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AM01\finexis Asset Management\FAM GO - Fund Administration\FGO\"/>
    </mc:Choice>
  </mc:AlternateContent>
  <xr:revisionPtr revIDLastSave="215" documentId="8_{F1034D6A-0115-457C-9BDB-B513F9ED0468}" xr6:coauthVersionLast="44" xr6:coauthVersionMax="44" xr10:uidLastSave="{037F3855-2DB7-457F-9508-82CA88E13088}"/>
  <bookViews>
    <workbookView xWindow="-20610" yWindow="-120" windowWidth="20730" windowHeight="11160" firstSheet="4" activeTab="4" xr2:uid="{00000000-000D-0000-FFFF-FFFF00000000}"/>
  </bookViews>
  <sheets>
    <sheet name="workings" sheetId="1" r:id="rId1"/>
    <sheet name="accruals" sheetId="2" r:id="rId2"/>
    <sheet name="Sheet1 (2)" sheetId="3" r:id="rId3"/>
    <sheet name="final" sheetId="4" r:id="rId4"/>
    <sheet name="Daily NAV" sheetId="5" r:id="rId5"/>
    <sheet name="Sheet1" sheetId="6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288" i="5" l="1"/>
  <c r="L288" i="5"/>
  <c r="D288" i="5"/>
  <c r="V287" i="5" l="1"/>
  <c r="L287" i="5"/>
  <c r="D287" i="5"/>
  <c r="V286" i="5" l="1"/>
  <c r="T286" i="5"/>
  <c r="L286" i="5"/>
  <c r="D286" i="5"/>
  <c r="V285" i="5" l="1"/>
  <c r="L285" i="5"/>
  <c r="D285" i="5"/>
  <c r="T285" i="5"/>
  <c r="V284" i="5" l="1"/>
  <c r="T284" i="5"/>
  <c r="L284" i="5"/>
  <c r="D284" i="5"/>
  <c r="V283" i="5" l="1"/>
  <c r="T283" i="5"/>
  <c r="L283" i="5"/>
  <c r="D283" i="5"/>
  <c r="V282" i="5" l="1"/>
  <c r="T282" i="5"/>
  <c r="L282" i="5"/>
  <c r="D282" i="5"/>
  <c r="V281" i="5" l="1"/>
  <c r="L281" i="5"/>
  <c r="D281" i="5"/>
  <c r="V280" i="5" l="1"/>
  <c r="L280" i="5"/>
  <c r="D280" i="5"/>
  <c r="V279" i="5" l="1"/>
  <c r="L279" i="5"/>
  <c r="D279" i="5"/>
  <c r="V278" i="5" l="1"/>
  <c r="L278" i="5"/>
  <c r="D278" i="5"/>
  <c r="V277" i="5" l="1"/>
  <c r="L277" i="5"/>
  <c r="D277" i="5"/>
  <c r="V276" i="5" l="1"/>
  <c r="T276" i="5"/>
  <c r="L276" i="5"/>
  <c r="D276" i="5"/>
  <c r="V275" i="5" l="1"/>
  <c r="L275" i="5"/>
  <c r="T275" i="5"/>
  <c r="D275" i="5"/>
  <c r="V274" i="5" l="1"/>
  <c r="L274" i="5"/>
  <c r="D273" i="5"/>
  <c r="D274" i="5"/>
  <c r="T273" i="5"/>
  <c r="T274" i="5"/>
  <c r="V273" i="5" l="1"/>
  <c r="L273" i="5"/>
  <c r="V272" i="5" l="1"/>
  <c r="T272" i="5"/>
  <c r="L272" i="5"/>
  <c r="D272" i="5"/>
  <c r="V271" i="5" l="1"/>
  <c r="T271" i="5"/>
  <c r="L271" i="5"/>
  <c r="D271" i="5"/>
  <c r="V270" i="5" l="1"/>
  <c r="T270" i="5"/>
  <c r="L270" i="5"/>
  <c r="D270" i="5"/>
  <c r="V269" i="5" l="1"/>
  <c r="N268" i="5"/>
  <c r="L269" i="5"/>
  <c r="D269" i="5"/>
  <c r="T269" i="5"/>
  <c r="F297" i="5" l="1"/>
  <c r="L268" i="5"/>
  <c r="V268" i="5"/>
  <c r="D268" i="5"/>
  <c r="V267" i="5" l="1"/>
  <c r="T267" i="5"/>
  <c r="L267" i="5"/>
  <c r="D267" i="5"/>
  <c r="V266" i="5" l="1"/>
  <c r="T266" i="5"/>
  <c r="L266" i="5"/>
  <c r="D266" i="5"/>
  <c r="T265" i="5" l="1"/>
  <c r="V265" i="5"/>
  <c r="L265" i="5"/>
  <c r="D265" i="5"/>
  <c r="V264" i="5" l="1"/>
  <c r="T263" i="5"/>
  <c r="T264" i="5"/>
  <c r="L264" i="5"/>
  <c r="D264" i="5"/>
  <c r="V263" i="5" l="1"/>
  <c r="L263" i="5"/>
  <c r="D263" i="5"/>
  <c r="T262" i="5" l="1"/>
  <c r="V262" i="5"/>
  <c r="L262" i="5"/>
  <c r="D262" i="5"/>
  <c r="V261" i="5" l="1"/>
  <c r="L261" i="5"/>
  <c r="D261" i="5"/>
  <c r="T257" i="5" l="1"/>
  <c r="V258" i="5"/>
  <c r="D258" i="5"/>
  <c r="L260" i="5"/>
  <c r="L259" i="5"/>
  <c r="L258" i="5"/>
  <c r="V260" i="5" l="1"/>
  <c r="D260" i="5"/>
  <c r="V257" i="5" l="1"/>
  <c r="L257" i="5"/>
  <c r="D257" i="5"/>
  <c r="V259" i="5" l="1"/>
  <c r="D259" i="5"/>
  <c r="T258" i="5" l="1"/>
  <c r="T259" i="5"/>
  <c r="T260" i="5"/>
  <c r="T261" i="5"/>
  <c r="T256" i="5" l="1"/>
  <c r="V256" i="5"/>
  <c r="L256" i="5"/>
  <c r="D256" i="5"/>
  <c r="T255" i="5" l="1"/>
  <c r="V255" i="5"/>
  <c r="L255" i="5"/>
  <c r="D255" i="5"/>
  <c r="V254" i="5" l="1"/>
  <c r="L254" i="5"/>
  <c r="D254" i="5"/>
  <c r="L252" i="5" l="1"/>
  <c r="L253" i="5"/>
  <c r="D253" i="5"/>
  <c r="V252" i="5" l="1"/>
  <c r="V253" i="5"/>
  <c r="T252" i="5"/>
  <c r="T253" i="5"/>
  <c r="T254" i="5"/>
  <c r="D252" i="5"/>
  <c r="V251" i="5" l="1"/>
  <c r="L251" i="5"/>
  <c r="D251" i="5"/>
  <c r="V250" i="5" l="1"/>
  <c r="L250" i="5"/>
  <c r="D250" i="5"/>
  <c r="V249" i="5" l="1"/>
  <c r="L249" i="5"/>
  <c r="D249" i="5"/>
  <c r="V248" i="5" l="1"/>
  <c r="L248" i="5"/>
  <c r="D248" i="5"/>
  <c r="V247" i="5" l="1"/>
  <c r="T247" i="5"/>
  <c r="T248" i="5"/>
  <c r="T249" i="5"/>
  <c r="T250" i="5"/>
  <c r="T251" i="5"/>
  <c r="L247" i="5"/>
  <c r="D247" i="5"/>
  <c r="V246" i="5" l="1"/>
  <c r="L246" i="5"/>
  <c r="D246" i="5"/>
  <c r="L244" i="5" l="1"/>
  <c r="L245" i="5"/>
  <c r="V244" i="5"/>
  <c r="V245" i="5"/>
  <c r="D245" i="5"/>
  <c r="T244" i="5" l="1"/>
  <c r="T245" i="5"/>
  <c r="T246" i="5"/>
  <c r="D244" i="5"/>
  <c r="V243" i="5" l="1"/>
  <c r="T243" i="5"/>
  <c r="L243" i="5"/>
  <c r="D243" i="5"/>
  <c r="V242" i="5" l="1"/>
  <c r="T242" i="5"/>
  <c r="L242" i="5"/>
  <c r="D242" i="5"/>
  <c r="V241" i="5" l="1"/>
  <c r="L241" i="5"/>
  <c r="D241" i="5"/>
  <c r="V240" i="5" l="1"/>
  <c r="L240" i="5"/>
  <c r="D240" i="5"/>
  <c r="V239" i="5" l="1"/>
  <c r="T239" i="5"/>
  <c r="T240" i="5"/>
  <c r="T241" i="5"/>
  <c r="L239" i="5"/>
  <c r="D239" i="5"/>
  <c r="V238" i="5" l="1"/>
  <c r="T238" i="5"/>
  <c r="L238" i="5"/>
  <c r="D238" i="5"/>
  <c r="V237" i="5" l="1"/>
  <c r="T237" i="5"/>
  <c r="L237" i="5"/>
  <c r="D237" i="5"/>
  <c r="V236" i="5" l="1"/>
  <c r="L236" i="5"/>
  <c r="D236" i="5"/>
  <c r="V235" i="5" l="1"/>
  <c r="L235" i="5"/>
  <c r="D235" i="5"/>
  <c r="V234" i="5" l="1"/>
  <c r="L234" i="5"/>
  <c r="D234" i="5"/>
  <c r="V233" i="5" l="1"/>
  <c r="L233" i="5"/>
  <c r="D233" i="5"/>
  <c r="V232" i="5" l="1"/>
  <c r="L232" i="5"/>
  <c r="D232" i="5"/>
  <c r="V231" i="5" l="1"/>
  <c r="T230" i="5"/>
  <c r="T231" i="5"/>
  <c r="T232" i="5"/>
  <c r="T233" i="5"/>
  <c r="T234" i="5"/>
  <c r="T235" i="5"/>
  <c r="T236" i="5"/>
  <c r="D231" i="5"/>
  <c r="V230" i="5" l="1"/>
  <c r="L230" i="5"/>
  <c r="L231" i="5"/>
  <c r="D230" i="5"/>
  <c r="V229" i="5" l="1"/>
  <c r="T229" i="5"/>
  <c r="L229" i="5"/>
  <c r="D229" i="5"/>
  <c r="T228" i="5" l="1"/>
  <c r="L228" i="5"/>
  <c r="D228" i="5"/>
  <c r="V227" i="5" l="1"/>
  <c r="V228" i="5"/>
  <c r="L227" i="5"/>
  <c r="D227" i="5"/>
  <c r="V226" i="5" l="1"/>
  <c r="L226" i="5"/>
  <c r="D226" i="5"/>
  <c r="V225" i="5" l="1"/>
  <c r="L225" i="5"/>
  <c r="D225" i="5"/>
  <c r="V223" i="5" l="1"/>
  <c r="V224" i="5"/>
  <c r="T224" i="5"/>
  <c r="T225" i="5"/>
  <c r="T226" i="5"/>
  <c r="T227" i="5"/>
  <c r="L224" i="5"/>
  <c r="D224" i="5"/>
  <c r="D223" i="5"/>
  <c r="V220" i="5" l="1"/>
  <c r="V221" i="5"/>
  <c r="V222" i="5"/>
  <c r="L221" i="5"/>
  <c r="L222" i="5"/>
  <c r="L223" i="5"/>
  <c r="L220" i="5" l="1"/>
  <c r="D220" i="5"/>
  <c r="D221" i="5"/>
  <c r="D222" i="5"/>
  <c r="V219" i="5" l="1"/>
  <c r="T219" i="5"/>
  <c r="T220" i="5"/>
  <c r="T221" i="5"/>
  <c r="T222" i="5"/>
  <c r="T223" i="5"/>
  <c r="V217" i="5" l="1"/>
  <c r="V218" i="5"/>
  <c r="L217" i="5"/>
  <c r="L218" i="5"/>
  <c r="L219" i="5"/>
  <c r="D217" i="5"/>
  <c r="D218" i="5"/>
  <c r="D219" i="5"/>
  <c r="V215" i="5" l="1"/>
  <c r="V216" i="5"/>
  <c r="L216" i="5"/>
  <c r="D216" i="5"/>
  <c r="L214" i="5" l="1"/>
  <c r="L215" i="5"/>
  <c r="D215" i="5"/>
  <c r="V214" i="5" l="1"/>
  <c r="D213" i="5"/>
  <c r="D214" i="5"/>
  <c r="L213" i="5"/>
  <c r="V213" i="5"/>
  <c r="T214" i="5" l="1"/>
  <c r="T215" i="5"/>
  <c r="T216" i="5"/>
  <c r="T217" i="5"/>
  <c r="T218" i="5"/>
  <c r="L212" i="5" l="1"/>
  <c r="V211" i="5" l="1"/>
  <c r="V212" i="5"/>
  <c r="T211" i="5"/>
  <c r="T212" i="5"/>
  <c r="T213" i="5"/>
  <c r="L211" i="5"/>
  <c r="D211" i="5"/>
  <c r="D212" i="5"/>
  <c r="T210" i="5" l="1"/>
  <c r="V210" i="5"/>
  <c r="L210" i="5"/>
  <c r="D210" i="5"/>
  <c r="V209" i="5" l="1"/>
  <c r="D209" i="5"/>
  <c r="V208" i="5" l="1"/>
  <c r="L208" i="5"/>
  <c r="L209" i="5"/>
  <c r="D208" i="5"/>
  <c r="V207" i="5" l="1"/>
  <c r="T207" i="5"/>
  <c r="T208" i="5"/>
  <c r="T209" i="5"/>
  <c r="L207" i="5"/>
  <c r="D207" i="5"/>
  <c r="V206" i="5" l="1"/>
  <c r="L206" i="5"/>
  <c r="D206" i="5"/>
  <c r="V205" i="5" l="1"/>
  <c r="L205" i="5"/>
  <c r="D205" i="5"/>
  <c r="V204" i="5" l="1"/>
  <c r="T204" i="5"/>
  <c r="T205" i="5"/>
  <c r="T206" i="5"/>
  <c r="L204" i="5"/>
  <c r="D204" i="5"/>
  <c r="V203" i="5" l="1"/>
  <c r="L203" i="5"/>
  <c r="D203" i="5"/>
  <c r="L202" i="5" l="1"/>
  <c r="D202" i="5"/>
  <c r="L201" i="5" l="1"/>
  <c r="V201" i="5"/>
  <c r="V202" i="5"/>
  <c r="T201" i="5"/>
  <c r="T202" i="5"/>
  <c r="T203" i="5"/>
  <c r="D201" i="5"/>
  <c r="V200" i="5" l="1"/>
  <c r="L200" i="5"/>
  <c r="D200" i="5"/>
  <c r="V198" i="5" l="1"/>
  <c r="V199" i="5"/>
  <c r="T199" i="5"/>
  <c r="T200" i="5"/>
  <c r="L198" i="5"/>
  <c r="L199" i="5"/>
  <c r="D197" i="5"/>
  <c r="D198" i="5"/>
  <c r="D199" i="5"/>
  <c r="D195" i="5" l="1"/>
  <c r="D196" i="5"/>
  <c r="V197" i="5" l="1"/>
  <c r="T197" i="5"/>
  <c r="T198" i="5"/>
  <c r="L197" i="5"/>
  <c r="V196" i="5" l="1"/>
  <c r="L196" i="5"/>
  <c r="T195" i="5" l="1"/>
  <c r="T196" i="5"/>
  <c r="V195" i="5"/>
  <c r="L195" i="5"/>
  <c r="V194" i="5" l="1"/>
  <c r="T194" i="5"/>
  <c r="L194" i="5"/>
  <c r="D194" i="5"/>
  <c r="V193" i="5" l="1"/>
  <c r="L193" i="5"/>
  <c r="D193" i="5"/>
  <c r="V192" i="5" l="1"/>
  <c r="L192" i="5"/>
  <c r="D192" i="5"/>
  <c r="V191" i="5" l="1"/>
  <c r="T191" i="5"/>
  <c r="T192" i="5"/>
  <c r="T193" i="5"/>
  <c r="L191" i="5"/>
  <c r="D191" i="5"/>
  <c r="V190" i="5" l="1"/>
  <c r="T190" i="5"/>
  <c r="L190" i="5"/>
  <c r="D190" i="5"/>
  <c r="V189" i="5" l="1"/>
  <c r="D189" i="5"/>
  <c r="L189" i="5"/>
  <c r="L188" i="5" l="1"/>
  <c r="D188" i="5"/>
  <c r="T187" i="5" l="1"/>
  <c r="T188" i="5"/>
  <c r="T189" i="5"/>
  <c r="V187" i="5"/>
  <c r="V188" i="5"/>
  <c r="L187" i="5"/>
  <c r="D187" i="5"/>
  <c r="V186" i="5" l="1"/>
  <c r="D186" i="5"/>
  <c r="V185" i="5" l="1"/>
  <c r="T185" i="5"/>
  <c r="T186" i="5"/>
  <c r="L185" i="5"/>
  <c r="L186" i="5"/>
  <c r="D185" i="5"/>
  <c r="V184" i="5" l="1"/>
  <c r="L184" i="5"/>
  <c r="D184" i="5"/>
  <c r="V183" i="5" l="1"/>
  <c r="L183" i="5"/>
  <c r="D183" i="5"/>
  <c r="V182" i="5" l="1"/>
  <c r="L182" i="5"/>
  <c r="D182" i="5"/>
  <c r="V181" i="5" l="1"/>
  <c r="T181" i="5"/>
  <c r="T182" i="5"/>
  <c r="T183" i="5"/>
  <c r="T184" i="5"/>
  <c r="L181" i="5"/>
  <c r="D181" i="5"/>
  <c r="V180" i="5" l="1"/>
  <c r="T180" i="5"/>
  <c r="L180" i="5"/>
  <c r="D180" i="5"/>
  <c r="V179" i="5" l="1"/>
  <c r="T179" i="5"/>
  <c r="L179" i="5"/>
  <c r="D179" i="5"/>
  <c r="V178" i="5" l="1"/>
  <c r="L178" i="5"/>
  <c r="D177" i="5"/>
  <c r="D178" i="5"/>
  <c r="T178" i="5"/>
  <c r="V177" i="5" l="1"/>
  <c r="T177" i="5"/>
  <c r="L177" i="5"/>
  <c r="V176" i="5" l="1"/>
  <c r="L176" i="5"/>
  <c r="D176" i="5"/>
  <c r="V175" i="5" l="1"/>
  <c r="L175" i="5"/>
  <c r="D175" i="5"/>
  <c r="V174" i="5" l="1"/>
  <c r="L174" i="5"/>
  <c r="D174" i="5"/>
  <c r="V173" i="5" l="1"/>
  <c r="L173" i="5"/>
  <c r="D173" i="5"/>
  <c r="V172" i="5" l="1"/>
  <c r="T172" i="5"/>
  <c r="T173" i="5"/>
  <c r="T174" i="5"/>
  <c r="T175" i="5"/>
  <c r="T176" i="5"/>
  <c r="L172" i="5"/>
  <c r="V171" i="5" l="1"/>
  <c r="T171" i="5"/>
  <c r="L171" i="5"/>
  <c r="D171" i="5"/>
  <c r="D172" i="5"/>
  <c r="V170" i="5" l="1"/>
  <c r="L170" i="5"/>
  <c r="D170" i="5"/>
  <c r="V169" i="5" l="1"/>
  <c r="L169" i="5"/>
  <c r="D169" i="5"/>
  <c r="V168" i="5" l="1"/>
  <c r="T168" i="5"/>
  <c r="T169" i="5"/>
  <c r="T170" i="5"/>
  <c r="L168" i="5"/>
  <c r="D168" i="5"/>
  <c r="V167" i="5" l="1"/>
  <c r="L167" i="5"/>
  <c r="D167" i="5"/>
  <c r="V166" i="5" l="1"/>
  <c r="L166" i="5"/>
  <c r="D166" i="5"/>
  <c r="V165" i="5" l="1"/>
  <c r="T165" i="5"/>
  <c r="T166" i="5"/>
  <c r="T167" i="5"/>
  <c r="L165" i="5"/>
  <c r="D165" i="5"/>
  <c r="D164" i="5"/>
  <c r="L164" i="5"/>
  <c r="V164" i="5" l="1"/>
  <c r="T164" i="5"/>
  <c r="V163" i="5" l="1"/>
  <c r="L163" i="5"/>
  <c r="D163" i="5"/>
  <c r="V162" i="5" l="1"/>
  <c r="L162" i="5"/>
  <c r="D162" i="5"/>
  <c r="V161" i="5" l="1"/>
  <c r="L161" i="5"/>
  <c r="D161" i="5"/>
  <c r="V160" i="5" l="1"/>
  <c r="T160" i="5"/>
  <c r="T161" i="5"/>
  <c r="T162" i="5"/>
  <c r="T163" i="5"/>
  <c r="L160" i="5"/>
  <c r="D160" i="5"/>
  <c r="V159" i="5" l="1"/>
  <c r="L159" i="5"/>
  <c r="D159" i="5"/>
  <c r="T158" i="5" l="1"/>
  <c r="T159" i="5"/>
  <c r="V158" i="5"/>
  <c r="L158" i="5"/>
  <c r="D158" i="5"/>
  <c r="V157" i="5" l="1"/>
  <c r="T157" i="5"/>
  <c r="L157" i="5"/>
  <c r="D157" i="5"/>
  <c r="V156" i="5" l="1"/>
  <c r="L156" i="5"/>
  <c r="D156" i="5"/>
  <c r="V155" i="5" l="1"/>
  <c r="L155" i="5"/>
  <c r="D155" i="5"/>
  <c r="V154" i="5" l="1"/>
  <c r="L154" i="5"/>
  <c r="D154" i="5"/>
  <c r="V153" i="5" l="1"/>
  <c r="L153" i="5"/>
  <c r="D153" i="5"/>
  <c r="V152" i="5" l="1"/>
  <c r="L152" i="5"/>
  <c r="D152" i="5"/>
  <c r="V151" i="5" l="1"/>
  <c r="L151" i="5"/>
  <c r="D151" i="5"/>
  <c r="T150" i="5" l="1"/>
  <c r="T151" i="5"/>
  <c r="T152" i="5"/>
  <c r="T153" i="5"/>
  <c r="T154" i="5"/>
  <c r="T155" i="5"/>
  <c r="T156" i="5"/>
  <c r="V150" i="5"/>
  <c r="L150" i="5"/>
  <c r="D150" i="5"/>
  <c r="V149" i="5" l="1"/>
  <c r="T149" i="5"/>
  <c r="L149" i="5"/>
  <c r="D149" i="5"/>
  <c r="V148" i="5" l="1"/>
  <c r="L148" i="5"/>
  <c r="D148" i="5"/>
  <c r="V147" i="5" l="1"/>
  <c r="L147" i="5"/>
  <c r="D147" i="5"/>
  <c r="V146" i="5" l="1"/>
  <c r="L146" i="5"/>
  <c r="D146" i="5"/>
  <c r="V145" i="5" l="1"/>
  <c r="L145" i="5"/>
  <c r="D145" i="5"/>
  <c r="V144" i="5" l="1"/>
  <c r="L144" i="5"/>
  <c r="D144" i="5"/>
  <c r="V143" i="5" l="1"/>
  <c r="L143" i="5"/>
  <c r="T143" i="5"/>
  <c r="T144" i="5"/>
  <c r="T145" i="5"/>
  <c r="T146" i="5"/>
  <c r="T147" i="5"/>
  <c r="T148" i="5"/>
  <c r="D143" i="5"/>
  <c r="V142" i="5" l="1"/>
  <c r="L142" i="5"/>
  <c r="D142" i="5"/>
  <c r="T142" i="5"/>
  <c r="V141" i="5" l="1"/>
  <c r="L141" i="5"/>
  <c r="D141" i="5"/>
  <c r="T141" i="5"/>
  <c r="V140" i="5" l="1"/>
  <c r="L140" i="5"/>
  <c r="D140" i="5"/>
  <c r="T140" i="5"/>
  <c r="V139" i="5" l="1"/>
  <c r="L139" i="5"/>
  <c r="D139" i="5"/>
  <c r="F300" i="5" l="1"/>
  <c r="N300" i="5"/>
  <c r="X300" i="5"/>
  <c r="X299" i="5"/>
  <c r="X298" i="5"/>
  <c r="X297" i="5"/>
  <c r="N299" i="5"/>
  <c r="F299" i="5"/>
  <c r="N297" i="5"/>
  <c r="V138" i="5" l="1"/>
  <c r="L138" i="5"/>
  <c r="D138" i="5"/>
  <c r="V137" i="5" l="1"/>
  <c r="L137" i="5"/>
  <c r="D137" i="5"/>
  <c r="V136" i="5" l="1"/>
  <c r="T136" i="5"/>
  <c r="T137" i="5"/>
  <c r="T138" i="5"/>
  <c r="T139" i="5"/>
  <c r="L136" i="5"/>
  <c r="D136" i="5"/>
  <c r="V135" i="5" l="1"/>
  <c r="L135" i="5"/>
  <c r="D135" i="5"/>
  <c r="T135" i="5"/>
  <c r="V134" i="5" l="1"/>
  <c r="L134" i="5"/>
  <c r="D134" i="5"/>
  <c r="V133" i="5" l="1"/>
  <c r="L133" i="5"/>
  <c r="D133" i="5"/>
  <c r="V132" i="5" l="1"/>
  <c r="L132" i="5"/>
  <c r="D132" i="5"/>
  <c r="V131" i="5" l="1"/>
  <c r="L131" i="5"/>
  <c r="D131" i="5"/>
  <c r="V130" i="5" l="1"/>
  <c r="L130" i="5"/>
  <c r="V129" i="5" l="1"/>
  <c r="L129" i="5"/>
  <c r="D129" i="5"/>
  <c r="D130" i="5"/>
  <c r="V128" i="5" l="1"/>
  <c r="T128" i="5"/>
  <c r="T129" i="5"/>
  <c r="T130" i="5"/>
  <c r="T131" i="5"/>
  <c r="T132" i="5"/>
  <c r="T133" i="5"/>
  <c r="T134" i="5"/>
  <c r="L128" i="5"/>
  <c r="D128" i="5"/>
  <c r="V127" i="5" l="1"/>
  <c r="T127" i="5"/>
  <c r="D127" i="5"/>
  <c r="V126" i="5" l="1"/>
  <c r="T126" i="5"/>
  <c r="L126" i="5"/>
  <c r="L127" i="5"/>
  <c r="D126" i="5"/>
  <c r="V125" i="5" l="1"/>
  <c r="L125" i="5"/>
  <c r="D125" i="5"/>
  <c r="L124" i="5" l="1"/>
  <c r="D124" i="5"/>
  <c r="V123" i="5" l="1"/>
  <c r="V124" i="5"/>
  <c r="L123" i="5"/>
  <c r="D123" i="5"/>
  <c r="V122" i="5" l="1"/>
  <c r="L122" i="5"/>
  <c r="D122" i="5"/>
  <c r="V121" i="5" l="1"/>
  <c r="L121" i="5"/>
  <c r="D121" i="5"/>
  <c r="V120" i="5" l="1"/>
  <c r="L120" i="5"/>
  <c r="D120" i="5"/>
  <c r="V119" i="5" l="1"/>
  <c r="L119" i="5"/>
  <c r="D119" i="5"/>
  <c r="V118" i="5" l="1"/>
  <c r="L118" i="5"/>
  <c r="D118" i="5"/>
  <c r="V117" i="5" l="1"/>
  <c r="L117" i="5"/>
  <c r="D117" i="5"/>
  <c r="V116" i="5" l="1"/>
  <c r="L116" i="5"/>
  <c r="D116" i="5"/>
  <c r="V115" i="5" l="1"/>
  <c r="L115" i="5"/>
  <c r="D115" i="5"/>
  <c r="V114" i="5" l="1"/>
  <c r="T114" i="5"/>
  <c r="T115" i="5"/>
  <c r="T116" i="5"/>
  <c r="T117" i="5"/>
  <c r="T118" i="5"/>
  <c r="T119" i="5"/>
  <c r="T120" i="5"/>
  <c r="T121" i="5"/>
  <c r="T122" i="5"/>
  <c r="T123" i="5"/>
  <c r="T124" i="5"/>
  <c r="T125" i="5"/>
  <c r="L114" i="5"/>
  <c r="T113" i="5" l="1"/>
  <c r="V113" i="5"/>
  <c r="L113" i="5"/>
  <c r="D113" i="5"/>
  <c r="D114" i="5"/>
  <c r="V112" i="5" l="1"/>
  <c r="L112" i="5"/>
  <c r="D112" i="5"/>
  <c r="V111" i="5" l="1"/>
  <c r="L111" i="5"/>
  <c r="D111" i="5"/>
  <c r="D110" i="5" l="1"/>
  <c r="V110" i="5"/>
  <c r="L110" i="5"/>
  <c r="D109" i="5" l="1"/>
  <c r="V109" i="5"/>
  <c r="L109" i="5"/>
  <c r="V108" i="5" l="1"/>
  <c r="D108" i="5"/>
  <c r="V107" i="5" l="1"/>
  <c r="L107" i="5"/>
  <c r="L108" i="5"/>
  <c r="D107" i="5"/>
  <c r="V106" i="5" l="1"/>
  <c r="L106" i="5"/>
  <c r="D106" i="5"/>
  <c r="V105" i="5" l="1"/>
  <c r="L105" i="5"/>
  <c r="D105" i="5"/>
  <c r="V104" i="5" l="1"/>
  <c r="L104" i="5"/>
  <c r="D104" i="5"/>
  <c r="V103" i="5" l="1"/>
  <c r="L103" i="5"/>
  <c r="D103" i="5"/>
  <c r="V102" i="5" l="1"/>
  <c r="L102" i="5"/>
  <c r="D102" i="5"/>
  <c r="K41" i="5" l="1"/>
  <c r="V101" i="5" l="1"/>
  <c r="L101" i="5"/>
  <c r="D101" i="5"/>
  <c r="V100" i="5" l="1"/>
  <c r="D100" i="5"/>
  <c r="V99" i="5" l="1"/>
  <c r="L99" i="5"/>
  <c r="L100" i="5"/>
  <c r="D99" i="5"/>
  <c r="V98" i="5" l="1"/>
  <c r="L98" i="5"/>
  <c r="D98" i="5"/>
  <c r="V97" i="5" l="1"/>
  <c r="L97" i="5"/>
  <c r="D97" i="5"/>
  <c r="V96" i="5" l="1"/>
  <c r="L96" i="5"/>
  <c r="V95" i="5" l="1"/>
  <c r="L95" i="5"/>
  <c r="D95" i="5"/>
  <c r="D96" i="5"/>
  <c r="L94" i="5" l="1"/>
  <c r="V94" i="5"/>
  <c r="D94" i="5"/>
  <c r="V93" i="5" l="1"/>
  <c r="L93" i="5"/>
  <c r="D93" i="5"/>
  <c r="D92" i="5" l="1"/>
  <c r="L92" i="5"/>
  <c r="V92" i="5"/>
  <c r="V91" i="5" l="1"/>
  <c r="L91" i="5"/>
  <c r="D91" i="5"/>
  <c r="D90" i="5" l="1"/>
  <c r="L90" i="5"/>
  <c r="V90" i="5"/>
  <c r="V89" i="5" l="1"/>
  <c r="L89" i="5"/>
  <c r="D89" i="5"/>
  <c r="V88" i="5" l="1"/>
  <c r="L88" i="5"/>
  <c r="D88" i="5"/>
  <c r="D86" i="5" l="1"/>
  <c r="D87" i="5"/>
  <c r="L85" i="5" l="1"/>
  <c r="L86" i="5"/>
  <c r="L87" i="5"/>
  <c r="V84" i="5"/>
  <c r="V85" i="5"/>
  <c r="V86" i="5"/>
  <c r="V87" i="5"/>
  <c r="L84" i="5"/>
  <c r="D84" i="5"/>
  <c r="D85" i="5"/>
  <c r="D83" i="5" l="1"/>
  <c r="L83" i="5"/>
  <c r="V83" i="5"/>
  <c r="V82" i="5" l="1"/>
  <c r="L82" i="5"/>
  <c r="D82" i="5"/>
  <c r="V81" i="5" l="1"/>
  <c r="D81" i="5"/>
  <c r="L81" i="5"/>
  <c r="L80" i="5"/>
  <c r="D80" i="5"/>
  <c r="Y75" i="5"/>
  <c r="Y52" i="5"/>
  <c r="Y32" i="5"/>
  <c r="Y11" i="5"/>
  <c r="O32" i="5"/>
  <c r="O75" i="5"/>
  <c r="O52" i="5"/>
  <c r="G75" i="5"/>
  <c r="G52" i="5"/>
  <c r="G11" i="5"/>
  <c r="V79" i="5"/>
  <c r="V80" i="5"/>
  <c r="L79" i="5"/>
  <c r="L78" i="5"/>
  <c r="D78" i="5"/>
  <c r="V78" i="5"/>
  <c r="D77" i="5"/>
  <c r="L77" i="5"/>
  <c r="V77" i="5"/>
  <c r="V76" i="5"/>
  <c r="L76" i="5"/>
  <c r="D76" i="5"/>
  <c r="N298" i="5"/>
  <c r="F298" i="5"/>
  <c r="H3" i="5"/>
  <c r="I4" i="5" s="1"/>
  <c r="H4" i="5"/>
  <c r="I5" i="5" s="1"/>
  <c r="H5" i="5"/>
  <c r="I6" i="5" s="1"/>
  <c r="AF7" i="5"/>
  <c r="AF5" i="5"/>
  <c r="V75" i="5"/>
  <c r="L75" i="5"/>
  <c r="D75" i="5"/>
  <c r="V74" i="5"/>
  <c r="L74" i="5"/>
  <c r="D74" i="5"/>
  <c r="D73" i="5"/>
  <c r="L73" i="5"/>
  <c r="V73" i="5"/>
  <c r="D72" i="5"/>
  <c r="L72" i="5"/>
  <c r="V72" i="5"/>
  <c r="V71" i="5"/>
  <c r="L71" i="5"/>
  <c r="D71" i="5"/>
  <c r="L70" i="5"/>
  <c r="V67" i="5"/>
  <c r="V68" i="5"/>
  <c r="V69" i="5"/>
  <c r="V70" i="5"/>
  <c r="L67" i="5"/>
  <c r="L68" i="5"/>
  <c r="L69" i="5"/>
  <c r="D67" i="5"/>
  <c r="D68" i="5"/>
  <c r="D69" i="5"/>
  <c r="D70" i="5"/>
  <c r="V66" i="5"/>
  <c r="L66" i="5"/>
  <c r="D66" i="5"/>
  <c r="D65" i="5"/>
  <c r="L65" i="5"/>
  <c r="V65" i="5"/>
  <c r="V64" i="5"/>
  <c r="L64" i="5"/>
  <c r="D64" i="5"/>
  <c r="V62" i="5"/>
  <c r="V63" i="5"/>
  <c r="L62" i="5"/>
  <c r="L63" i="5"/>
  <c r="D62" i="5"/>
  <c r="D63" i="5"/>
  <c r="D61" i="5"/>
  <c r="L61" i="5"/>
  <c r="V61" i="5"/>
  <c r="D60" i="5"/>
  <c r="L60" i="5"/>
  <c r="V60" i="5"/>
  <c r="V53" i="5"/>
  <c r="AE53" i="5" s="1"/>
  <c r="D53" i="5"/>
  <c r="AF53" i="5" s="1"/>
  <c r="D54" i="5"/>
  <c r="D55" i="5"/>
  <c r="AF55" i="5" s="1"/>
  <c r="D56" i="5"/>
  <c r="AF56" i="5" s="1"/>
  <c r="D57" i="5"/>
  <c r="AF57" i="5" s="1"/>
  <c r="D58" i="5"/>
  <c r="AF58" i="5" s="1"/>
  <c r="D59" i="5"/>
  <c r="AF59" i="5" s="1"/>
  <c r="V54" i="5"/>
  <c r="AE54" i="5" s="1"/>
  <c r="V55" i="5"/>
  <c r="AE55" i="5" s="1"/>
  <c r="V56" i="5"/>
  <c r="AE56" i="5" s="1"/>
  <c r="V57" i="5"/>
  <c r="AE57" i="5" s="1"/>
  <c r="V58" i="5"/>
  <c r="AE58" i="5" s="1"/>
  <c r="V59" i="5"/>
  <c r="AE59" i="5" s="1"/>
  <c r="L59" i="5"/>
  <c r="L58" i="5"/>
  <c r="L57" i="5"/>
  <c r="L56" i="5"/>
  <c r="L55" i="5"/>
  <c r="L54" i="5"/>
  <c r="L53" i="5"/>
  <c r="Z32" i="5"/>
  <c r="AA33" i="5" s="1"/>
  <c r="Z33" i="5"/>
  <c r="AA34" i="5" s="1"/>
  <c r="Z34" i="5"/>
  <c r="AA35" i="5" s="1"/>
  <c r="Z35" i="5"/>
  <c r="AA36" i="5" s="1"/>
  <c r="Z36" i="5"/>
  <c r="AA37" i="5" s="1"/>
  <c r="Z37" i="5"/>
  <c r="AA38" i="5" s="1"/>
  <c r="Z38" i="5"/>
  <c r="AA39" i="5" s="1"/>
  <c r="Z39" i="5"/>
  <c r="AA40" i="5" s="1"/>
  <c r="Z40" i="5"/>
  <c r="P32" i="5"/>
  <c r="Q33" i="5" s="1"/>
  <c r="P33" i="5"/>
  <c r="Q34" i="5" s="1"/>
  <c r="P34" i="5"/>
  <c r="Q35" i="5" s="1"/>
  <c r="P35" i="5"/>
  <c r="Q36" i="5" s="1"/>
  <c r="P36" i="5"/>
  <c r="Q37" i="5" s="1"/>
  <c r="P37" i="5"/>
  <c r="Q38" i="5" s="1"/>
  <c r="P38" i="5"/>
  <c r="Q39" i="5" s="1"/>
  <c r="P39" i="5"/>
  <c r="Q40" i="5" s="1"/>
  <c r="P40" i="5"/>
  <c r="H32" i="5"/>
  <c r="I33" i="5" s="1"/>
  <c r="H33" i="5"/>
  <c r="I34" i="5" s="1"/>
  <c r="H34" i="5"/>
  <c r="I35" i="5" s="1"/>
  <c r="H35" i="5"/>
  <c r="I36" i="5" s="1"/>
  <c r="H36" i="5"/>
  <c r="I37" i="5" s="1"/>
  <c r="H37" i="5"/>
  <c r="I38" i="5" s="1"/>
  <c r="H38" i="5"/>
  <c r="I39" i="5" s="1"/>
  <c r="H39" i="5"/>
  <c r="I40" i="5" s="1"/>
  <c r="H40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3" i="5"/>
  <c r="V44" i="5"/>
  <c r="V45" i="5"/>
  <c r="V46" i="5"/>
  <c r="V47" i="5"/>
  <c r="V48" i="5"/>
  <c r="V49" i="5"/>
  <c r="V50" i="5"/>
  <c r="V51" i="5"/>
  <c r="V52" i="5"/>
  <c r="V4" i="5"/>
  <c r="V5" i="5"/>
  <c r="V6" i="5"/>
  <c r="V7" i="5"/>
  <c r="V8" i="5"/>
  <c r="V9" i="5"/>
  <c r="L29" i="5"/>
  <c r="L30" i="5"/>
  <c r="L31" i="5"/>
  <c r="L32" i="5"/>
  <c r="L33" i="5"/>
  <c r="L34" i="5"/>
  <c r="L35" i="5"/>
  <c r="L36" i="5"/>
  <c r="L37" i="5"/>
  <c r="L38" i="5"/>
  <c r="L39" i="5"/>
  <c r="L40" i="5"/>
  <c r="L43" i="5"/>
  <c r="L44" i="5"/>
  <c r="L45" i="5"/>
  <c r="L46" i="5"/>
  <c r="L47" i="5"/>
  <c r="L48" i="5"/>
  <c r="L49" i="5"/>
  <c r="L50" i="5"/>
  <c r="L51" i="5"/>
  <c r="L52" i="5"/>
  <c r="L24" i="5"/>
  <c r="L25" i="5"/>
  <c r="L26" i="5"/>
  <c r="L27" i="5"/>
  <c r="L28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3" i="5"/>
  <c r="D44" i="5"/>
  <c r="D45" i="5"/>
  <c r="D46" i="5"/>
  <c r="D47" i="5"/>
  <c r="D48" i="5"/>
  <c r="D49" i="5"/>
  <c r="D50" i="5"/>
  <c r="D51" i="5"/>
  <c r="D52" i="5"/>
  <c r="D4" i="5"/>
  <c r="D5" i="5"/>
  <c r="D6" i="5"/>
  <c r="N47" i="5"/>
  <c r="F47" i="5"/>
  <c r="C41" i="5"/>
  <c r="H69" i="5" s="1"/>
  <c r="I70" i="5" s="1"/>
  <c r="P54" i="5"/>
  <c r="Q55" i="5" s="1"/>
  <c r="U41" i="5"/>
  <c r="Z71" i="5" s="1"/>
  <c r="AA72" i="5" s="1"/>
  <c r="P70" i="5"/>
  <c r="Q71" i="5" s="1"/>
  <c r="P74" i="5"/>
  <c r="Q75" i="5" s="1"/>
  <c r="P59" i="5"/>
  <c r="Q60" i="5" s="1"/>
  <c r="P65" i="5"/>
  <c r="Q66" i="5" s="1"/>
  <c r="P68" i="5"/>
  <c r="Q69" i="5" s="1"/>
  <c r="P69" i="5"/>
  <c r="Q70" i="5" s="1"/>
  <c r="P72" i="5"/>
  <c r="Q73" i="5" s="1"/>
  <c r="P42" i="5"/>
  <c r="Q43" i="5" s="1"/>
  <c r="P50" i="5"/>
  <c r="Q51" i="5" s="1"/>
  <c r="P47" i="5"/>
  <c r="Q48" i="5" s="1"/>
  <c r="L42" i="5"/>
  <c r="L22" i="5"/>
  <c r="L23" i="5"/>
  <c r="V2" i="5"/>
  <c r="V3" i="5"/>
  <c r="G4" i="4"/>
  <c r="AS4" i="4" s="1"/>
  <c r="G5" i="4"/>
  <c r="BA5" i="4" s="1"/>
  <c r="D6" i="4"/>
  <c r="G6" i="4" s="1"/>
  <c r="BF6" i="4" s="1"/>
  <c r="D8" i="4"/>
  <c r="E8" i="4" s="1"/>
  <c r="F8" i="4"/>
  <c r="D9" i="4"/>
  <c r="E9" i="4" s="1"/>
  <c r="F9" i="4"/>
  <c r="D10" i="4"/>
  <c r="E10" i="4" s="1"/>
  <c r="F10" i="4"/>
  <c r="D11" i="4"/>
  <c r="E11" i="4" s="1"/>
  <c r="F11" i="4"/>
  <c r="F12" i="4"/>
  <c r="G12" i="4" s="1"/>
  <c r="D13" i="4"/>
  <c r="E13" i="4" s="1"/>
  <c r="F13" i="4"/>
  <c r="AY15" i="4"/>
  <c r="G16" i="4"/>
  <c r="AU16" i="4" s="1"/>
  <c r="F17" i="4"/>
  <c r="G17" i="4" s="1"/>
  <c r="AD17" i="4" s="1"/>
  <c r="E4" i="4"/>
  <c r="D19" i="4" s="1"/>
  <c r="G19" i="4" s="1"/>
  <c r="J19" i="4" s="1"/>
  <c r="E16" i="4"/>
  <c r="D20" i="4" s="1"/>
  <c r="G20" i="4" s="1"/>
  <c r="AP20" i="4" s="1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G15" i="4"/>
  <c r="Y15" i="4"/>
  <c r="X15" i="4"/>
  <c r="W15" i="4"/>
  <c r="V15" i="4"/>
  <c r="Q15" i="4"/>
  <c r="P15" i="4"/>
  <c r="O4" i="4"/>
  <c r="O15" i="4"/>
  <c r="AY26" i="4"/>
  <c r="H24" i="4"/>
  <c r="H26" i="4"/>
  <c r="H39" i="4"/>
  <c r="I26" i="4"/>
  <c r="H152" i="4"/>
  <c r="I32" i="4"/>
  <c r="H38" i="4"/>
  <c r="N26" i="4"/>
  <c r="O26" i="4"/>
  <c r="O32" i="4"/>
  <c r="O49" i="4"/>
  <c r="P26" i="4"/>
  <c r="Q26" i="4"/>
  <c r="Q32" i="4"/>
  <c r="T26" i="4"/>
  <c r="T32" i="4"/>
  <c r="T34" i="4"/>
  <c r="V26" i="4"/>
  <c r="V32" i="4"/>
  <c r="V55" i="4"/>
  <c r="V56" i="4" s="1"/>
  <c r="V65" i="4"/>
  <c r="V66" i="4" s="1"/>
  <c r="W26" i="4"/>
  <c r="W32" i="4"/>
  <c r="W42" i="4"/>
  <c r="W55" i="4"/>
  <c r="W56" i="4" s="1"/>
  <c r="X26" i="4"/>
  <c r="X32" i="4"/>
  <c r="X34" i="4" s="1"/>
  <c r="X65" i="4"/>
  <c r="X66" i="4" s="1"/>
  <c r="Y26" i="4"/>
  <c r="Y32" i="4"/>
  <c r="Y34" i="4" s="1"/>
  <c r="Y65" i="4"/>
  <c r="Y66" i="4" s="1"/>
  <c r="AA26" i="4"/>
  <c r="AA32" i="4"/>
  <c r="AA34" i="4" s="1"/>
  <c r="AB26" i="4"/>
  <c r="AB32" i="4"/>
  <c r="AB34" i="4" s="1"/>
  <c r="AC26" i="4"/>
  <c r="AC32" i="4"/>
  <c r="AC34" i="4" s="1"/>
  <c r="AD26" i="4"/>
  <c r="AD32" i="4"/>
  <c r="AD34" i="4" s="1"/>
  <c r="AE26" i="4"/>
  <c r="AE32" i="4"/>
  <c r="AE34" i="4" s="1"/>
  <c r="AF26" i="4"/>
  <c r="AF32" i="4"/>
  <c r="AF34" i="4" s="1"/>
  <c r="AG26" i="4"/>
  <c r="AG32" i="4"/>
  <c r="AG34" i="4" s="1"/>
  <c r="AH26" i="4"/>
  <c r="AH32" i="4"/>
  <c r="AH34" i="4" s="1"/>
  <c r="AH134" i="4" s="1"/>
  <c r="AI26" i="4"/>
  <c r="AI32" i="4"/>
  <c r="AI34" i="4" s="1"/>
  <c r="AI134" i="4" s="1"/>
  <c r="AJ26" i="4"/>
  <c r="AJ32" i="4"/>
  <c r="AJ34" i="4" s="1"/>
  <c r="AJ134" i="4" s="1"/>
  <c r="AK26" i="4"/>
  <c r="AK32" i="4"/>
  <c r="AK34" i="4" s="1"/>
  <c r="AK134" i="4" s="1"/>
  <c r="AL26" i="4"/>
  <c r="AL32" i="4"/>
  <c r="AL34" i="4" s="1"/>
  <c r="AL134" i="4" s="1"/>
  <c r="AM26" i="4"/>
  <c r="AM99" i="4"/>
  <c r="AM32" i="4"/>
  <c r="AM34" i="4" s="1"/>
  <c r="AM134" i="4" s="1"/>
  <c r="AN26" i="4"/>
  <c r="AN32" i="4"/>
  <c r="AN34" i="4" s="1"/>
  <c r="AN134" i="4" s="1"/>
  <c r="AO26" i="4"/>
  <c r="AO32" i="4"/>
  <c r="AO34" i="4" s="1"/>
  <c r="AO134" i="4" s="1"/>
  <c r="AP26" i="4"/>
  <c r="AP32" i="4"/>
  <c r="AP34" i="4" s="1"/>
  <c r="AP134" i="4" s="1"/>
  <c r="AQ26" i="4"/>
  <c r="AQ32" i="4"/>
  <c r="AQ34" i="4" s="1"/>
  <c r="AQ134" i="4" s="1"/>
  <c r="AR26" i="4"/>
  <c r="AR32" i="4"/>
  <c r="AR34" i="4" s="1"/>
  <c r="AR134" i="4" s="1"/>
  <c r="AS26" i="4"/>
  <c r="AS32" i="4"/>
  <c r="AS34" i="4" s="1"/>
  <c r="AS55" i="4"/>
  <c r="AS56" i="4" s="1"/>
  <c r="AS65" i="4"/>
  <c r="AS66" i="4" s="1"/>
  <c r="AS75" i="4"/>
  <c r="AS76" i="4" s="1"/>
  <c r="AS85" i="4"/>
  <c r="AS86" i="4" s="1"/>
  <c r="AS95" i="4"/>
  <c r="AS96" i="4" s="1"/>
  <c r="AS105" i="4"/>
  <c r="AS106" i="4" s="1"/>
  <c r="AS107" i="4" s="1"/>
  <c r="AS115" i="4"/>
  <c r="AS116" i="4" s="1"/>
  <c r="AS117" i="4" s="1"/>
  <c r="AS125" i="4"/>
  <c r="AS126" i="4" s="1"/>
  <c r="AS127" i="4" s="1"/>
  <c r="AT26" i="4"/>
  <c r="AT32" i="4"/>
  <c r="AT34" i="4" s="1"/>
  <c r="AT55" i="4"/>
  <c r="AT56" i="4" s="1"/>
  <c r="AT65" i="4"/>
  <c r="AT66" i="4" s="1"/>
  <c r="AT75" i="4"/>
  <c r="AT76" i="4" s="1"/>
  <c r="AT85" i="4"/>
  <c r="AT86" i="4" s="1"/>
  <c r="AT95" i="4"/>
  <c r="AT96" i="4" s="1"/>
  <c r="AT105" i="4"/>
  <c r="AT106" i="4" s="1"/>
  <c r="AT107" i="4" s="1"/>
  <c r="AT115" i="4"/>
  <c r="AT116" i="4" s="1"/>
  <c r="AT117" i="4" s="1"/>
  <c r="AT125" i="4"/>
  <c r="AT126" i="4" s="1"/>
  <c r="AT127" i="4" s="1"/>
  <c r="AU26" i="4"/>
  <c r="AU32" i="4"/>
  <c r="AU34" i="4" s="1"/>
  <c r="AU134" i="4" s="1"/>
  <c r="AU55" i="4"/>
  <c r="AU56" i="4" s="1"/>
  <c r="AU65" i="4"/>
  <c r="AU66" i="4" s="1"/>
  <c r="AU75" i="4"/>
  <c r="AU85" i="4"/>
  <c r="AU95" i="4"/>
  <c r="AU96" i="4" s="1"/>
  <c r="AU105" i="4"/>
  <c r="AU106" i="4" s="1"/>
  <c r="AU115" i="4"/>
  <c r="AU116" i="4" s="1"/>
  <c r="AU117" i="4" s="1"/>
  <c r="AU125" i="4"/>
  <c r="AU126" i="4" s="1"/>
  <c r="AU127" i="4" s="1"/>
  <c r="AU147" i="4"/>
  <c r="AU148" i="4" s="1"/>
  <c r="AU149" i="4" s="1"/>
  <c r="AV26" i="4"/>
  <c r="AU76" i="4"/>
  <c r="AU86" i="4"/>
  <c r="AV32" i="4"/>
  <c r="AV34" i="4" s="1"/>
  <c r="AV42" i="4" s="1"/>
  <c r="AV55" i="4"/>
  <c r="AV56" i="4" s="1"/>
  <c r="AV65" i="4"/>
  <c r="AV66" i="4" s="1"/>
  <c r="AV75" i="4"/>
  <c r="AV76" i="4" s="1"/>
  <c r="AV85" i="4"/>
  <c r="AV86" i="4" s="1"/>
  <c r="AV95" i="4"/>
  <c r="AV96" i="4" s="1"/>
  <c r="AV105" i="4"/>
  <c r="AV106" i="4" s="1"/>
  <c r="AV115" i="4"/>
  <c r="AV116" i="4" s="1"/>
  <c r="AV117" i="4" s="1"/>
  <c r="AV125" i="4"/>
  <c r="AV126" i="4" s="1"/>
  <c r="AV127" i="4" s="1"/>
  <c r="AV147" i="4"/>
  <c r="AV148" i="4" s="1"/>
  <c r="AV149" i="4" s="1"/>
  <c r="AW26" i="4"/>
  <c r="AW32" i="4"/>
  <c r="AW34" i="4" s="1"/>
  <c r="AW134" i="4" s="1"/>
  <c r="AW55" i="4"/>
  <c r="AW56" i="4" s="1"/>
  <c r="AW65" i="4"/>
  <c r="AW66" i="4" s="1"/>
  <c r="AW75" i="4"/>
  <c r="AW85" i="4"/>
  <c r="AW95" i="4"/>
  <c r="AW96" i="4" s="1"/>
  <c r="AW105" i="4"/>
  <c r="AW106" i="4" s="1"/>
  <c r="AW115" i="4"/>
  <c r="AW116" i="4" s="1"/>
  <c r="AW117" i="4" s="1"/>
  <c r="AW125" i="4"/>
  <c r="AW126" i="4" s="1"/>
  <c r="AW127" i="4" s="1"/>
  <c r="AW147" i="4"/>
  <c r="AW148" i="4" s="1"/>
  <c r="AW149" i="4" s="1"/>
  <c r="AX26" i="4"/>
  <c r="AW76" i="4"/>
  <c r="AW86" i="4"/>
  <c r="AX32" i="4"/>
  <c r="AX34" i="4" s="1"/>
  <c r="AX134" i="4" s="1"/>
  <c r="AX65" i="4"/>
  <c r="AX66" i="4" s="1"/>
  <c r="AX75" i="4"/>
  <c r="AX76" i="4" s="1"/>
  <c r="AX85" i="4"/>
  <c r="AX86" i="4" s="1"/>
  <c r="AX95" i="4"/>
  <c r="AX96" i="4" s="1"/>
  <c r="AX105" i="4"/>
  <c r="AX106" i="4" s="1"/>
  <c r="AX115" i="4"/>
  <c r="AX116" i="4" s="1"/>
  <c r="AX125" i="4"/>
  <c r="AX126" i="4" s="1"/>
  <c r="AX127" i="4" s="1"/>
  <c r="AX147" i="4"/>
  <c r="AX148" i="4" s="1"/>
  <c r="AX149" i="4" s="1"/>
  <c r="AY32" i="4"/>
  <c r="AY34" i="4" s="1"/>
  <c r="AY134" i="4" s="1"/>
  <c r="AZ15" i="4"/>
  <c r="AZ20" i="4"/>
  <c r="AZ26" i="4"/>
  <c r="AY65" i="4"/>
  <c r="AY66" i="4" s="1"/>
  <c r="AY75" i="4"/>
  <c r="AY76" i="4" s="1"/>
  <c r="AY85" i="4"/>
  <c r="AY86" i="4" s="1"/>
  <c r="AY95" i="4"/>
  <c r="AY96" i="4" s="1"/>
  <c r="AY105" i="4"/>
  <c r="AY106" i="4" s="1"/>
  <c r="AY115" i="4"/>
  <c r="AY116" i="4" s="1"/>
  <c r="AY125" i="4"/>
  <c r="AY126" i="4" s="1"/>
  <c r="AZ32" i="4"/>
  <c r="AZ34" i="4" s="1"/>
  <c r="AZ134" i="4" s="1"/>
  <c r="BA15" i="4"/>
  <c r="BA26" i="4"/>
  <c r="AZ65" i="4"/>
  <c r="AZ66" i="4" s="1"/>
  <c r="AZ75" i="4"/>
  <c r="AZ76" i="4" s="1"/>
  <c r="AZ85" i="4"/>
  <c r="AZ86" i="4" s="1"/>
  <c r="AZ95" i="4"/>
  <c r="AZ96" i="4" s="1"/>
  <c r="AZ105" i="4"/>
  <c r="AZ106" i="4" s="1"/>
  <c r="AZ115" i="4"/>
  <c r="AZ116" i="4" s="1"/>
  <c r="AZ125" i="4"/>
  <c r="AZ126" i="4" s="1"/>
  <c r="BA32" i="4"/>
  <c r="BA34" i="4" s="1"/>
  <c r="BA134" i="4" s="1"/>
  <c r="BB15" i="4"/>
  <c r="BB26" i="4"/>
  <c r="BA65" i="4"/>
  <c r="BA66" i="4" s="1"/>
  <c r="BA75" i="4"/>
  <c r="BA76" i="4" s="1"/>
  <c r="BA85" i="4"/>
  <c r="BA86" i="4" s="1"/>
  <c r="BA95" i="4"/>
  <c r="BA96" i="4" s="1"/>
  <c r="BA105" i="4"/>
  <c r="BA106" i="4" s="1"/>
  <c r="BA107" i="4" s="1"/>
  <c r="BA115" i="4"/>
  <c r="BA116" i="4" s="1"/>
  <c r="BA117" i="4" s="1"/>
  <c r="BA125" i="4"/>
  <c r="BA126" i="4" s="1"/>
  <c r="BA127" i="4" s="1"/>
  <c r="BB32" i="4"/>
  <c r="BB34" i="4" s="1"/>
  <c r="BB134" i="4" s="1"/>
  <c r="BC15" i="4"/>
  <c r="BC26" i="4"/>
  <c r="BB65" i="4"/>
  <c r="BB66" i="4" s="1"/>
  <c r="BB75" i="4"/>
  <c r="BB76" i="4" s="1"/>
  <c r="BB85" i="4"/>
  <c r="BB86" i="4" s="1"/>
  <c r="BB95" i="4"/>
  <c r="BB96" i="4" s="1"/>
  <c r="BB105" i="4"/>
  <c r="BB106" i="4" s="1"/>
  <c r="BB107" i="4" s="1"/>
  <c r="BB115" i="4"/>
  <c r="BB116" i="4" s="1"/>
  <c r="BB117" i="4" s="1"/>
  <c r="BB125" i="4"/>
  <c r="BB126" i="4" s="1"/>
  <c r="BB127" i="4" s="1"/>
  <c r="BC32" i="4"/>
  <c r="BC34" i="4" s="1"/>
  <c r="BC134" i="4" s="1"/>
  <c r="BD15" i="4"/>
  <c r="BD26" i="4"/>
  <c r="BC65" i="4"/>
  <c r="BC66" i="4" s="1"/>
  <c r="BC75" i="4"/>
  <c r="BC76" i="4" s="1"/>
  <c r="BC85" i="4"/>
  <c r="BC86" i="4" s="1"/>
  <c r="BC95" i="4"/>
  <c r="BC96" i="4" s="1"/>
  <c r="BC105" i="4"/>
  <c r="BC106" i="4" s="1"/>
  <c r="BC107" i="4" s="1"/>
  <c r="BC115" i="4"/>
  <c r="BC116" i="4" s="1"/>
  <c r="BC117" i="4" s="1"/>
  <c r="BC125" i="4"/>
  <c r="BC126" i="4" s="1"/>
  <c r="BC127" i="4" s="1"/>
  <c r="BD32" i="4"/>
  <c r="BD34" i="4" s="1"/>
  <c r="BD134" i="4" s="1"/>
  <c r="BD174" i="4"/>
  <c r="AN184" i="4"/>
  <c r="BD125" i="4"/>
  <c r="BD126" i="4" s="1"/>
  <c r="BD85" i="4"/>
  <c r="BD86" i="4" s="1"/>
  <c r="BD115" i="4"/>
  <c r="BD116" i="4" s="1"/>
  <c r="BD75" i="4"/>
  <c r="BD76" i="4" s="1"/>
  <c r="BD105" i="4"/>
  <c r="BD106" i="4" s="1"/>
  <c r="BD65" i="4"/>
  <c r="BD66" i="4" s="1"/>
  <c r="BD95" i="4"/>
  <c r="BD96" i="4" s="1"/>
  <c r="BE16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BC174" i="4"/>
  <c r="BB174" i="4"/>
  <c r="BA174" i="4"/>
  <c r="AZ174" i="4"/>
  <c r="AY174" i="4"/>
  <c r="AG147" i="4"/>
  <c r="AG148" i="4" s="1"/>
  <c r="AG149" i="4" s="1"/>
  <c r="AF147" i="4"/>
  <c r="AF148" i="4" s="1"/>
  <c r="AF149" i="4" s="1"/>
  <c r="AE147" i="4"/>
  <c r="AE148" i="4" s="1"/>
  <c r="AE149" i="4" s="1"/>
  <c r="AD147" i="4"/>
  <c r="AD148" i="4" s="1"/>
  <c r="AD149" i="4" s="1"/>
  <c r="AC147" i="4"/>
  <c r="AC148" i="4" s="1"/>
  <c r="AC149" i="4" s="1"/>
  <c r="AB147" i="4"/>
  <c r="AB148" i="4" s="1"/>
  <c r="AB149" i="4" s="1"/>
  <c r="AA147" i="4"/>
  <c r="AA148" i="4" s="1"/>
  <c r="AA149" i="4" s="1"/>
  <c r="Y147" i="4"/>
  <c r="Y148" i="4" s="1"/>
  <c r="Y149" i="4" s="1"/>
  <c r="X147" i="4"/>
  <c r="X148" i="4" s="1"/>
  <c r="X149" i="4" s="1"/>
  <c r="V147" i="4"/>
  <c r="V148" i="4" s="1"/>
  <c r="P147" i="4"/>
  <c r="P148" i="4" s="1"/>
  <c r="P149" i="4" s="1"/>
  <c r="O147" i="4"/>
  <c r="O148" i="4" s="1"/>
  <c r="O149" i="4" s="1"/>
  <c r="N147" i="4"/>
  <c r="N148" i="4" s="1"/>
  <c r="M147" i="4"/>
  <c r="M148" i="4" s="1"/>
  <c r="L147" i="4"/>
  <c r="L148" i="4" s="1"/>
  <c r="K147" i="4"/>
  <c r="K148" i="4" s="1"/>
  <c r="J147" i="4"/>
  <c r="J148" i="4" s="1"/>
  <c r="I147" i="4"/>
  <c r="I148" i="4" s="1"/>
  <c r="H147" i="4"/>
  <c r="H148" i="4" s="1"/>
  <c r="H149" i="4" s="1"/>
  <c r="G143" i="4"/>
  <c r="Q142" i="4"/>
  <c r="X37" i="5"/>
  <c r="N37" i="5"/>
  <c r="F37" i="5"/>
  <c r="AX174" i="4"/>
  <c r="AW174" i="4"/>
  <c r="AV174" i="4"/>
  <c r="AU174" i="4"/>
  <c r="AT174" i="4"/>
  <c r="AS174" i="4"/>
  <c r="D2" i="5"/>
  <c r="Z3" i="5"/>
  <c r="AA4" i="5" s="1"/>
  <c r="Z4" i="5"/>
  <c r="AA5" i="5" s="1"/>
  <c r="Z5" i="5"/>
  <c r="AA6" i="5" s="1"/>
  <c r="Z6" i="5"/>
  <c r="AA7" i="5" s="1"/>
  <c r="Z7" i="5"/>
  <c r="AA8" i="5" s="1"/>
  <c r="Z8" i="5"/>
  <c r="AA9" i="5" s="1"/>
  <c r="Z9" i="5"/>
  <c r="AA10" i="5" s="1"/>
  <c r="Z10" i="5"/>
  <c r="AA11" i="5" s="1"/>
  <c r="Z11" i="5"/>
  <c r="AA12" i="5" s="1"/>
  <c r="Z12" i="5"/>
  <c r="AA13" i="5" s="1"/>
  <c r="Z13" i="5"/>
  <c r="AA14" i="5" s="1"/>
  <c r="Z14" i="5"/>
  <c r="AA15" i="5" s="1"/>
  <c r="Z15" i="5"/>
  <c r="AA16" i="5" s="1"/>
  <c r="Z16" i="5"/>
  <c r="AA17" i="5" s="1"/>
  <c r="Z17" i="5"/>
  <c r="AA18" i="5" s="1"/>
  <c r="Z18" i="5"/>
  <c r="AA19" i="5" s="1"/>
  <c r="Z19" i="5"/>
  <c r="AA20" i="5" s="1"/>
  <c r="Z20" i="5"/>
  <c r="AA21" i="5" s="1"/>
  <c r="Z21" i="5"/>
  <c r="AA22" i="5" s="1"/>
  <c r="Z22" i="5"/>
  <c r="AA23" i="5" s="1"/>
  <c r="Z23" i="5"/>
  <c r="AA24" i="5" s="1"/>
  <c r="Z24" i="5"/>
  <c r="AA25" i="5" s="1"/>
  <c r="Z25" i="5"/>
  <c r="AA26" i="5" s="1"/>
  <c r="Z26" i="5"/>
  <c r="AA27" i="5" s="1"/>
  <c r="Z27" i="5"/>
  <c r="AA28" i="5" s="1"/>
  <c r="Z28" i="5"/>
  <c r="AA29" i="5" s="1"/>
  <c r="Z29" i="5"/>
  <c r="AA30" i="5" s="1"/>
  <c r="Z30" i="5"/>
  <c r="AA31" i="5" s="1"/>
  <c r="Z31" i="5"/>
  <c r="AA32" i="5" s="1"/>
  <c r="Z2" i="5"/>
  <c r="AA3" i="5" s="1"/>
  <c r="P27" i="5"/>
  <c r="Q28" i="5" s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Q23" i="5" s="1"/>
  <c r="P23" i="5"/>
  <c r="Q24" i="5" s="1"/>
  <c r="P24" i="5"/>
  <c r="Q25" i="5" s="1"/>
  <c r="P25" i="5"/>
  <c r="Q26" i="5" s="1"/>
  <c r="P26" i="5"/>
  <c r="Q27" i="5" s="1"/>
  <c r="P28" i="5"/>
  <c r="Q29" i="5" s="1"/>
  <c r="P29" i="5"/>
  <c r="Q30" i="5" s="1"/>
  <c r="P30" i="5"/>
  <c r="Q31" i="5" s="1"/>
  <c r="P31" i="5"/>
  <c r="Q32" i="5" s="1"/>
  <c r="P2" i="5"/>
  <c r="H6" i="5"/>
  <c r="I7" i="5" s="1"/>
  <c r="H7" i="5"/>
  <c r="I8" i="5" s="1"/>
  <c r="H8" i="5"/>
  <c r="I9" i="5" s="1"/>
  <c r="H9" i="5"/>
  <c r="I10" i="5" s="1"/>
  <c r="H10" i="5"/>
  <c r="I11" i="5" s="1"/>
  <c r="H11" i="5"/>
  <c r="I12" i="5" s="1"/>
  <c r="H12" i="5"/>
  <c r="I13" i="5" s="1"/>
  <c r="H13" i="5"/>
  <c r="I14" i="5" s="1"/>
  <c r="H14" i="5"/>
  <c r="I15" i="5" s="1"/>
  <c r="H15" i="5"/>
  <c r="I16" i="5" s="1"/>
  <c r="H16" i="5"/>
  <c r="I17" i="5" s="1"/>
  <c r="H17" i="5"/>
  <c r="I18" i="5" s="1"/>
  <c r="H18" i="5"/>
  <c r="I19" i="5" s="1"/>
  <c r="H19" i="5"/>
  <c r="I20" i="5" s="1"/>
  <c r="H20" i="5"/>
  <c r="I21" i="5" s="1"/>
  <c r="H21" i="5"/>
  <c r="I22" i="5" s="1"/>
  <c r="H22" i="5"/>
  <c r="I23" i="5" s="1"/>
  <c r="H23" i="5"/>
  <c r="I24" i="5" s="1"/>
  <c r="H24" i="5"/>
  <c r="I25" i="5" s="1"/>
  <c r="H25" i="5"/>
  <c r="I26" i="5" s="1"/>
  <c r="H26" i="5"/>
  <c r="I27" i="5" s="1"/>
  <c r="H27" i="5"/>
  <c r="I28" i="5" s="1"/>
  <c r="H28" i="5"/>
  <c r="I29" i="5" s="1"/>
  <c r="H29" i="5"/>
  <c r="I30" i="5" s="1"/>
  <c r="H30" i="5"/>
  <c r="I31" i="5" s="1"/>
  <c r="H31" i="5"/>
  <c r="I32" i="5" s="1"/>
  <c r="H2" i="5"/>
  <c r="I3" i="5" s="1"/>
  <c r="AF4" i="5"/>
  <c r="D3" i="5"/>
  <c r="X32" i="5"/>
  <c r="X27" i="5"/>
  <c r="X23" i="5"/>
  <c r="X18" i="5"/>
  <c r="X14" i="5"/>
  <c r="N32" i="5"/>
  <c r="N27" i="5"/>
  <c r="G32" i="5"/>
  <c r="F14" i="5"/>
  <c r="F18" i="5"/>
  <c r="F23" i="5"/>
  <c r="F27" i="5"/>
  <c r="F32" i="5"/>
  <c r="AR174" i="4"/>
  <c r="AO125" i="4"/>
  <c r="AO126" i="4" s="1"/>
  <c r="AN125" i="4"/>
  <c r="AN126" i="4" s="1"/>
  <c r="AM125" i="4"/>
  <c r="AM126" i="4" s="1"/>
  <c r="AL125" i="4"/>
  <c r="AL126" i="4" s="1"/>
  <c r="AK125" i="4"/>
  <c r="AK126" i="4" s="1"/>
  <c r="AJ125" i="4"/>
  <c r="AJ126" i="4" s="1"/>
  <c r="AI125" i="4"/>
  <c r="AI126" i="4" s="1"/>
  <c r="AH125" i="4"/>
  <c r="AH126" i="4" s="1"/>
  <c r="AG125" i="4"/>
  <c r="AG126" i="4" s="1"/>
  <c r="AF125" i="4"/>
  <c r="AF126" i="4" s="1"/>
  <c r="AE125" i="4"/>
  <c r="AE126" i="4" s="1"/>
  <c r="AD125" i="4"/>
  <c r="AD126" i="4" s="1"/>
  <c r="AC125" i="4"/>
  <c r="AC126" i="4" s="1"/>
  <c r="AB125" i="4"/>
  <c r="AB126" i="4" s="1"/>
  <c r="AA125" i="4"/>
  <c r="AA126" i="4" s="1"/>
  <c r="Y125" i="4"/>
  <c r="Y126" i="4" s="1"/>
  <c r="X125" i="4"/>
  <c r="X126" i="4" s="1"/>
  <c r="V125" i="4"/>
  <c r="V126" i="4" s="1"/>
  <c r="T125" i="4"/>
  <c r="T126" i="4" s="1"/>
  <c r="Q125" i="4"/>
  <c r="Q126" i="4" s="1"/>
  <c r="P125" i="4"/>
  <c r="P126" i="4" s="1"/>
  <c r="O125" i="4"/>
  <c r="O126" i="4" s="1"/>
  <c r="N125" i="4"/>
  <c r="N126" i="4" s="1"/>
  <c r="M125" i="4"/>
  <c r="M126" i="4" s="1"/>
  <c r="L125" i="4"/>
  <c r="L126" i="4" s="1"/>
  <c r="K125" i="4"/>
  <c r="K126" i="4" s="1"/>
  <c r="J125" i="4"/>
  <c r="J126" i="4" s="1"/>
  <c r="I125" i="4"/>
  <c r="I126" i="4" s="1"/>
  <c r="H125" i="4"/>
  <c r="H126" i="4" s="1"/>
  <c r="H127" i="4" s="1"/>
  <c r="G121" i="4"/>
  <c r="AQ174" i="4"/>
  <c r="AP174" i="4"/>
  <c r="AL115" i="4"/>
  <c r="AL116" i="4" s="1"/>
  <c r="AK115" i="4"/>
  <c r="AK116" i="4" s="1"/>
  <c r="AJ115" i="4"/>
  <c r="AJ116" i="4" s="1"/>
  <c r="AI115" i="4"/>
  <c r="AI116" i="4" s="1"/>
  <c r="AH115" i="4"/>
  <c r="AH116" i="4" s="1"/>
  <c r="AG115" i="4"/>
  <c r="AG116" i="4" s="1"/>
  <c r="AF115" i="4"/>
  <c r="AF116" i="4" s="1"/>
  <c r="AE115" i="4"/>
  <c r="AE116" i="4" s="1"/>
  <c r="AD115" i="4"/>
  <c r="AD116" i="4" s="1"/>
  <c r="AC115" i="4"/>
  <c r="AC116" i="4" s="1"/>
  <c r="AB115" i="4"/>
  <c r="AB116" i="4" s="1"/>
  <c r="AA115" i="4"/>
  <c r="AA116" i="4" s="1"/>
  <c r="Y115" i="4"/>
  <c r="Y116" i="4" s="1"/>
  <c r="X115" i="4"/>
  <c r="X116" i="4" s="1"/>
  <c r="V115" i="4"/>
  <c r="V116" i="4" s="1"/>
  <c r="T115" i="4"/>
  <c r="T116" i="4" s="1"/>
  <c r="Q115" i="4"/>
  <c r="Q116" i="4" s="1"/>
  <c r="P115" i="4"/>
  <c r="P116" i="4" s="1"/>
  <c r="O115" i="4"/>
  <c r="O116" i="4" s="1"/>
  <c r="N115" i="4"/>
  <c r="N116" i="4" s="1"/>
  <c r="M115" i="4"/>
  <c r="M116" i="4" s="1"/>
  <c r="L115" i="4"/>
  <c r="L116" i="4" s="1"/>
  <c r="K115" i="4"/>
  <c r="K116" i="4" s="1"/>
  <c r="J115" i="4"/>
  <c r="J116" i="4" s="1"/>
  <c r="I115" i="4"/>
  <c r="I116" i="4" s="1"/>
  <c r="H115" i="4"/>
  <c r="H116" i="4" s="1"/>
  <c r="H117" i="4" s="1"/>
  <c r="G111" i="4"/>
  <c r="AO174" i="4"/>
  <c r="AN174" i="4"/>
  <c r="AM174" i="4"/>
  <c r="AH105" i="4"/>
  <c r="AH106" i="4" s="1"/>
  <c r="AG105" i="4"/>
  <c r="AG106" i="4" s="1"/>
  <c r="AG107" i="4" s="1"/>
  <c r="AF105" i="4"/>
  <c r="AF106" i="4" s="1"/>
  <c r="AE105" i="4"/>
  <c r="AE106" i="4" s="1"/>
  <c r="AD105" i="4"/>
  <c r="AD106" i="4" s="1"/>
  <c r="AC105" i="4"/>
  <c r="AC106" i="4" s="1"/>
  <c r="AB105" i="4"/>
  <c r="AB106" i="4" s="1"/>
  <c r="AA105" i="4"/>
  <c r="AA106" i="4" s="1"/>
  <c r="Y105" i="4"/>
  <c r="Y106" i="4" s="1"/>
  <c r="X105" i="4"/>
  <c r="X106" i="4" s="1"/>
  <c r="V105" i="4"/>
  <c r="V106" i="4" s="1"/>
  <c r="T105" i="4"/>
  <c r="T106" i="4" s="1"/>
  <c r="T107" i="4" s="1"/>
  <c r="Q105" i="4"/>
  <c r="Q106" i="4" s="1"/>
  <c r="P105" i="4"/>
  <c r="P106" i="4" s="1"/>
  <c r="O105" i="4"/>
  <c r="O106" i="4" s="1"/>
  <c r="N105" i="4"/>
  <c r="N106" i="4" s="1"/>
  <c r="M105" i="4"/>
  <c r="M106" i="4" s="1"/>
  <c r="L105" i="4"/>
  <c r="L106" i="4" s="1"/>
  <c r="K105" i="4"/>
  <c r="K106" i="4" s="1"/>
  <c r="J105" i="4"/>
  <c r="J106" i="4" s="1"/>
  <c r="I105" i="4"/>
  <c r="I106" i="4" s="1"/>
  <c r="H105" i="4"/>
  <c r="H106" i="4" s="1"/>
  <c r="H107" i="4" s="1"/>
  <c r="G101" i="4"/>
  <c r="AM184" i="4"/>
  <c r="AL174" i="4"/>
  <c r="AK174" i="4"/>
  <c r="BE174" i="4"/>
  <c r="BF174" i="4"/>
  <c r="BG174" i="4"/>
  <c r="BH174" i="4"/>
  <c r="AJ174" i="4"/>
  <c r="AI35" i="4"/>
  <c r="AH95" i="4"/>
  <c r="AH96" i="4" s="1"/>
  <c r="AG95" i="4"/>
  <c r="AG96" i="4" s="1"/>
  <c r="AG97" i="4" s="1"/>
  <c r="AF95" i="4"/>
  <c r="AF96" i="4" s="1"/>
  <c r="AE95" i="4"/>
  <c r="AE96" i="4" s="1"/>
  <c r="AD95" i="4"/>
  <c r="AD96" i="4" s="1"/>
  <c r="AC95" i="4"/>
  <c r="AC96" i="4" s="1"/>
  <c r="AB95" i="4"/>
  <c r="AB96" i="4" s="1"/>
  <c r="AA95" i="4"/>
  <c r="AA96" i="4" s="1"/>
  <c r="Y95" i="4"/>
  <c r="Y96" i="4" s="1"/>
  <c r="X95" i="4"/>
  <c r="X96" i="4" s="1"/>
  <c r="V95" i="4"/>
  <c r="V96" i="4" s="1"/>
  <c r="P95" i="4"/>
  <c r="P96" i="4" s="1"/>
  <c r="P97" i="4" s="1"/>
  <c r="O95" i="4"/>
  <c r="O96" i="4" s="1"/>
  <c r="N95" i="4"/>
  <c r="N96" i="4" s="1"/>
  <c r="M95" i="4"/>
  <c r="M96" i="4" s="1"/>
  <c r="L95" i="4"/>
  <c r="L96" i="4" s="1"/>
  <c r="K95" i="4"/>
  <c r="K96" i="4" s="1"/>
  <c r="J95" i="4"/>
  <c r="J96" i="4" s="1"/>
  <c r="I95" i="4"/>
  <c r="I96" i="4" s="1"/>
  <c r="H95" i="4"/>
  <c r="H96" i="4" s="1"/>
  <c r="H97" i="4" s="1"/>
  <c r="G91" i="4"/>
  <c r="AI174" i="4"/>
  <c r="AG136" i="4"/>
  <c r="AG137" i="4" s="1"/>
  <c r="AF136" i="4"/>
  <c r="AF137" i="4" s="1"/>
  <c r="AE136" i="4"/>
  <c r="AE137" i="4" s="1"/>
  <c r="AD136" i="4"/>
  <c r="AD137" i="4" s="1"/>
  <c r="AC136" i="4"/>
  <c r="AC137" i="4" s="1"/>
  <c r="AB136" i="4"/>
  <c r="AB137" i="4" s="1"/>
  <c r="AA136" i="4"/>
  <c r="AA137" i="4" s="1"/>
  <c r="Y136" i="4"/>
  <c r="Y137" i="4" s="1"/>
  <c r="X136" i="4"/>
  <c r="X137" i="4" s="1"/>
  <c r="V136" i="4"/>
  <c r="V137" i="4" s="1"/>
  <c r="P136" i="4"/>
  <c r="P137" i="4" s="1"/>
  <c r="P138" i="4" s="1"/>
  <c r="O136" i="4"/>
  <c r="O137" i="4" s="1"/>
  <c r="N136" i="4"/>
  <c r="N137" i="4" s="1"/>
  <c r="M136" i="4"/>
  <c r="M137" i="4" s="1"/>
  <c r="L136" i="4"/>
  <c r="L137" i="4" s="1"/>
  <c r="K136" i="4"/>
  <c r="K137" i="4" s="1"/>
  <c r="J136" i="4"/>
  <c r="J137" i="4" s="1"/>
  <c r="I136" i="4"/>
  <c r="I137" i="4" s="1"/>
  <c r="H136" i="4"/>
  <c r="H137" i="4" s="1"/>
  <c r="H138" i="4" s="1"/>
  <c r="G132" i="4"/>
  <c r="AF85" i="4"/>
  <c r="AF86" i="4" s="1"/>
  <c r="AF87" i="4" s="1"/>
  <c r="AE85" i="4"/>
  <c r="AE86" i="4" s="1"/>
  <c r="AE87" i="4" s="1"/>
  <c r="AD85" i="4"/>
  <c r="AD86" i="4" s="1"/>
  <c r="AD87" i="4" s="1"/>
  <c r="AC85" i="4"/>
  <c r="AC86" i="4" s="1"/>
  <c r="AC87" i="4" s="1"/>
  <c r="AB85" i="4"/>
  <c r="AB86" i="4" s="1"/>
  <c r="AB87" i="4" s="1"/>
  <c r="AA85" i="4"/>
  <c r="AA86" i="4" s="1"/>
  <c r="AA87" i="4" s="1"/>
  <c r="Y85" i="4"/>
  <c r="Y86" i="4" s="1"/>
  <c r="Y87" i="4" s="1"/>
  <c r="X85" i="4"/>
  <c r="X86" i="4" s="1"/>
  <c r="X87" i="4" s="1"/>
  <c r="V85" i="4"/>
  <c r="V86" i="4" s="1"/>
  <c r="P85" i="4"/>
  <c r="P86" i="4" s="1"/>
  <c r="P87" i="4" s="1"/>
  <c r="O85" i="4"/>
  <c r="O86" i="4" s="1"/>
  <c r="O87" i="4" s="1"/>
  <c r="N85" i="4"/>
  <c r="N86" i="4" s="1"/>
  <c r="M85" i="4"/>
  <c r="M86" i="4" s="1"/>
  <c r="L85" i="4"/>
  <c r="L86" i="4" s="1"/>
  <c r="K85" i="4"/>
  <c r="K86" i="4" s="1"/>
  <c r="J85" i="4"/>
  <c r="J86" i="4" s="1"/>
  <c r="I85" i="4"/>
  <c r="H85" i="4"/>
  <c r="H86" i="4" s="1"/>
  <c r="H87" i="4" s="1"/>
  <c r="G81" i="4"/>
  <c r="AH174" i="4"/>
  <c r="I86" i="4"/>
  <c r="AG174" i="4"/>
  <c r="AF174" i="4"/>
  <c r="AF75" i="4"/>
  <c r="AF76" i="4" s="1"/>
  <c r="AF77" i="4" s="1"/>
  <c r="AF47" i="4"/>
  <c r="AE174" i="4"/>
  <c r="AE75" i="4"/>
  <c r="AE76" i="4" s="1"/>
  <c r="AF48" i="5"/>
  <c r="AD174" i="4"/>
  <c r="AD75" i="4"/>
  <c r="AD76" i="4" s="1"/>
  <c r="AD77" i="4" s="1"/>
  <c r="AC174" i="4"/>
  <c r="AC75" i="4"/>
  <c r="AC76" i="4" s="1"/>
  <c r="AB174" i="4"/>
  <c r="AB75" i="4"/>
  <c r="AB76" i="4" s="1"/>
  <c r="AB77" i="4" s="1"/>
  <c r="Y174" i="4"/>
  <c r="AA174" i="4"/>
  <c r="Z174" i="4"/>
  <c r="AA75" i="4"/>
  <c r="AA76" i="4" s="1"/>
  <c r="AA77" i="4" s="1"/>
  <c r="Y75" i="4"/>
  <c r="Y76" i="4" s="1"/>
  <c r="Y77" i="4" s="1"/>
  <c r="U43" i="4"/>
  <c r="U52" i="4"/>
  <c r="X174" i="4"/>
  <c r="B53" i="4"/>
  <c r="G61" i="4" s="1"/>
  <c r="X75" i="4"/>
  <c r="X76" i="4" s="1"/>
  <c r="U174" i="4"/>
  <c r="V174" i="4"/>
  <c r="W174" i="4"/>
  <c r="V75" i="4"/>
  <c r="V76" i="4" s="1"/>
  <c r="T174" i="4"/>
  <c r="O75" i="4"/>
  <c r="O76" i="4" s="1"/>
  <c r="O77" i="4" s="1"/>
  <c r="N75" i="4"/>
  <c r="N76" i="4" s="1"/>
  <c r="M75" i="4"/>
  <c r="M76" i="4" s="1"/>
  <c r="L75" i="4"/>
  <c r="L76" i="4" s="1"/>
  <c r="L77" i="4" s="1"/>
  <c r="K75" i="4"/>
  <c r="K76" i="4" s="1"/>
  <c r="J75" i="4"/>
  <c r="J76" i="4" s="1"/>
  <c r="I75" i="4"/>
  <c r="I76" i="4" s="1"/>
  <c r="H75" i="4"/>
  <c r="H76" i="4" s="1"/>
  <c r="H77" i="4" s="1"/>
  <c r="G71" i="4"/>
  <c r="Q174" i="4"/>
  <c r="B48" i="4"/>
  <c r="N65" i="4"/>
  <c r="N66" i="4" s="1"/>
  <c r="M65" i="4"/>
  <c r="M66" i="4" s="1"/>
  <c r="L65" i="4"/>
  <c r="L66" i="4" s="1"/>
  <c r="K65" i="4"/>
  <c r="K66" i="4" s="1"/>
  <c r="J65" i="4"/>
  <c r="J66" i="4" s="1"/>
  <c r="I65" i="4"/>
  <c r="I66" i="4" s="1"/>
  <c r="H65" i="4"/>
  <c r="H66" i="4" s="1"/>
  <c r="H67" i="4" s="1"/>
  <c r="O47" i="4"/>
  <c r="G51" i="4"/>
  <c r="G40" i="4"/>
  <c r="H55" i="4"/>
  <c r="H56" i="4" s="1"/>
  <c r="H57" i="4" s="1"/>
  <c r="H30" i="4"/>
  <c r="E15" i="4"/>
  <c r="B37" i="4"/>
  <c r="L26" i="4"/>
  <c r="E5" i="4"/>
  <c r="H2" i="3"/>
  <c r="H4" i="3" s="1"/>
  <c r="G14" i="3"/>
  <c r="E14" i="3"/>
  <c r="G13" i="3"/>
  <c r="I13" i="3" s="1"/>
  <c r="K13" i="3" s="1"/>
  <c r="E13" i="3"/>
  <c r="D12" i="3"/>
  <c r="E12" i="3" s="1"/>
  <c r="G11" i="3"/>
  <c r="I11" i="3" s="1"/>
  <c r="K11" i="3" s="1"/>
  <c r="E11" i="3"/>
  <c r="G10" i="3"/>
  <c r="E10" i="3"/>
  <c r="D16" i="3" s="1"/>
  <c r="G16" i="3" s="1"/>
  <c r="F9" i="3"/>
  <c r="G9" i="3" s="1"/>
  <c r="F8" i="3"/>
  <c r="D8" i="3"/>
  <c r="E8" i="3" s="1"/>
  <c r="F7" i="3"/>
  <c r="G7" i="3" s="1"/>
  <c r="F6" i="3"/>
  <c r="D6" i="3"/>
  <c r="E6" i="3" s="1"/>
  <c r="F5" i="3"/>
  <c r="D5" i="3"/>
  <c r="E5" i="3" s="1"/>
  <c r="F4" i="3"/>
  <c r="D4" i="3"/>
  <c r="E4" i="3" s="1"/>
  <c r="F3" i="3"/>
  <c r="D3" i="3"/>
  <c r="F9" i="1"/>
  <c r="G9" i="1" s="1"/>
  <c r="I9" i="1" s="1"/>
  <c r="E11" i="1"/>
  <c r="E13" i="1"/>
  <c r="E14" i="1"/>
  <c r="D6" i="1"/>
  <c r="D5" i="1"/>
  <c r="E5" i="1" s="1"/>
  <c r="D4" i="1"/>
  <c r="D3" i="1"/>
  <c r="E3" i="1" s="1"/>
  <c r="E10" i="1"/>
  <c r="D16" i="1" s="1"/>
  <c r="G16" i="1" s="1"/>
  <c r="I16" i="1" s="1"/>
  <c r="G10" i="1"/>
  <c r="H10" i="1" s="1"/>
  <c r="I10" i="1" s="1"/>
  <c r="G11" i="1"/>
  <c r="I11" i="1" s="1"/>
  <c r="G14" i="1"/>
  <c r="I14" i="1" s="1"/>
  <c r="D12" i="1"/>
  <c r="E12" i="1" s="1"/>
  <c r="D8" i="1"/>
  <c r="E8" i="1" s="1"/>
  <c r="F8" i="1"/>
  <c r="F7" i="1"/>
  <c r="G7" i="1" s="1"/>
  <c r="I7" i="1" s="1"/>
  <c r="F6" i="1"/>
  <c r="F5" i="1"/>
  <c r="F4" i="1"/>
  <c r="F3" i="1"/>
  <c r="BW20" i="4"/>
  <c r="BV20" i="4"/>
  <c r="G13" i="1"/>
  <c r="I13" i="1" s="1"/>
  <c r="I55" i="4"/>
  <c r="I56" i="4" s="1"/>
  <c r="J55" i="4"/>
  <c r="J56" i="4" s="1"/>
  <c r="K55" i="4"/>
  <c r="K56" i="4" s="1"/>
  <c r="L55" i="4"/>
  <c r="L56" i="4" s="1"/>
  <c r="M55" i="4"/>
  <c r="M56" i="4" s="1"/>
  <c r="N55" i="4"/>
  <c r="O65" i="4"/>
  <c r="O66" i="4" s="1"/>
  <c r="P75" i="4"/>
  <c r="P76" i="4" s="1"/>
  <c r="R179" i="4"/>
  <c r="R183" i="4" s="1"/>
  <c r="R186" i="4" s="1"/>
  <c r="R188" i="4" s="1"/>
  <c r="R180" i="4"/>
  <c r="R181" i="4" s="1"/>
  <c r="Q85" i="4"/>
  <c r="Q86" i="4" s="1"/>
  <c r="Q87" i="4" s="1"/>
  <c r="Q95" i="4"/>
  <c r="Q96" i="4" s="1"/>
  <c r="Q97" i="4" s="1"/>
  <c r="S179" i="4"/>
  <c r="S183" i="4" s="1"/>
  <c r="S186" i="4" s="1"/>
  <c r="S188" i="4" s="1"/>
  <c r="S180" i="4"/>
  <c r="S181" i="4" s="1"/>
  <c r="T95" i="4"/>
  <c r="T96" i="4" s="1"/>
  <c r="T97" i="4" s="1"/>
  <c r="T85" i="4"/>
  <c r="T86" i="4" s="1"/>
  <c r="AG85" i="4"/>
  <c r="AG86" i="4" s="1"/>
  <c r="AH147" i="4"/>
  <c r="AH148" i="4" s="1"/>
  <c r="AH149" i="4" s="1"/>
  <c r="AI147" i="4"/>
  <c r="AI148" i="4" s="1"/>
  <c r="AI149" i="4" s="1"/>
  <c r="AI105" i="4"/>
  <c r="AI106" i="4" s="1"/>
  <c r="AJ105" i="4"/>
  <c r="AJ106" i="4" s="1"/>
  <c r="AJ147" i="4"/>
  <c r="AJ148" i="4" s="1"/>
  <c r="AJ149" i="4" s="1"/>
  <c r="AK105" i="4"/>
  <c r="AK106" i="4" s="1"/>
  <c r="AK147" i="4"/>
  <c r="AK148" i="4" s="1"/>
  <c r="AK149" i="4" s="1"/>
  <c r="AL105" i="4"/>
  <c r="AL106" i="4" s="1"/>
  <c r="AL147" i="4"/>
  <c r="AL148" i="4" s="1"/>
  <c r="AL149" i="4" s="1"/>
  <c r="AM115" i="4"/>
  <c r="AM116" i="4" s="1"/>
  <c r="AM147" i="4"/>
  <c r="AM148" i="4" s="1"/>
  <c r="AM149" i="4" s="1"/>
  <c r="AN115" i="4"/>
  <c r="AN116" i="4" s="1"/>
  <c r="AN147" i="4"/>
  <c r="AN148" i="4" s="1"/>
  <c r="AN149" i="4" s="1"/>
  <c r="AO115" i="4"/>
  <c r="AO116" i="4" s="1"/>
  <c r="AO147" i="4"/>
  <c r="AO148" i="4" s="1"/>
  <c r="AO149" i="4" s="1"/>
  <c r="AP147" i="4"/>
  <c r="AP148" i="4" s="1"/>
  <c r="AP149" i="4" s="1"/>
  <c r="AP125" i="4"/>
  <c r="AP126" i="4" s="1"/>
  <c r="AQ147" i="4"/>
  <c r="AQ148" i="4" s="1"/>
  <c r="AQ149" i="4" s="1"/>
  <c r="AR147" i="4"/>
  <c r="AR148" i="4" s="1"/>
  <c r="AR149" i="4" s="1"/>
  <c r="AS147" i="4"/>
  <c r="AS148" i="4" s="1"/>
  <c r="AS149" i="4" s="1"/>
  <c r="AT147" i="4"/>
  <c r="AT148" i="4" s="1"/>
  <c r="AT149" i="4" s="1"/>
  <c r="BE172" i="4"/>
  <c r="BE162" i="4"/>
  <c r="BE164" i="4" s="1"/>
  <c r="Z73" i="5" l="1"/>
  <c r="AA74" i="5" s="1"/>
  <c r="L17" i="4"/>
  <c r="CG4" i="4"/>
  <c r="CD4" i="4"/>
  <c r="CB17" i="4"/>
  <c r="CB21" i="4" s="1"/>
  <c r="BL4" i="4"/>
  <c r="BB17" i="4"/>
  <c r="CA4" i="4"/>
  <c r="BU4" i="4"/>
  <c r="BP4" i="4"/>
  <c r="BJ17" i="4"/>
  <c r="BJ21" i="4" s="1"/>
  <c r="H4" i="4"/>
  <c r="W4" i="4"/>
  <c r="AH4" i="4"/>
  <c r="AK4" i="4"/>
  <c r="AU4" i="4"/>
  <c r="AX4" i="4"/>
  <c r="CH4" i="4"/>
  <c r="BW4" i="4"/>
  <c r="BM4" i="4"/>
  <c r="BK4" i="4"/>
  <c r="J4" i="4"/>
  <c r="BT4" i="4"/>
  <c r="BQ4" i="4"/>
  <c r="BO4" i="4"/>
  <c r="BH4" i="4"/>
  <c r="AZ4" i="4"/>
  <c r="AG4" i="4"/>
  <c r="AP4" i="4"/>
  <c r="AC4" i="4"/>
  <c r="BJ20" i="4"/>
  <c r="CG20" i="4"/>
  <c r="BL20" i="4"/>
  <c r="CF20" i="4"/>
  <c r="CA20" i="4"/>
  <c r="BU20" i="4"/>
  <c r="M20" i="4"/>
  <c r="AD16" i="4"/>
  <c r="BO20" i="4"/>
  <c r="BF20" i="4"/>
  <c r="BQ20" i="4"/>
  <c r="CB20" i="4"/>
  <c r="BC16" i="4"/>
  <c r="BA20" i="4"/>
  <c r="V16" i="4"/>
  <c r="AO16" i="4"/>
  <c r="L16" i="4"/>
  <c r="AB16" i="4"/>
  <c r="AT16" i="4"/>
  <c r="BZ20" i="4"/>
  <c r="BG20" i="4"/>
  <c r="BE20" i="4"/>
  <c r="BP20" i="4"/>
  <c r="BD16" i="4"/>
  <c r="P16" i="4"/>
  <c r="AE20" i="4"/>
  <c r="AJ16" i="4"/>
  <c r="BR19" i="4"/>
  <c r="CF16" i="4"/>
  <c r="BS16" i="4"/>
  <c r="BL5" i="4"/>
  <c r="BG16" i="4"/>
  <c r="BB16" i="4"/>
  <c r="K16" i="4"/>
  <c r="N4" i="4"/>
  <c r="AF16" i="4"/>
  <c r="AM16" i="4"/>
  <c r="AQ4" i="4"/>
  <c r="AV4" i="4"/>
  <c r="BY16" i="4"/>
  <c r="BN16" i="4"/>
  <c r="Q16" i="4"/>
  <c r="AA16" i="4"/>
  <c r="CE16" i="4"/>
  <c r="CC16" i="4"/>
  <c r="BV16" i="4"/>
  <c r="BJ16" i="4"/>
  <c r="AE16" i="4"/>
  <c r="H7" i="3"/>
  <c r="I7" i="3" s="1"/>
  <c r="K7" i="3" s="1"/>
  <c r="N17" i="4"/>
  <c r="AY16" i="4"/>
  <c r="G10" i="4"/>
  <c r="CA10" i="4" s="1"/>
  <c r="AY4" i="4"/>
  <c r="Z52" i="5"/>
  <c r="AA53" i="5" s="1"/>
  <c r="N117" i="4"/>
  <c r="CC17" i="4"/>
  <c r="CC21" i="4" s="1"/>
  <c r="BQ17" i="4"/>
  <c r="BQ21" i="4" s="1"/>
  <c r="BE17" i="4"/>
  <c r="BE21" i="4" s="1"/>
  <c r="BA17" i="4"/>
  <c r="AZ17" i="4"/>
  <c r="AV134" i="4"/>
  <c r="CD17" i="4"/>
  <c r="CD21" i="4" s="1"/>
  <c r="CA17" i="4"/>
  <c r="CA21" i="4" s="1"/>
  <c r="BR17" i="4"/>
  <c r="BR21" i="4" s="1"/>
  <c r="BM17" i="4"/>
  <c r="BM21" i="4" s="1"/>
  <c r="BL17" i="4"/>
  <c r="BL21" i="4" s="1"/>
  <c r="BF17" i="4"/>
  <c r="BF21" i="4" s="1"/>
  <c r="BC17" i="4"/>
  <c r="G11" i="4"/>
  <c r="BX11" i="4" s="1"/>
  <c r="CE20" i="4"/>
  <c r="BX20" i="4"/>
  <c r="CG16" i="4"/>
  <c r="CE4" i="4"/>
  <c r="CC4" i="4"/>
  <c r="BZ16" i="4"/>
  <c r="BX4" i="4"/>
  <c r="BW16" i="4"/>
  <c r="BT16" i="4"/>
  <c r="BR4" i="4"/>
  <c r="BO16" i="4"/>
  <c r="BH16" i="4"/>
  <c r="BD4" i="4"/>
  <c r="BC20" i="4"/>
  <c r="BC4" i="4"/>
  <c r="BB20" i="4"/>
  <c r="BB4" i="4"/>
  <c r="AZ16" i="4"/>
  <c r="H20" i="4"/>
  <c r="I16" i="4"/>
  <c r="M16" i="4"/>
  <c r="O20" i="4"/>
  <c r="T16" i="4"/>
  <c r="V4" i="4"/>
  <c r="Y16" i="4"/>
  <c r="AA4" i="4"/>
  <c r="AC16" i="4"/>
  <c r="AF4" i="4"/>
  <c r="AH16" i="4"/>
  <c r="AI4" i="4"/>
  <c r="AJ4" i="4"/>
  <c r="AL16" i="4"/>
  <c r="AO4" i="4"/>
  <c r="AQ16" i="4"/>
  <c r="AT4" i="4"/>
  <c r="AV16" i="4"/>
  <c r="AX16" i="4"/>
  <c r="AG87" i="4"/>
  <c r="N97" i="4"/>
  <c r="CH20" i="4"/>
  <c r="BR20" i="4"/>
  <c r="CC20" i="4"/>
  <c r="BM20" i="4"/>
  <c r="BK20" i="4"/>
  <c r="BH20" i="4"/>
  <c r="CD20" i="4"/>
  <c r="BN20" i="4"/>
  <c r="BS20" i="4"/>
  <c r="BY20" i="4"/>
  <c r="BI20" i="4"/>
  <c r="L20" i="4"/>
  <c r="BT20" i="4"/>
  <c r="L4" i="4"/>
  <c r="CH16" i="4"/>
  <c r="CF4" i="4"/>
  <c r="CD16" i="4"/>
  <c r="CB16" i="4"/>
  <c r="CA16" i="4"/>
  <c r="BY4" i="4"/>
  <c r="BU16" i="4"/>
  <c r="BS4" i="4"/>
  <c r="BQ16" i="4"/>
  <c r="BP16" i="4"/>
  <c r="BL16" i="4"/>
  <c r="BK16" i="4"/>
  <c r="BG4" i="4"/>
  <c r="BD20" i="4"/>
  <c r="BA16" i="4"/>
  <c r="H16" i="4"/>
  <c r="J16" i="4"/>
  <c r="N20" i="4"/>
  <c r="Q20" i="4"/>
  <c r="T4" i="4"/>
  <c r="AB20" i="4"/>
  <c r="AD4" i="4"/>
  <c r="AE4" i="4"/>
  <c r="AG16" i="4"/>
  <c r="AJ20" i="4"/>
  <c r="AK20" i="4"/>
  <c r="AN4" i="4"/>
  <c r="BQ19" i="4"/>
  <c r="E6" i="4"/>
  <c r="D18" i="4" s="1"/>
  <c r="M127" i="4"/>
  <c r="BV11" i="4"/>
  <c r="CD19" i="4"/>
  <c r="O138" i="4"/>
  <c r="V97" i="4"/>
  <c r="J107" i="4"/>
  <c r="CG17" i="4"/>
  <c r="CG21" i="4" s="1"/>
  <c r="CB6" i="4"/>
  <c r="BZ6" i="4"/>
  <c r="BX17" i="4"/>
  <c r="BX21" i="4" s="1"/>
  <c r="BW17" i="4"/>
  <c r="BW21" i="4" s="1"/>
  <c r="BS17" i="4"/>
  <c r="BS21" i="4" s="1"/>
  <c r="BP5" i="4"/>
  <c r="BP17" i="4"/>
  <c r="BP21" i="4" s="1"/>
  <c r="BO17" i="4"/>
  <c r="BO21" i="4" s="1"/>
  <c r="BK6" i="4"/>
  <c r="BK17" i="4"/>
  <c r="BK21" i="4" s="1"/>
  <c r="BH17" i="4"/>
  <c r="BH21" i="4" s="1"/>
  <c r="BG17" i="4"/>
  <c r="BG21" i="4" s="1"/>
  <c r="BE5" i="4"/>
  <c r="V17" i="4"/>
  <c r="AN17" i="4"/>
  <c r="G13" i="4"/>
  <c r="BR13" i="4" s="1"/>
  <c r="BK11" i="4"/>
  <c r="BL19" i="4"/>
  <c r="N107" i="4"/>
  <c r="J97" i="4"/>
  <c r="BN6" i="4"/>
  <c r="AZ19" i="4"/>
  <c r="AC17" i="4"/>
  <c r="AS5" i="4"/>
  <c r="AW5" i="4"/>
  <c r="G3" i="1"/>
  <c r="I3" i="1" s="1"/>
  <c r="BV5" i="4"/>
  <c r="BJ5" i="4"/>
  <c r="BC6" i="4"/>
  <c r="BL6" i="4"/>
  <c r="BJ6" i="4"/>
  <c r="CF6" i="4"/>
  <c r="CD6" i="4"/>
  <c r="AY5" i="4"/>
  <c r="J5" i="4"/>
  <c r="H5" i="4"/>
  <c r="BB5" i="4"/>
  <c r="BK5" i="4"/>
  <c r="BW5" i="4"/>
  <c r="CA5" i="4"/>
  <c r="CF5" i="4"/>
  <c r="I5" i="4"/>
  <c r="BH5" i="4"/>
  <c r="BS5" i="4"/>
  <c r="AM5" i="4"/>
  <c r="AH5" i="4"/>
  <c r="AG5" i="4"/>
  <c r="CG5" i="4"/>
  <c r="H10" i="3"/>
  <c r="I10" i="3" s="1"/>
  <c r="K10" i="3" s="1"/>
  <c r="H16" i="3"/>
  <c r="I16" i="3" s="1"/>
  <c r="BZ5" i="4"/>
  <c r="CC10" i="4"/>
  <c r="K127" i="4"/>
  <c r="AO19" i="4"/>
  <c r="W19" i="4"/>
  <c r="CA19" i="4"/>
  <c r="CB19" i="4"/>
  <c r="BH11" i="4"/>
  <c r="CC19" i="4"/>
  <c r="BK19" i="4"/>
  <c r="AG19" i="4"/>
  <c r="AR17" i="4"/>
  <c r="AQ17" i="4"/>
  <c r="BD17" i="4"/>
  <c r="BI17" i="4"/>
  <c r="BI21" i="4" s="1"/>
  <c r="BN17" i="4"/>
  <c r="BN21" i="4" s="1"/>
  <c r="BT17" i="4"/>
  <c r="BT21" i="4" s="1"/>
  <c r="BU17" i="4"/>
  <c r="BU21" i="4" s="1"/>
  <c r="BV17" i="4"/>
  <c r="BV21" i="4" s="1"/>
  <c r="BY17" i="4"/>
  <c r="BY21" i="4" s="1"/>
  <c r="BZ17" i="4"/>
  <c r="BZ21" i="4" s="1"/>
  <c r="CE17" i="4"/>
  <c r="CE21" i="4" s="1"/>
  <c r="CF17" i="4"/>
  <c r="CF21" i="4" s="1"/>
  <c r="CH17" i="4"/>
  <c r="CH21" i="4" s="1"/>
  <c r="G9" i="4"/>
  <c r="Y9" i="4" s="1"/>
  <c r="AW4" i="4"/>
  <c r="AR4" i="4"/>
  <c r="AM4" i="4"/>
  <c r="AL4" i="4"/>
  <c r="AB4" i="4"/>
  <c r="Y4" i="4"/>
  <c r="X4" i="4"/>
  <c r="Q4" i="4"/>
  <c r="P4" i="4"/>
  <c r="M4" i="4"/>
  <c r="I4" i="4"/>
  <c r="K4" i="4"/>
  <c r="BA4" i="4"/>
  <c r="BE4" i="4"/>
  <c r="BF4" i="4"/>
  <c r="BI4" i="4"/>
  <c r="BJ4" i="4"/>
  <c r="BN4" i="4"/>
  <c r="BV4" i="4"/>
  <c r="BZ4" i="4"/>
  <c r="CB4" i="4"/>
  <c r="D15" i="1"/>
  <c r="G15" i="1" s="1"/>
  <c r="I15" i="1" s="1"/>
  <c r="I117" i="4"/>
  <c r="G8" i="4"/>
  <c r="BN8" i="4" s="1"/>
  <c r="BN14" i="4" s="1"/>
  <c r="T12" i="4"/>
  <c r="H12" i="4"/>
  <c r="AZ12" i="4"/>
  <c r="BA12" i="4"/>
  <c r="BB12" i="4"/>
  <c r="BD12" i="4"/>
  <c r="AA12" i="4"/>
  <c r="K12" i="4"/>
  <c r="K57" i="4" s="1"/>
  <c r="BF12" i="4"/>
  <c r="BV12" i="4"/>
  <c r="BG12" i="4"/>
  <c r="BW12" i="4"/>
  <c r="BL12" i="4"/>
  <c r="CB12" i="4"/>
  <c r="BY12" i="4"/>
  <c r="BQ12" i="4"/>
  <c r="BJ12" i="4"/>
  <c r="BZ12" i="4"/>
  <c r="BK12" i="4"/>
  <c r="CA12" i="4"/>
  <c r="BP12" i="4"/>
  <c r="CF12" i="4"/>
  <c r="L12" i="4"/>
  <c r="L57" i="4" s="1"/>
  <c r="CG12" i="4"/>
  <c r="CD12" i="4"/>
  <c r="CE12" i="4"/>
  <c r="BU12" i="4"/>
  <c r="BE12" i="4"/>
  <c r="AN12" i="4"/>
  <c r="AL12" i="4"/>
  <c r="AK12" i="4"/>
  <c r="AH12" i="4"/>
  <c r="M12" i="4"/>
  <c r="M57" i="4" s="1"/>
  <c r="CH12" i="4"/>
  <c r="BS12" i="4"/>
  <c r="BX12" i="4"/>
  <c r="CC12" i="4"/>
  <c r="AI12" i="4"/>
  <c r="AE12" i="4"/>
  <c r="X12" i="4"/>
  <c r="BN12" i="4"/>
  <c r="BO12" i="4"/>
  <c r="BT12" i="4"/>
  <c r="BM12" i="4"/>
  <c r="Q12" i="4"/>
  <c r="I12" i="4"/>
  <c r="I57" i="4" s="1"/>
  <c r="BR12" i="4"/>
  <c r="BH12" i="4"/>
  <c r="BI12" i="4"/>
  <c r="AH19" i="4"/>
  <c r="AF19" i="4"/>
  <c r="AB19" i="4"/>
  <c r="BB19" i="4"/>
  <c r="BC19" i="4"/>
  <c r="BD19" i="4"/>
  <c r="AY8" i="4"/>
  <c r="BV19" i="4"/>
  <c r="BX19" i="4"/>
  <c r="BJ19" i="4"/>
  <c r="BW19" i="4"/>
  <c r="O19" i="4"/>
  <c r="P19" i="4"/>
  <c r="V19" i="4"/>
  <c r="AJ19" i="4"/>
  <c r="AP19" i="4"/>
  <c r="AR19" i="4"/>
  <c r="AQ5" i="4"/>
  <c r="AD5" i="4"/>
  <c r="V5" i="4"/>
  <c r="N5" i="4"/>
  <c r="M5" i="4"/>
  <c r="K5" i="4"/>
  <c r="BC5" i="4"/>
  <c r="BD5" i="4"/>
  <c r="BF5" i="4"/>
  <c r="BF7" i="4" s="1"/>
  <c r="BI5" i="4"/>
  <c r="BM5" i="4"/>
  <c r="BN5" i="4"/>
  <c r="BR5" i="4"/>
  <c r="BX5" i="4"/>
  <c r="AA127" i="4"/>
  <c r="AC127" i="4"/>
  <c r="Y117" i="4"/>
  <c r="CE5" i="4"/>
  <c r="CB5" i="4"/>
  <c r="BU5" i="4"/>
  <c r="BO5" i="4"/>
  <c r="BA19" i="4"/>
  <c r="AC19" i="4"/>
  <c r="AX19" i="4"/>
  <c r="AQ20" i="4"/>
  <c r="AL20" i="4"/>
  <c r="P20" i="4"/>
  <c r="I20" i="4"/>
  <c r="K20" i="4"/>
  <c r="AF6" i="4"/>
  <c r="BB6" i="4"/>
  <c r="BH6" i="4"/>
  <c r="BP6" i="4"/>
  <c r="BU6" i="4"/>
  <c r="BY6" i="4"/>
  <c r="BU19" i="4"/>
  <c r="BH19" i="4"/>
  <c r="BM19" i="4"/>
  <c r="BG19" i="4"/>
  <c r="E17" i="4"/>
  <c r="BN19" i="4"/>
  <c r="BI19" i="4"/>
  <c r="BT19" i="4"/>
  <c r="CH19" i="4"/>
  <c r="CG19" i="4"/>
  <c r="BE19" i="4"/>
  <c r="BS19" i="4"/>
  <c r="L19" i="4"/>
  <c r="R182" i="4"/>
  <c r="N56" i="4"/>
  <c r="CB11" i="4"/>
  <c r="BF19" i="4"/>
  <c r="CF19" i="4"/>
  <c r="BP19" i="4"/>
  <c r="BZ19" i="4"/>
  <c r="BY19" i="4"/>
  <c r="CE19" i="4"/>
  <c r="BO19" i="4"/>
  <c r="L5" i="4"/>
  <c r="G4" i="3"/>
  <c r="I4" i="3" s="1"/>
  <c r="K4" i="3" s="1"/>
  <c r="G3" i="3"/>
  <c r="G5" i="3"/>
  <c r="G12" i="3"/>
  <c r="I12" i="3" s="1"/>
  <c r="K12" i="3" s="1"/>
  <c r="J127" i="4"/>
  <c r="CH5" i="4"/>
  <c r="CD5" i="4"/>
  <c r="CC5" i="4"/>
  <c r="BY5" i="4"/>
  <c r="BT5" i="4"/>
  <c r="BQ5" i="4"/>
  <c r="BG5" i="4"/>
  <c r="AZ5" i="4"/>
  <c r="AW42" i="4"/>
  <c r="AU42" i="4"/>
  <c r="J20" i="4"/>
  <c r="O5" i="4"/>
  <c r="T5" i="4"/>
  <c r="W20" i="4"/>
  <c r="X20" i="4"/>
  <c r="Y5" i="4"/>
  <c r="AC5" i="4"/>
  <c r="AF20" i="4"/>
  <c r="AI20" i="4"/>
  <c r="AO20" i="4"/>
  <c r="AS20" i="4"/>
  <c r="AT19" i="4"/>
  <c r="AV19" i="4"/>
  <c r="AY19" i="4"/>
  <c r="AR16" i="4"/>
  <c r="AP16" i="4"/>
  <c r="AN16" i="4"/>
  <c r="AK16" i="4"/>
  <c r="AI16" i="4"/>
  <c r="X16" i="4"/>
  <c r="W16" i="4"/>
  <c r="O16" i="4"/>
  <c r="N16" i="4"/>
  <c r="BF16" i="4"/>
  <c r="BI16" i="4"/>
  <c r="BM16" i="4"/>
  <c r="BR16" i="4"/>
  <c r="BX16" i="4"/>
  <c r="P52" i="5"/>
  <c r="Q53" i="5" s="1"/>
  <c r="P45" i="5"/>
  <c r="Q46" i="5" s="1"/>
  <c r="P56" i="5"/>
  <c r="Q57" i="5" s="1"/>
  <c r="P71" i="5"/>
  <c r="Q72" i="5" s="1"/>
  <c r="M117" i="4"/>
  <c r="M97" i="4"/>
  <c r="I107" i="4"/>
  <c r="M107" i="4"/>
  <c r="BD117" i="4"/>
  <c r="AV6" i="4"/>
  <c r="AT6" i="4"/>
  <c r="AS6" i="4"/>
  <c r="AL6" i="4"/>
  <c r="AH6" i="4"/>
  <c r="AE6" i="4"/>
  <c r="AA6" i="4"/>
  <c r="T6" i="4"/>
  <c r="Q6" i="4"/>
  <c r="M6" i="4"/>
  <c r="J6" i="4"/>
  <c r="AY6" i="4"/>
  <c r="AX6" i="4"/>
  <c r="AW6" i="4"/>
  <c r="AP6" i="4"/>
  <c r="AO6" i="4"/>
  <c r="AN6" i="4"/>
  <c r="AI6" i="4"/>
  <c r="AG6" i="4"/>
  <c r="AD6" i="4"/>
  <c r="AD7" i="4" s="1"/>
  <c r="X6" i="4"/>
  <c r="H6" i="4"/>
  <c r="K6" i="4"/>
  <c r="AZ6" i="4"/>
  <c r="AR6" i="4"/>
  <c r="AK6" i="4"/>
  <c r="I6" i="4"/>
  <c r="BA6" i="4"/>
  <c r="BA7" i="4" s="1"/>
  <c r="BE6" i="4"/>
  <c r="BI6" i="4"/>
  <c r="BO6" i="4"/>
  <c r="BS6" i="4"/>
  <c r="BW6" i="4"/>
  <c r="CA6" i="4"/>
  <c r="CE6" i="4"/>
  <c r="AM6" i="4"/>
  <c r="AJ6" i="4"/>
  <c r="AB6" i="4"/>
  <c r="V6" i="4"/>
  <c r="P6" i="4"/>
  <c r="O6" i="4"/>
  <c r="N6" i="4"/>
  <c r="BQ6" i="4"/>
  <c r="BR6" i="4"/>
  <c r="BT6" i="4"/>
  <c r="BV6" i="4"/>
  <c r="CG6" i="4"/>
  <c r="CH6" i="4"/>
  <c r="AC6" i="4"/>
  <c r="Y6" i="4"/>
  <c r="W6" i="4"/>
  <c r="BD6" i="4"/>
  <c r="BG6" i="4"/>
  <c r="BG7" i="4" s="1"/>
  <c r="BM6" i="4"/>
  <c r="BX6" i="4"/>
  <c r="CC6" i="4"/>
  <c r="L6" i="4"/>
  <c r="V117" i="4"/>
  <c r="X77" i="4"/>
  <c r="X127" i="4"/>
  <c r="M138" i="4"/>
  <c r="I97" i="4"/>
  <c r="L107" i="4"/>
  <c r="X117" i="4"/>
  <c r="AY10" i="4"/>
  <c r="H59" i="5"/>
  <c r="I60" i="5" s="1"/>
  <c r="H67" i="5"/>
  <c r="I68" i="5" s="1"/>
  <c r="H64" i="5"/>
  <c r="I65" i="5" s="1"/>
  <c r="H74" i="5"/>
  <c r="I75" i="5" s="1"/>
  <c r="H54" i="5"/>
  <c r="I55" i="5" s="1"/>
  <c r="H42" i="5"/>
  <c r="I43" i="5" s="1"/>
  <c r="H43" i="5"/>
  <c r="I44" i="5" s="1"/>
  <c r="H60" i="5"/>
  <c r="I61" i="5" s="1"/>
  <c r="H58" i="5"/>
  <c r="I59" i="5" s="1"/>
  <c r="H61" i="5"/>
  <c r="I62" i="5" s="1"/>
  <c r="H57" i="5"/>
  <c r="I58" i="5" s="1"/>
  <c r="I41" i="5"/>
  <c r="H50" i="5"/>
  <c r="I51" i="5" s="1"/>
  <c r="D41" i="5"/>
  <c r="H75" i="5"/>
  <c r="H53" i="5"/>
  <c r="I54" i="5" s="1"/>
  <c r="H41" i="5"/>
  <c r="I42" i="5" s="1"/>
  <c r="D42" i="5"/>
  <c r="H62" i="5"/>
  <c r="I63" i="5" s="1"/>
  <c r="H51" i="5"/>
  <c r="I52" i="5" s="1"/>
  <c r="H72" i="5"/>
  <c r="I73" i="5" s="1"/>
  <c r="H65" i="5"/>
  <c r="I66" i="5" s="1"/>
  <c r="S184" i="4"/>
  <c r="T172" i="4" s="1"/>
  <c r="K97" i="4"/>
  <c r="G12" i="1"/>
  <c r="I12" i="1" s="1"/>
  <c r="J12" i="1" s="1"/>
  <c r="J16" i="1"/>
  <c r="E3" i="3"/>
  <c r="E9" i="3" s="1"/>
  <c r="G6" i="3"/>
  <c r="D15" i="3"/>
  <c r="G15" i="3" s="1"/>
  <c r="I15" i="3" s="1"/>
  <c r="K15" i="3" s="1"/>
  <c r="AF138" i="4"/>
  <c r="I127" i="4"/>
  <c r="V127" i="4"/>
  <c r="L97" i="4"/>
  <c r="G5" i="1"/>
  <c r="I5" i="1" s="1"/>
  <c r="G8" i="3"/>
  <c r="J117" i="4"/>
  <c r="N127" i="4"/>
  <c r="BD107" i="4"/>
  <c r="AK11" i="4"/>
  <c r="H11" i="4"/>
  <c r="W11" i="4"/>
  <c r="AG138" i="4"/>
  <c r="V107" i="4"/>
  <c r="L127" i="4"/>
  <c r="AT42" i="4"/>
  <c r="AT134" i="4"/>
  <c r="AX12" i="4"/>
  <c r="AU12" i="4"/>
  <c r="AR12" i="4"/>
  <c r="AQ12" i="4"/>
  <c r="AP12" i="4"/>
  <c r="AO12" i="4"/>
  <c r="AM12" i="4"/>
  <c r="AJ12" i="4"/>
  <c r="AC12" i="4"/>
  <c r="Y12" i="4"/>
  <c r="V12" i="4"/>
  <c r="V57" i="4" s="1"/>
  <c r="P12" i="4"/>
  <c r="N12" i="4"/>
  <c r="AY12" i="4"/>
  <c r="AV12" i="4"/>
  <c r="AT12" i="4"/>
  <c r="AF12" i="4"/>
  <c r="AB12" i="4"/>
  <c r="W12" i="4"/>
  <c r="J12" i="4"/>
  <c r="J57" i="4" s="1"/>
  <c r="AG12" i="4"/>
  <c r="AD12" i="4"/>
  <c r="O12" i="4"/>
  <c r="BC12" i="4"/>
  <c r="BD127" i="4"/>
  <c r="AI19" i="4"/>
  <c r="Y19" i="4"/>
  <c r="X19" i="4"/>
  <c r="N19" i="4"/>
  <c r="M19" i="4"/>
  <c r="AW19" i="4"/>
  <c r="AN19" i="4"/>
  <c r="AL19" i="4"/>
  <c r="AK19" i="4"/>
  <c r="AE19" i="4"/>
  <c r="AD19" i="4"/>
  <c r="AA19" i="4"/>
  <c r="T19" i="4"/>
  <c r="Q19" i="4"/>
  <c r="I19" i="4"/>
  <c r="H19" i="4"/>
  <c r="K19" i="4"/>
  <c r="AM9" i="4"/>
  <c r="Z57" i="5"/>
  <c r="AA58" i="5" s="1"/>
  <c r="Z53" i="5"/>
  <c r="AA54" i="5" s="1"/>
  <c r="Z70" i="5"/>
  <c r="AA71" i="5" s="1"/>
  <c r="Z45" i="5"/>
  <c r="AA46" i="5" s="1"/>
  <c r="P62" i="5"/>
  <c r="Q63" i="5" s="1"/>
  <c r="Z44" i="5"/>
  <c r="AA45" i="5" s="1"/>
  <c r="Z60" i="5"/>
  <c r="AA61" i="5" s="1"/>
  <c r="Z62" i="5"/>
  <c r="AA63" i="5" s="1"/>
  <c r="Q41" i="5"/>
  <c r="V42" i="5"/>
  <c r="Z48" i="5"/>
  <c r="AA49" i="5" s="1"/>
  <c r="P44" i="5"/>
  <c r="Q45" i="5" s="1"/>
  <c r="P43" i="5"/>
  <c r="Q44" i="5" s="1"/>
  <c r="P48" i="5"/>
  <c r="Q49" i="5" s="1"/>
  <c r="P41" i="5"/>
  <c r="Q42" i="5" s="1"/>
  <c r="Z67" i="5"/>
  <c r="AA68" i="5" s="1"/>
  <c r="Z56" i="5"/>
  <c r="AA57" i="5" s="1"/>
  <c r="Z58" i="5"/>
  <c r="AA59" i="5" s="1"/>
  <c r="Z65" i="5"/>
  <c r="AA66" i="5" s="1"/>
  <c r="P64" i="5"/>
  <c r="Q65" i="5" s="1"/>
  <c r="P61" i="5"/>
  <c r="Q62" i="5" s="1"/>
  <c r="P60" i="5"/>
  <c r="Q61" i="5" s="1"/>
  <c r="P57" i="5"/>
  <c r="Q58" i="5" s="1"/>
  <c r="P67" i="5"/>
  <c r="Q68" i="5" s="1"/>
  <c r="P55" i="5"/>
  <c r="Q56" i="5" s="1"/>
  <c r="P58" i="5"/>
  <c r="Q59" i="5" s="1"/>
  <c r="Z64" i="5"/>
  <c r="AA65" i="5" s="1"/>
  <c r="Z69" i="5"/>
  <c r="AA70" i="5" s="1"/>
  <c r="H49" i="5"/>
  <c r="I50" i="5" s="1"/>
  <c r="Z47" i="5"/>
  <c r="AA48" i="5" s="1"/>
  <c r="L41" i="5"/>
  <c r="AF11" i="5" s="1"/>
  <c r="P51" i="5"/>
  <c r="Q52" i="5" s="1"/>
  <c r="P46" i="5"/>
  <c r="Q47" i="5" s="1"/>
  <c r="P49" i="5"/>
  <c r="Q50" i="5" s="1"/>
  <c r="H73" i="5"/>
  <c r="I74" i="5" s="1"/>
  <c r="H70" i="5"/>
  <c r="I71" i="5" s="1"/>
  <c r="H66" i="5"/>
  <c r="I67" i="5" s="1"/>
  <c r="H68" i="5"/>
  <c r="I69" i="5" s="1"/>
  <c r="H56" i="5"/>
  <c r="I57" i="5" s="1"/>
  <c r="Z59" i="5"/>
  <c r="AA60" i="5" s="1"/>
  <c r="Z74" i="5"/>
  <c r="AA75" i="5" s="1"/>
  <c r="Z61" i="5"/>
  <c r="AA62" i="5" s="1"/>
  <c r="P53" i="5"/>
  <c r="Q54" i="5" s="1"/>
  <c r="P73" i="5"/>
  <c r="Q74" i="5" s="1"/>
  <c r="P75" i="5"/>
  <c r="P63" i="5"/>
  <c r="Q64" i="5" s="1"/>
  <c r="P66" i="5"/>
  <c r="Q67" i="5" s="1"/>
  <c r="BE180" i="4"/>
  <c r="BE179" i="4"/>
  <c r="G4" i="1"/>
  <c r="I4" i="1" s="1"/>
  <c r="E4" i="1"/>
  <c r="AE77" i="4"/>
  <c r="AE127" i="4"/>
  <c r="AF54" i="5"/>
  <c r="K138" i="4"/>
  <c r="I138" i="4"/>
  <c r="V138" i="4"/>
  <c r="AD127" i="4"/>
  <c r="S182" i="4"/>
  <c r="R184" i="4"/>
  <c r="O117" i="4"/>
  <c r="L138" i="4"/>
  <c r="G6" i="1"/>
  <c r="I6" i="1" s="1"/>
  <c r="E6" i="1"/>
  <c r="O127" i="4"/>
  <c r="AC77" i="4"/>
  <c r="J138" i="4"/>
  <c r="K117" i="4"/>
  <c r="AB127" i="4"/>
  <c r="H8" i="3"/>
  <c r="H6" i="3"/>
  <c r="H3" i="3"/>
  <c r="H5" i="3"/>
  <c r="H9" i="3"/>
  <c r="I9" i="3" s="1"/>
  <c r="K9" i="3" s="1"/>
  <c r="Y127" i="4"/>
  <c r="G8" i="1"/>
  <c r="I8" i="1" s="1"/>
  <c r="H14" i="3"/>
  <c r="I14" i="3" s="1"/>
  <c r="K14" i="3" s="1"/>
  <c r="K107" i="4"/>
  <c r="L117" i="4"/>
  <c r="AF127" i="4"/>
  <c r="AS42" i="4"/>
  <c r="AS134" i="4"/>
  <c r="AA15" i="4"/>
  <c r="T15" i="4"/>
  <c r="T87" i="4" s="1"/>
  <c r="N15" i="4"/>
  <c r="H15" i="4"/>
  <c r="M15" i="4"/>
  <c r="K15" i="4"/>
  <c r="I15" i="4"/>
  <c r="J15" i="4"/>
  <c r="L15" i="4"/>
  <c r="AX17" i="4"/>
  <c r="AT17" i="4"/>
  <c r="AV17" i="4"/>
  <c r="AP17" i="4"/>
  <c r="AL17" i="4"/>
  <c r="AO17" i="4"/>
  <c r="AM17" i="4"/>
  <c r="AK17" i="4"/>
  <c r="AJ17" i="4"/>
  <c r="AF17" i="4"/>
  <c r="AB17" i="4"/>
  <c r="X17" i="4"/>
  <c r="Q17" i="4"/>
  <c r="AS17" i="4"/>
  <c r="AI17" i="4"/>
  <c r="AE17" i="4"/>
  <c r="W17" i="4"/>
  <c r="P17" i="4"/>
  <c r="AY17" i="4"/>
  <c r="AG17" i="4"/>
  <c r="Y17" i="4"/>
  <c r="J17" i="4"/>
  <c r="AH17" i="4"/>
  <c r="AA17" i="4"/>
  <c r="T17" i="4"/>
  <c r="O17" i="4"/>
  <c r="I17" i="4"/>
  <c r="M17" i="4"/>
  <c r="AW17" i="4"/>
  <c r="H17" i="4"/>
  <c r="K17" i="4"/>
  <c r="AU17" i="4"/>
  <c r="AV20" i="4"/>
  <c r="AR20" i="4"/>
  <c r="AW20" i="4"/>
  <c r="AN20" i="4"/>
  <c r="AY20" i="4"/>
  <c r="AX20" i="4"/>
  <c r="AU20" i="4"/>
  <c r="AT20" i="4"/>
  <c r="AH20" i="4"/>
  <c r="AD20" i="4"/>
  <c r="AA20" i="4"/>
  <c r="V20" i="4"/>
  <c r="AM20" i="4"/>
  <c r="AG20" i="4"/>
  <c r="AC20" i="4"/>
  <c r="Y20" i="4"/>
  <c r="T20" i="4"/>
  <c r="AN11" i="4"/>
  <c r="V11" i="4"/>
  <c r="T11" i="4"/>
  <c r="AE9" i="4"/>
  <c r="AQ8" i="4"/>
  <c r="AX5" i="4"/>
  <c r="AT5" i="4"/>
  <c r="AP5" i="4"/>
  <c r="AU5" i="4"/>
  <c r="AL5" i="4"/>
  <c r="AR5" i="4"/>
  <c r="AN5" i="4"/>
  <c r="AJ5" i="4"/>
  <c r="AF5" i="4"/>
  <c r="AB5" i="4"/>
  <c r="X5" i="4"/>
  <c r="Q5" i="4"/>
  <c r="AV5" i="4"/>
  <c r="AO5" i="4"/>
  <c r="AK5" i="4"/>
  <c r="AI5" i="4"/>
  <c r="AE5" i="4"/>
  <c r="AA5" i="4"/>
  <c r="W5" i="4"/>
  <c r="P5" i="4"/>
  <c r="AU19" i="4"/>
  <c r="AQ19" i="4"/>
  <c r="AS19" i="4"/>
  <c r="AM19" i="4"/>
  <c r="AW16" i="4"/>
  <c r="AS16" i="4"/>
  <c r="AW12" i="4"/>
  <c r="AS12" i="4"/>
  <c r="AU6" i="4"/>
  <c r="AQ6" i="4"/>
  <c r="Z46" i="5"/>
  <c r="AA47" i="5" s="1"/>
  <c r="AA41" i="5"/>
  <c r="Z55" i="5"/>
  <c r="AA56" i="5" s="1"/>
  <c r="Z75" i="5"/>
  <c r="Z72" i="5"/>
  <c r="AA73" i="5" s="1"/>
  <c r="Z66" i="5"/>
  <c r="AA67" i="5" s="1"/>
  <c r="Z54" i="5"/>
  <c r="AA55" i="5" s="1"/>
  <c r="H55" i="5"/>
  <c r="I56" i="5" s="1"/>
  <c r="H63" i="5"/>
  <c r="I64" i="5" s="1"/>
  <c r="H71" i="5"/>
  <c r="I72" i="5" s="1"/>
  <c r="H45" i="5"/>
  <c r="I46" i="5" s="1"/>
  <c r="H44" i="5"/>
  <c r="I45" i="5" s="1"/>
  <c r="H46" i="5"/>
  <c r="I47" i="5" s="1"/>
  <c r="H52" i="5"/>
  <c r="I53" i="5" s="1"/>
  <c r="H47" i="5"/>
  <c r="I48" i="5" s="1"/>
  <c r="H48" i="5"/>
  <c r="I49" i="5" s="1"/>
  <c r="Z68" i="5"/>
  <c r="AA69" i="5" s="1"/>
  <c r="Z63" i="5"/>
  <c r="AA64" i="5" s="1"/>
  <c r="Z41" i="5"/>
  <c r="AA42" i="5" s="1"/>
  <c r="Z49" i="5"/>
  <c r="AA50" i="5" s="1"/>
  <c r="Z42" i="5"/>
  <c r="AA43" i="5" s="1"/>
  <c r="Z50" i="5"/>
  <c r="AA51" i="5" s="1"/>
  <c r="Z43" i="5"/>
  <c r="AA44" i="5" s="1"/>
  <c r="Z51" i="5"/>
  <c r="AA52" i="5" s="1"/>
  <c r="V41" i="5"/>
  <c r="AC7" i="4" l="1"/>
  <c r="Y11" i="4"/>
  <c r="AD11" i="4"/>
  <c r="AX11" i="4"/>
  <c r="AQ13" i="4"/>
  <c r="AT11" i="4"/>
  <c r="AO11" i="4"/>
  <c r="O11" i="4"/>
  <c r="M11" i="4"/>
  <c r="CG11" i="4"/>
  <c r="J11" i="4"/>
  <c r="BN7" i="4"/>
  <c r="BN22" i="4" s="1"/>
  <c r="P11" i="4"/>
  <c r="BB21" i="4"/>
  <c r="BC11" i="4"/>
  <c r="CF11" i="4"/>
  <c r="BM11" i="4"/>
  <c r="AJ11" i="4"/>
  <c r="CA11" i="4"/>
  <c r="AC11" i="4"/>
  <c r="AL11" i="4"/>
  <c r="AR11" i="4"/>
  <c r="AU13" i="4"/>
  <c r="AZ11" i="4"/>
  <c r="Q11" i="4"/>
  <c r="X11" i="4"/>
  <c r="BW11" i="4"/>
  <c r="BF11" i="4"/>
  <c r="L21" i="4"/>
  <c r="AM11" i="4"/>
  <c r="BY11" i="4"/>
  <c r="CH11" i="4"/>
  <c r="AB11" i="4"/>
  <c r="BS11" i="4"/>
  <c r="CC11" i="4"/>
  <c r="AS10" i="4"/>
  <c r="AQ11" i="4"/>
  <c r="AP11" i="4"/>
  <c r="AV11" i="4"/>
  <c r="BA11" i="4"/>
  <c r="K11" i="4"/>
  <c r="AA11" i="4"/>
  <c r="AW11" i="4"/>
  <c r="CB10" i="4"/>
  <c r="BO10" i="4"/>
  <c r="CH10" i="4"/>
  <c r="BL11" i="4"/>
  <c r="BN11" i="4"/>
  <c r="AF11" i="4"/>
  <c r="BB11" i="4"/>
  <c r="AY11" i="4"/>
  <c r="CD11" i="4"/>
  <c r="BE11" i="4"/>
  <c r="BU11" i="4"/>
  <c r="BJ11" i="4"/>
  <c r="AJ21" i="4"/>
  <c r="AQ9" i="4"/>
  <c r="H8" i="4"/>
  <c r="T7" i="4"/>
  <c r="AD8" i="4"/>
  <c r="AG11" i="4"/>
  <c r="AH11" i="4"/>
  <c r="AU11" i="4"/>
  <c r="AF8" i="4"/>
  <c r="AS11" i="4"/>
  <c r="I11" i="4"/>
  <c r="AE11" i="4"/>
  <c r="AI11" i="4"/>
  <c r="BG11" i="4"/>
  <c r="BQ11" i="4"/>
  <c r="BO11" i="4"/>
  <c r="L11" i="4"/>
  <c r="BP11" i="4"/>
  <c r="BD11" i="4"/>
  <c r="BT11" i="4"/>
  <c r="BA21" i="4"/>
  <c r="AU8" i="4"/>
  <c r="AV8" i="4"/>
  <c r="AB9" i="4"/>
  <c r="AX9" i="4"/>
  <c r="M8" i="4"/>
  <c r="AS8" i="4"/>
  <c r="AG9" i="4"/>
  <c r="I8" i="4"/>
  <c r="Y8" i="4"/>
  <c r="BX8" i="4"/>
  <c r="BX14" i="4" s="1"/>
  <c r="BU7" i="4"/>
  <c r="CC8" i="4"/>
  <c r="CC14" i="4" s="1"/>
  <c r="AN8" i="4"/>
  <c r="BA13" i="4"/>
  <c r="K9" i="4"/>
  <c r="AG8" i="4"/>
  <c r="BD8" i="4"/>
  <c r="CD8" i="4"/>
  <c r="CD14" i="4" s="1"/>
  <c r="L8" i="4"/>
  <c r="CB7" i="4"/>
  <c r="AX8" i="4"/>
  <c r="AJ9" i="4"/>
  <c r="V8" i="4"/>
  <c r="AE8" i="4"/>
  <c r="AA9" i="4"/>
  <c r="AL9" i="4"/>
  <c r="AJ8" i="4"/>
  <c r="BH8" i="4"/>
  <c r="BH14" i="4" s="1"/>
  <c r="BQ8" i="4"/>
  <c r="BQ14" i="4" s="1"/>
  <c r="BS8" i="4"/>
  <c r="BS14" i="4" s="1"/>
  <c r="CD10" i="4"/>
  <c r="CF10" i="4"/>
  <c r="BT7" i="4"/>
  <c r="AH7" i="4"/>
  <c r="AI10" i="4"/>
  <c r="BM10" i="4"/>
  <c r="BL7" i="4"/>
  <c r="AM10" i="4"/>
  <c r="O10" i="4"/>
  <c r="AY7" i="4"/>
  <c r="AG10" i="4"/>
  <c r="AZ10" i="4"/>
  <c r="AL10" i="4"/>
  <c r="AF10" i="4"/>
  <c r="K10" i="4"/>
  <c r="I7" i="4"/>
  <c r="X8" i="4"/>
  <c r="AL8" i="4"/>
  <c r="BJ7" i="4"/>
  <c r="I5" i="3"/>
  <c r="K5" i="3" s="1"/>
  <c r="Q7" i="4"/>
  <c r="AJ7" i="4"/>
  <c r="BT8" i="4"/>
  <c r="BT14" i="4" s="1"/>
  <c r="BT22" i="4" s="1"/>
  <c r="BR8" i="4"/>
  <c r="BR14" i="4" s="1"/>
  <c r="AF10" i="5"/>
  <c r="BC7" i="4"/>
  <c r="J12" i="3"/>
  <c r="AS7" i="4"/>
  <c r="BJ8" i="4"/>
  <c r="BJ14" i="4" s="1"/>
  <c r="AV9" i="4"/>
  <c r="BU8" i="4"/>
  <c r="BU14" i="4" s="1"/>
  <c r="BK7" i="4"/>
  <c r="AN10" i="4"/>
  <c r="AX13" i="4"/>
  <c r="AN13" i="4"/>
  <c r="AN117" i="4" s="1"/>
  <c r="BB10" i="4"/>
  <c r="BX10" i="4"/>
  <c r="BE10" i="4"/>
  <c r="BN10" i="4"/>
  <c r="BV10" i="4"/>
  <c r="BP10" i="4"/>
  <c r="BD10" i="4"/>
  <c r="V10" i="4"/>
  <c r="N10" i="4"/>
  <c r="J10" i="4"/>
  <c r="BQ7" i="4"/>
  <c r="BQ22" i="4" s="1"/>
  <c r="BO7" i="4"/>
  <c r="AP10" i="4"/>
  <c r="BC10" i="4"/>
  <c r="AZ21" i="4"/>
  <c r="BT10" i="4"/>
  <c r="H10" i="4"/>
  <c r="BZ10" i="4"/>
  <c r="T10" i="4"/>
  <c r="AT10" i="4"/>
  <c r="X10" i="4"/>
  <c r="AK10" i="4"/>
  <c r="Y10" i="4"/>
  <c r="AR10" i="4"/>
  <c r="AQ10" i="4"/>
  <c r="AQ14" i="4" s="1"/>
  <c r="AY13" i="4"/>
  <c r="K13" i="4"/>
  <c r="BQ10" i="4"/>
  <c r="BW10" i="4"/>
  <c r="L10" i="4"/>
  <c r="BF10" i="4"/>
  <c r="I10" i="4"/>
  <c r="BA10" i="4"/>
  <c r="AE10" i="4"/>
  <c r="P10" i="4"/>
  <c r="W10" i="4"/>
  <c r="BH10" i="4"/>
  <c r="BR10" i="4"/>
  <c r="BP13" i="4"/>
  <c r="CE10" i="4"/>
  <c r="CG10" i="4"/>
  <c r="BK10" i="4"/>
  <c r="BL10" i="4"/>
  <c r="Q10" i="4"/>
  <c r="AJ10" i="4"/>
  <c r="AM13" i="4"/>
  <c r="AM117" i="4" s="1"/>
  <c r="AB10" i="4"/>
  <c r="AO10" i="4"/>
  <c r="AC10" i="4"/>
  <c r="AV10" i="4"/>
  <c r="AU10" i="4"/>
  <c r="AO13" i="4"/>
  <c r="AO117" i="4" s="1"/>
  <c r="I8" i="3"/>
  <c r="K8" i="3" s="1"/>
  <c r="AA10" i="4"/>
  <c r="BJ10" i="4"/>
  <c r="BG10" i="4"/>
  <c r="BU10" i="4"/>
  <c r="M10" i="4"/>
  <c r="AW10" i="4"/>
  <c r="AX10" i="4"/>
  <c r="AH10" i="4"/>
  <c r="AD10" i="4"/>
  <c r="BY10" i="4"/>
  <c r="AZ7" i="4"/>
  <c r="BS10" i="4"/>
  <c r="BI10" i="4"/>
  <c r="CG13" i="4"/>
  <c r="AM7" i="4"/>
  <c r="BV13" i="4"/>
  <c r="N11" i="4"/>
  <c r="BI11" i="4"/>
  <c r="BR11" i="4"/>
  <c r="CE11" i="4"/>
  <c r="BZ11" i="4"/>
  <c r="O7" i="4"/>
  <c r="AQ21" i="4"/>
  <c r="AO7" i="4"/>
  <c r="AH8" i="4"/>
  <c r="W8" i="4"/>
  <c r="AK8" i="4"/>
  <c r="AW8" i="4"/>
  <c r="Q9" i="4"/>
  <c r="AK9" i="4"/>
  <c r="AW9" i="4"/>
  <c r="W13" i="4"/>
  <c r="AB13" i="4"/>
  <c r="AP13" i="4"/>
  <c r="AP127" i="4" s="1"/>
  <c r="AB21" i="4"/>
  <c r="M9" i="4"/>
  <c r="I9" i="4"/>
  <c r="N21" i="4"/>
  <c r="T8" i="4"/>
  <c r="AR8" i="4"/>
  <c r="AC13" i="4"/>
  <c r="O13" i="4"/>
  <c r="O67" i="4" s="1"/>
  <c r="BX7" i="4"/>
  <c r="K7" i="4"/>
  <c r="BF8" i="4"/>
  <c r="BF14" i="4" s="1"/>
  <c r="BF22" i="4" s="1"/>
  <c r="CA8" i="4"/>
  <c r="CA14" i="4" s="1"/>
  <c r="CF8" i="4"/>
  <c r="CF14" i="4" s="1"/>
  <c r="BM8" i="4"/>
  <c r="BM14" i="4" s="1"/>
  <c r="CB8" i="4"/>
  <c r="CB14" i="4" s="1"/>
  <c r="BP8" i="4"/>
  <c r="BP14" i="4" s="1"/>
  <c r="BH13" i="4"/>
  <c r="CD7" i="4"/>
  <c r="CD22" i="4" s="1"/>
  <c r="BB7" i="4"/>
  <c r="CF7" i="4"/>
  <c r="AV7" i="4"/>
  <c r="AX7" i="4"/>
  <c r="AT8" i="4"/>
  <c r="AA8" i="4"/>
  <c r="AO8" i="4"/>
  <c r="W9" i="4"/>
  <c r="X9" i="4"/>
  <c r="AO9" i="4"/>
  <c r="AT9" i="4"/>
  <c r="AA13" i="4"/>
  <c r="AF13" i="4"/>
  <c r="AS13" i="4"/>
  <c r="V9" i="4"/>
  <c r="O9" i="4"/>
  <c r="BC8" i="4"/>
  <c r="J8" i="4"/>
  <c r="N8" i="4"/>
  <c r="M13" i="4"/>
  <c r="T13" i="4"/>
  <c r="BI7" i="4"/>
  <c r="AH9" i="4"/>
  <c r="AZ8" i="4"/>
  <c r="BD7" i="4"/>
  <c r="CE8" i="4"/>
  <c r="CE14" i="4" s="1"/>
  <c r="BG8" i="4"/>
  <c r="BG14" i="4" s="1"/>
  <c r="BG22" i="4" s="1"/>
  <c r="BC21" i="4"/>
  <c r="J17" i="1"/>
  <c r="BY7" i="4"/>
  <c r="BS7" i="4"/>
  <c r="BS22" i="4" s="1"/>
  <c r="BI13" i="4"/>
  <c r="AR13" i="4"/>
  <c r="BF13" i="4"/>
  <c r="CD13" i="4"/>
  <c r="CA13" i="4"/>
  <c r="BT13" i="4"/>
  <c r="N13" i="4"/>
  <c r="BM13" i="4"/>
  <c r="BJ13" i="4"/>
  <c r="BG13" i="4"/>
  <c r="BX13" i="4"/>
  <c r="L13" i="4"/>
  <c r="V13" i="4"/>
  <c r="BU13" i="4"/>
  <c r="BN13" i="4"/>
  <c r="BO13" i="4"/>
  <c r="BL13" i="4"/>
  <c r="BY13" i="4"/>
  <c r="BZ13" i="4"/>
  <c r="BW13" i="4"/>
  <c r="CB13" i="4"/>
  <c r="CF13" i="4"/>
  <c r="CC13" i="4"/>
  <c r="Y13" i="4"/>
  <c r="Y67" i="4" s="1"/>
  <c r="CH13" i="4"/>
  <c r="BE13" i="4"/>
  <c r="J13" i="4"/>
  <c r="I13" i="4"/>
  <c r="AG13" i="4"/>
  <c r="BB13" i="4"/>
  <c r="AT13" i="4"/>
  <c r="AL13" i="4"/>
  <c r="AL107" i="4" s="1"/>
  <c r="AK13" i="4"/>
  <c r="AK107" i="4" s="1"/>
  <c r="X13" i="4"/>
  <c r="X67" i="4" s="1"/>
  <c r="AI13" i="4"/>
  <c r="AI107" i="4" s="1"/>
  <c r="P13" i="4"/>
  <c r="P77" i="4" s="1"/>
  <c r="CE13" i="4"/>
  <c r="BQ13" i="4"/>
  <c r="BS13" i="4"/>
  <c r="AZ13" i="4"/>
  <c r="BC13" i="4"/>
  <c r="AH13" i="4"/>
  <c r="AH97" i="4" s="1"/>
  <c r="H13" i="4"/>
  <c r="AD13" i="4"/>
  <c r="BD13" i="4"/>
  <c r="AV13" i="4"/>
  <c r="AW13" i="4"/>
  <c r="AJ13" i="4"/>
  <c r="AJ107" i="4" s="1"/>
  <c r="Q13" i="4"/>
  <c r="AE13" i="4"/>
  <c r="BK13" i="4"/>
  <c r="BZ7" i="4"/>
  <c r="AL7" i="4"/>
  <c r="AC21" i="4"/>
  <c r="K21" i="4"/>
  <c r="I21" i="4"/>
  <c r="AI21" i="4"/>
  <c r="G18" i="4"/>
  <c r="BV7" i="4"/>
  <c r="N7" i="4"/>
  <c r="CA7" i="4"/>
  <c r="H7" i="4"/>
  <c r="AW7" i="4"/>
  <c r="N57" i="4"/>
  <c r="BM7" i="4"/>
  <c r="P7" i="4"/>
  <c r="O8" i="4"/>
  <c r="AM8" i="4"/>
  <c r="P8" i="4"/>
  <c r="AI8" i="4"/>
  <c r="AP8" i="4"/>
  <c r="P9" i="4"/>
  <c r="AI9" i="4"/>
  <c r="AF9" i="4"/>
  <c r="AS9" i="4"/>
  <c r="AP9" i="4"/>
  <c r="AR21" i="4"/>
  <c r="O21" i="4"/>
  <c r="J21" i="4"/>
  <c r="AO21" i="4"/>
  <c r="T9" i="4"/>
  <c r="H9" i="4"/>
  <c r="AN9" i="4"/>
  <c r="Q8" i="4"/>
  <c r="AC8" i="4"/>
  <c r="AB8" i="4"/>
  <c r="L7" i="4"/>
  <c r="BW7" i="4"/>
  <c r="BE7" i="4"/>
  <c r="CC7" i="4"/>
  <c r="CC22" i="4" s="1"/>
  <c r="BP7" i="4"/>
  <c r="BY8" i="4"/>
  <c r="BY14" i="4" s="1"/>
  <c r="CH8" i="4"/>
  <c r="CH14" i="4" s="1"/>
  <c r="BO8" i="4"/>
  <c r="BO14" i="4" s="1"/>
  <c r="BV8" i="4"/>
  <c r="BV14" i="4" s="1"/>
  <c r="BV22" i="4" s="1"/>
  <c r="AF40" i="5"/>
  <c r="AF46" i="5" s="1"/>
  <c r="AK7" i="4"/>
  <c r="X7" i="4"/>
  <c r="AN7" i="4"/>
  <c r="W21" i="4"/>
  <c r="Q21" i="4"/>
  <c r="BL8" i="4"/>
  <c r="BL14" i="4" s="1"/>
  <c r="CG8" i="4"/>
  <c r="CG14" i="4" s="1"/>
  <c r="BB8" i="4"/>
  <c r="BZ8" i="4"/>
  <c r="BZ14" i="4" s="1"/>
  <c r="BE8" i="4"/>
  <c r="BE14" i="4" s="1"/>
  <c r="K8" i="4"/>
  <c r="BW8" i="4"/>
  <c r="BW14" i="4" s="1"/>
  <c r="BA8" i="4"/>
  <c r="BI8" i="4"/>
  <c r="BI14" i="4" s="1"/>
  <c r="BI22" i="4" s="1"/>
  <c r="BK8" i="4"/>
  <c r="BK14" i="4" s="1"/>
  <c r="AC9" i="4"/>
  <c r="BD9" i="4"/>
  <c r="BM9" i="4"/>
  <c r="CC9" i="4"/>
  <c r="BN9" i="4"/>
  <c r="CD9" i="4"/>
  <c r="BO9" i="4"/>
  <c r="CE9" i="4"/>
  <c r="BP9" i="4"/>
  <c r="BH9" i="4"/>
  <c r="AU9" i="4"/>
  <c r="AZ9" i="4"/>
  <c r="BA9" i="4"/>
  <c r="BU9" i="4"/>
  <c r="BJ9" i="4"/>
  <c r="CH9" i="4"/>
  <c r="BW9" i="4"/>
  <c r="BE9" i="4"/>
  <c r="BX9" i="4"/>
  <c r="AY9" i="4"/>
  <c r="AR9" i="4"/>
  <c r="AD9" i="4"/>
  <c r="J9" i="4"/>
  <c r="BB9" i="4"/>
  <c r="BY9" i="4"/>
  <c r="BR9" i="4"/>
  <c r="BG9" i="4"/>
  <c r="CA9" i="4"/>
  <c r="CF9" i="4"/>
  <c r="BC9" i="4"/>
  <c r="BF9" i="4"/>
  <c r="BS9" i="4"/>
  <c r="L9" i="4"/>
  <c r="BI9" i="4"/>
  <c r="BL9" i="4"/>
  <c r="N9" i="4"/>
  <c r="BQ9" i="4"/>
  <c r="BZ9" i="4"/>
  <c r="CB9" i="4"/>
  <c r="CG9" i="4"/>
  <c r="BK9" i="4"/>
  <c r="BT9" i="4"/>
  <c r="BV9" i="4"/>
  <c r="P21" i="4"/>
  <c r="AR7" i="4"/>
  <c r="AN21" i="4"/>
  <c r="AE21" i="4"/>
  <c r="CG7" i="4"/>
  <c r="V7" i="4"/>
  <c r="CE7" i="4"/>
  <c r="AG7" i="4"/>
  <c r="J7" i="4"/>
  <c r="BH7" i="4"/>
  <c r="BD21" i="4"/>
  <c r="Y7" i="4"/>
  <c r="M7" i="4"/>
  <c r="AQ7" i="4"/>
  <c r="AA7" i="4"/>
  <c r="AB7" i="4"/>
  <c r="AT7" i="4"/>
  <c r="V21" i="4"/>
  <c r="I3" i="3"/>
  <c r="N138" i="4"/>
  <c r="AF39" i="5"/>
  <c r="AF21" i="4"/>
  <c r="AE7" i="4"/>
  <c r="AF7" i="4"/>
  <c r="AU21" i="4"/>
  <c r="M21" i="4"/>
  <c r="AA21" i="4"/>
  <c r="AG21" i="4"/>
  <c r="X21" i="4"/>
  <c r="AK21" i="4"/>
  <c r="AP21" i="4"/>
  <c r="I6" i="3"/>
  <c r="K6" i="3" s="1"/>
  <c r="CH7" i="4"/>
  <c r="BR7" i="4"/>
  <c r="AF17" i="5"/>
  <c r="AI7" i="4"/>
  <c r="AD21" i="4"/>
  <c r="H21" i="4"/>
  <c r="E9" i="1"/>
  <c r="AF19" i="5"/>
  <c r="W7" i="4"/>
  <c r="AP7" i="4"/>
  <c r="AL21" i="4"/>
  <c r="AF16" i="5"/>
  <c r="BE181" i="4"/>
  <c r="BE182" i="4" s="1"/>
  <c r="AH21" i="4"/>
  <c r="AY21" i="4"/>
  <c r="AF13" i="5"/>
  <c r="AS21" i="4"/>
  <c r="AT21" i="4"/>
  <c r="K16" i="3"/>
  <c r="J16" i="3"/>
  <c r="J17" i="3" s="1"/>
  <c r="J8" i="1"/>
  <c r="AM21" i="4"/>
  <c r="AV21" i="4"/>
  <c r="AU7" i="4"/>
  <c r="AW21" i="4"/>
  <c r="T21" i="4"/>
  <c r="Y21" i="4"/>
  <c r="AX21" i="4"/>
  <c r="BE183" i="4"/>
  <c r="BE184" i="4" s="1"/>
  <c r="BY22" i="4" l="1"/>
  <c r="AL14" i="4"/>
  <c r="I14" i="4"/>
  <c r="AX14" i="4"/>
  <c r="AD14" i="4"/>
  <c r="CE22" i="4"/>
  <c r="CA22" i="4"/>
  <c r="CB22" i="4"/>
  <c r="BH22" i="4"/>
  <c r="W14" i="4"/>
  <c r="BP22" i="4"/>
  <c r="AO14" i="4"/>
  <c r="AO22" i="4" s="1"/>
  <c r="CF22" i="4"/>
  <c r="AU14" i="4"/>
  <c r="BL22" i="4"/>
  <c r="BO22" i="4"/>
  <c r="AF45" i="5"/>
  <c r="AA14" i="4"/>
  <c r="AJ14" i="4"/>
  <c r="AJ22" i="4" s="1"/>
  <c r="AM14" i="4"/>
  <c r="AM22" i="4" s="1"/>
  <c r="AY14" i="4"/>
  <c r="BK22" i="4"/>
  <c r="K14" i="4"/>
  <c r="AN14" i="4"/>
  <c r="AN22" i="4" s="1"/>
  <c r="AS14" i="4"/>
  <c r="BX22" i="4"/>
  <c r="BU22" i="4"/>
  <c r="BJ22" i="4"/>
  <c r="CH22" i="4"/>
  <c r="AB14" i="4"/>
  <c r="AB22" i="4" s="1"/>
  <c r="AF14" i="4"/>
  <c r="AF22" i="4" s="1"/>
  <c r="AE14" i="4"/>
  <c r="AE22" i="4" s="1"/>
  <c r="AV14" i="4"/>
  <c r="J14" i="4"/>
  <c r="AG14" i="4"/>
  <c r="AG22" i="4" s="1"/>
  <c r="BW22" i="4"/>
  <c r="AW14" i="4"/>
  <c r="AP14" i="4"/>
  <c r="AP22" i="4" s="1"/>
  <c r="BZ22" i="4"/>
  <c r="Y14" i="4"/>
  <c r="Y22" i="4" s="1"/>
  <c r="H14" i="4"/>
  <c r="AI14" i="4"/>
  <c r="O14" i="4"/>
  <c r="BR22" i="4"/>
  <c r="L14" i="4"/>
  <c r="T14" i="4"/>
  <c r="P14" i="4"/>
  <c r="V14" i="4"/>
  <c r="V22" i="4" s="1"/>
  <c r="X14" i="4"/>
  <c r="N14" i="4"/>
  <c r="AC14" i="4"/>
  <c r="AC22" i="4" s="1"/>
  <c r="BM22" i="4"/>
  <c r="BC14" i="4"/>
  <c r="BC22" i="4" s="1"/>
  <c r="AT14" i="4"/>
  <c r="AT22" i="4" s="1"/>
  <c r="AA22" i="4"/>
  <c r="M14" i="4"/>
  <c r="AH14" i="4"/>
  <c r="AH22" i="4" s="1"/>
  <c r="AR14" i="4"/>
  <c r="AR22" i="4" s="1"/>
  <c r="Q14" i="4"/>
  <c r="J8" i="3"/>
  <c r="BE22" i="4"/>
  <c r="AW22" i="4"/>
  <c r="AZ14" i="4"/>
  <c r="AZ22" i="4" s="1"/>
  <c r="BD14" i="4"/>
  <c r="BD22" i="4" s="1"/>
  <c r="AI22" i="4"/>
  <c r="AU22" i="4"/>
  <c r="K3" i="3"/>
  <c r="AK14" i="4"/>
  <c r="AK22" i="4" s="1"/>
  <c r="W22" i="4"/>
  <c r="X22" i="4"/>
  <c r="BB14" i="4"/>
  <c r="BB22" i="4" s="1"/>
  <c r="CG22" i="4"/>
  <c r="AY22" i="4"/>
  <c r="AL22" i="4"/>
  <c r="BA14" i="4"/>
  <c r="BA22" i="4" s="1"/>
  <c r="AQ22" i="4"/>
  <c r="AS22" i="4"/>
  <c r="AX22" i="4"/>
  <c r="AV22" i="4"/>
  <c r="H23" i="4"/>
  <c r="H29" i="4" s="1"/>
  <c r="H153" i="4" s="1"/>
  <c r="AD22" i="4"/>
  <c r="T22" i="4"/>
  <c r="H188" i="4" l="1"/>
  <c r="H191" i="4" s="1"/>
  <c r="H159" i="4"/>
  <c r="H160" i="4" s="1"/>
  <c r="I153" i="4" s="1"/>
  <c r="I23" i="4"/>
  <c r="H43" i="4"/>
  <c r="H44" i="4" s="1"/>
  <c r="I27" i="4" s="1"/>
  <c r="H31" i="4"/>
  <c r="H156" i="4"/>
  <c r="H157" i="4" s="1"/>
  <c r="H158" i="4" s="1"/>
  <c r="H186" i="4"/>
  <c r="I152" i="4"/>
  <c r="I39" i="4"/>
  <c r="I186" i="4"/>
  <c r="I29" i="4" l="1"/>
  <c r="I67" i="4"/>
  <c r="I149" i="4" s="1"/>
  <c r="H45" i="4"/>
  <c r="H173" i="4" s="1"/>
  <c r="H175" i="4" s="1"/>
  <c r="J23" i="4"/>
  <c r="J67" i="4" s="1"/>
  <c r="J149" i="4" s="1"/>
  <c r="I188" i="4"/>
  <c r="I38" i="4" l="1"/>
  <c r="K23" i="4"/>
  <c r="K67" i="4" s="1"/>
  <c r="K149" i="4" s="1"/>
  <c r="H46" i="4"/>
  <c r="M23" i="4"/>
  <c r="M67" i="4" s="1"/>
  <c r="M149" i="4" s="1"/>
  <c r="J39" i="4"/>
  <c r="I30" i="4"/>
  <c r="I31" i="4" s="1"/>
  <c r="I33" i="4" s="1"/>
  <c r="J152" i="4"/>
  <c r="N23" i="4" l="1"/>
  <c r="O23" i="4" s="1"/>
  <c r="P23" i="4" s="1"/>
  <c r="Q23" i="4" s="1"/>
  <c r="T23" i="4" s="1"/>
  <c r="K29" i="4"/>
  <c r="L23" i="4"/>
  <c r="L67" i="4" s="1"/>
  <c r="L149" i="4" s="1"/>
  <c r="I191" i="4"/>
  <c r="N67" i="4"/>
  <c r="N149" i="4" s="1"/>
  <c r="I40" i="4"/>
  <c r="I43" i="4" s="1"/>
  <c r="I154" i="4"/>
  <c r="I155" i="4" s="1"/>
  <c r="I156" i="4" s="1"/>
  <c r="I77" i="4"/>
  <c r="L29" i="4" l="1"/>
  <c r="I159" i="4"/>
  <c r="I160" i="4" s="1"/>
  <c r="J153" i="4" s="1"/>
  <c r="I157" i="4"/>
  <c r="I158" i="4" s="1"/>
  <c r="V23" i="4"/>
  <c r="I44" i="4"/>
  <c r="J27" i="4" s="1"/>
  <c r="I45" i="4" l="1"/>
  <c r="J38" i="4" s="1"/>
  <c r="I173" i="4"/>
  <c r="J29" i="4"/>
  <c r="V67" i="4"/>
  <c r="V149" i="4" s="1"/>
  <c r="W23" i="4"/>
  <c r="J186" i="4"/>
  <c r="I46" i="4" l="1"/>
  <c r="I87" i="4"/>
  <c r="M152" i="4"/>
  <c r="K152" i="4"/>
  <c r="J188" i="4"/>
  <c r="I175" i="4"/>
  <c r="I176" i="4"/>
  <c r="X23" i="4"/>
  <c r="M39" i="4"/>
  <c r="J30" i="4"/>
  <c r="J31" i="4" s="1"/>
  <c r="J33" i="4" s="1"/>
  <c r="K39" i="4"/>
  <c r="J40" i="4" l="1"/>
  <c r="J43" i="4" s="1"/>
  <c r="J154" i="4"/>
  <c r="J155" i="4" s="1"/>
  <c r="J77" i="4"/>
  <c r="Y23" i="4"/>
  <c r="J191" i="4"/>
  <c r="J156" i="4" l="1"/>
  <c r="AA23" i="4"/>
  <c r="J44" i="4"/>
  <c r="J45" i="4" s="1"/>
  <c r="AB23" i="4" l="1"/>
  <c r="K38" i="4"/>
  <c r="M38" i="4"/>
  <c r="J46" i="4"/>
  <c r="J87" i="4"/>
  <c r="J159" i="4"/>
  <c r="J160" i="4" s="1"/>
  <c r="J157" i="4"/>
  <c r="J158" i="4" s="1"/>
  <c r="M153" i="4" l="1"/>
  <c r="K153" i="4"/>
  <c r="K30" i="4"/>
  <c r="K31" i="4" s="1"/>
  <c r="K33" i="4" s="1"/>
  <c r="AC23" i="4"/>
  <c r="M30" i="4"/>
  <c r="M172" i="4" s="1"/>
  <c r="N39" i="4"/>
  <c r="J173" i="4"/>
  <c r="K40" i="4" l="1"/>
  <c r="K43" i="4" s="1"/>
  <c r="K154" i="4"/>
  <c r="K155" i="4" s="1"/>
  <c r="K77" i="4"/>
  <c r="AD23" i="4"/>
  <c r="L152" i="4"/>
  <c r="L154" i="4" s="1"/>
  <c r="K186" i="4"/>
  <c r="K188" i="4"/>
  <c r="J175" i="4"/>
  <c r="J176" i="4"/>
  <c r="L39" i="4"/>
  <c r="L40" i="4" s="1"/>
  <c r="N152" i="4"/>
  <c r="K156" i="4" l="1"/>
  <c r="N172" i="4"/>
  <c r="K191" i="4"/>
  <c r="AE23" i="4"/>
  <c r="K44" i="4"/>
  <c r="K45" i="4" s="1"/>
  <c r="X47" i="4"/>
  <c r="X138" i="4" s="1"/>
  <c r="L38" i="4" l="1"/>
  <c r="K46" i="4"/>
  <c r="K87" i="4"/>
  <c r="AF23" i="4"/>
  <c r="K157" i="4"/>
  <c r="K158" i="4"/>
  <c r="K159" i="4"/>
  <c r="K160" i="4" s="1"/>
  <c r="L153" i="4" s="1"/>
  <c r="K173" i="4" l="1"/>
  <c r="K176" i="4" s="1"/>
  <c r="K175" i="4"/>
  <c r="AG23" i="4"/>
  <c r="L155" i="4"/>
  <c r="L188" i="4"/>
  <c r="L191" i="4" s="1"/>
  <c r="L43" i="4"/>
  <c r="L30" i="4"/>
  <c r="AH23" i="4" l="1"/>
  <c r="L44" i="4"/>
  <c r="M27" i="4" s="1"/>
  <c r="L45" i="4"/>
  <c r="Y47" i="4"/>
  <c r="Y138" i="4" s="1"/>
  <c r="L172" i="4"/>
  <c r="L31" i="4"/>
  <c r="L179" i="4" s="1"/>
  <c r="L186" i="4" s="1"/>
  <c r="L156" i="4"/>
  <c r="M29" i="4" l="1"/>
  <c r="L46" i="4"/>
  <c r="L87" i="4"/>
  <c r="AH107" i="4"/>
  <c r="AI23" i="4"/>
  <c r="L159" i="4"/>
  <c r="L160" i="4" s="1"/>
  <c r="L173" i="4" s="1"/>
  <c r="L157" i="4"/>
  <c r="L158" i="4" s="1"/>
  <c r="L175" i="4" l="1"/>
  <c r="L176" i="4"/>
  <c r="AI117" i="4"/>
  <c r="AJ23" i="4"/>
  <c r="M31" i="4"/>
  <c r="M188" i="4"/>
  <c r="M191" i="4" s="1"/>
  <c r="M33" i="4" l="1"/>
  <c r="M179" i="4"/>
  <c r="M186" i="4" s="1"/>
  <c r="AJ117" i="4"/>
  <c r="AK23" i="4"/>
  <c r="AK117" i="4" l="1"/>
  <c r="AL23" i="4"/>
  <c r="M40" i="4"/>
  <c r="M43" i="4" s="1"/>
  <c r="M154" i="4"/>
  <c r="M155" i="4" s="1"/>
  <c r="M77" i="4"/>
  <c r="AL117" i="4" l="1"/>
  <c r="AM23" i="4"/>
  <c r="M44" i="4"/>
  <c r="N27" i="4" s="1"/>
  <c r="AA47" i="4"/>
  <c r="AA138" i="4" s="1"/>
  <c r="M156" i="4"/>
  <c r="M45" i="4" l="1"/>
  <c r="M46" i="4" s="1"/>
  <c r="AM127" i="4"/>
  <c r="AN23" i="4"/>
  <c r="M87" i="4"/>
  <c r="M159" i="4"/>
  <c r="M160" i="4" s="1"/>
  <c r="N153" i="4" s="1"/>
  <c r="M157" i="4"/>
  <c r="M158" i="4" s="1"/>
  <c r="N29" i="4"/>
  <c r="N38" i="4" l="1"/>
  <c r="N30" i="4" s="1"/>
  <c r="N31" i="4" s="1"/>
  <c r="N33" i="4" s="1"/>
  <c r="N180" i="4"/>
  <c r="N179" i="4"/>
  <c r="Q70" i="4"/>
  <c r="M173" i="4"/>
  <c r="AN127" i="4"/>
  <c r="AO23" i="4"/>
  <c r="N40" i="4" l="1"/>
  <c r="N43" i="4" s="1"/>
  <c r="N154" i="4"/>
  <c r="N155" i="4" s="1"/>
  <c r="N77" i="4"/>
  <c r="M176" i="4"/>
  <c r="M175" i="4"/>
  <c r="N181" i="4"/>
  <c r="N182" i="4" s="1"/>
  <c r="AO127" i="4"/>
  <c r="AP23" i="4"/>
  <c r="N183" i="4"/>
  <c r="N184" i="4"/>
  <c r="N156" i="4" l="1"/>
  <c r="AQ23" i="4"/>
  <c r="N44" i="4"/>
  <c r="O27" i="4" s="1"/>
  <c r="AB47" i="4"/>
  <c r="AB138" i="4" s="1"/>
  <c r="N159" i="4" l="1"/>
  <c r="N157" i="4"/>
  <c r="N158" i="4" s="1"/>
  <c r="N45" i="4"/>
  <c r="O29" i="4"/>
  <c r="AR23" i="4"/>
  <c r="AS23" i="4" l="1"/>
  <c r="O38" i="4"/>
  <c r="N46" i="4"/>
  <c r="N87" i="4"/>
  <c r="N186" i="4"/>
  <c r="N160" i="4"/>
  <c r="N173" i="4" s="1"/>
  <c r="N175" i="4" l="1"/>
  <c r="N176" i="4"/>
  <c r="O41" i="4"/>
  <c r="O42" i="4" s="1"/>
  <c r="O52" i="4"/>
  <c r="O53" i="4" s="1"/>
  <c r="O153" i="4"/>
  <c r="O50" i="4" s="1"/>
  <c r="O172" i="4"/>
  <c r="Q131" i="4"/>
  <c r="N188" i="4"/>
  <c r="AT23" i="4"/>
  <c r="O39" i="4" l="1"/>
  <c r="O180" i="4"/>
  <c r="O179" i="4"/>
  <c r="AU23" i="4"/>
  <c r="O152" i="4"/>
  <c r="O30" i="4"/>
  <c r="O31" i="4" s="1"/>
  <c r="O33" i="4" s="1"/>
  <c r="O183" i="4" l="1"/>
  <c r="O184" i="4" s="1"/>
  <c r="O40" i="4"/>
  <c r="O43" i="4" s="1"/>
  <c r="O154" i="4"/>
  <c r="O155" i="4" s="1"/>
  <c r="O181" i="4"/>
  <c r="O182" i="4" s="1"/>
  <c r="AV23" i="4"/>
  <c r="O51" i="4"/>
  <c r="O54" i="4" s="1"/>
  <c r="AW23" i="4" l="1"/>
  <c r="O156" i="4"/>
  <c r="O44" i="4"/>
  <c r="P27" i="4" s="1"/>
  <c r="AC47" i="4"/>
  <c r="AC138" i="4" s="1"/>
  <c r="O55" i="4"/>
  <c r="O56" i="4"/>
  <c r="W57" i="4"/>
  <c r="O45" i="4" l="1"/>
  <c r="P38" i="4" s="1"/>
  <c r="O159" i="4"/>
  <c r="O157" i="4"/>
  <c r="O158" i="4" s="1"/>
  <c r="O173" i="4"/>
  <c r="O46" i="4"/>
  <c r="O97" i="4" s="1"/>
  <c r="P49" i="4"/>
  <c r="O57" i="4"/>
  <c r="O107" i="4"/>
  <c r="AX23" i="4"/>
  <c r="P29" i="4"/>
  <c r="AY23" i="4" l="1"/>
  <c r="P52" i="4"/>
  <c r="P53" i="4" s="1"/>
  <c r="P62" i="4"/>
  <c r="P63" i="4" s="1"/>
  <c r="P41" i="4"/>
  <c r="P42" i="4" s="1"/>
  <c r="P31" i="4"/>
  <c r="P33" i="4" s="1"/>
  <c r="O176" i="4"/>
  <c r="O175" i="4"/>
  <c r="O186" i="4"/>
  <c r="O188" i="4" s="1"/>
  <c r="O160" i="4"/>
  <c r="P153" i="4" l="1"/>
  <c r="P172" i="4"/>
  <c r="AZ23" i="4"/>
  <c r="BA23" i="4" l="1"/>
  <c r="P180" i="4"/>
  <c r="P179" i="4"/>
  <c r="P152" i="4"/>
  <c r="P154" i="4" s="1"/>
  <c r="P155" i="4" s="1"/>
  <c r="P50" i="4"/>
  <c r="P51" i="4" s="1"/>
  <c r="P54" i="4" s="1"/>
  <c r="P60" i="4"/>
  <c r="P61" i="4" s="1"/>
  <c r="P64" i="4" s="1"/>
  <c r="P39" i="4"/>
  <c r="P40" i="4" s="1"/>
  <c r="P43" i="4" s="1"/>
  <c r="P156" i="4" l="1"/>
  <c r="P55" i="4"/>
  <c r="P117" i="4" s="1"/>
  <c r="P65" i="4"/>
  <c r="P127" i="4" s="1"/>
  <c r="P183" i="4"/>
  <c r="P184" i="4" s="1"/>
  <c r="BA67" i="4"/>
  <c r="BB23" i="4"/>
  <c r="P181" i="4"/>
  <c r="P182" i="4" s="1"/>
  <c r="P44" i="4"/>
  <c r="AD47" i="4"/>
  <c r="AD138" i="4" s="1"/>
  <c r="P66" i="4" l="1"/>
  <c r="P67" i="4" s="1"/>
  <c r="Q27" i="4"/>
  <c r="Q29" i="4" s="1"/>
  <c r="P45" i="4"/>
  <c r="BB67" i="4"/>
  <c r="BC23" i="4"/>
  <c r="P56" i="4"/>
  <c r="Q59" i="4"/>
  <c r="P159" i="4"/>
  <c r="P157" i="4"/>
  <c r="P158" i="4" s="1"/>
  <c r="P186" i="4" l="1"/>
  <c r="P188" i="4" s="1"/>
  <c r="P160" i="4"/>
  <c r="P173" i="4" s="1"/>
  <c r="BC67" i="4"/>
  <c r="BD23" i="4"/>
  <c r="Q49" i="4"/>
  <c r="P57" i="4"/>
  <c r="Q38" i="4"/>
  <c r="P107" i="4"/>
  <c r="P46" i="4"/>
  <c r="Q52" i="4" l="1"/>
  <c r="Q53" i="4" s="1"/>
  <c r="Q72" i="4"/>
  <c r="Q153" i="4"/>
  <c r="Q50" i="4" s="1"/>
  <c r="Q172" i="4"/>
  <c r="P176" i="4"/>
  <c r="P175" i="4"/>
  <c r="Q62" i="4"/>
  <c r="Q63" i="4" s="1"/>
  <c r="Q41" i="4"/>
  <c r="Q42" i="4" s="1"/>
  <c r="BD67" i="4"/>
  <c r="BE23" i="4"/>
  <c r="BF23" i="4" s="1"/>
  <c r="BG23" i="4" s="1"/>
  <c r="BH23" i="4" s="1"/>
  <c r="BI23" i="4" s="1"/>
  <c r="BJ23" i="4" s="1"/>
  <c r="BK23" i="4" s="1"/>
  <c r="BL23" i="4" s="1"/>
  <c r="BM23" i="4" s="1"/>
  <c r="BN23" i="4" s="1"/>
  <c r="BO23" i="4" s="1"/>
  <c r="BP23" i="4" s="1"/>
  <c r="BQ23" i="4" s="1"/>
  <c r="BR23" i="4" s="1"/>
  <c r="BS23" i="4" s="1"/>
  <c r="BT23" i="4" s="1"/>
  <c r="BU23" i="4" s="1"/>
  <c r="BV23" i="4" s="1"/>
  <c r="BW23" i="4" s="1"/>
  <c r="BX23" i="4" s="1"/>
  <c r="BY23" i="4" s="1"/>
  <c r="BZ23" i="4" s="1"/>
  <c r="CA23" i="4" s="1"/>
  <c r="CB23" i="4" s="1"/>
  <c r="CC23" i="4" s="1"/>
  <c r="CD23" i="4" s="1"/>
  <c r="CE23" i="4" s="1"/>
  <c r="CF23" i="4" s="1"/>
  <c r="CG23" i="4" s="1"/>
  <c r="CH23" i="4" s="1"/>
  <c r="Q30" i="4" l="1"/>
  <c r="Q31" i="4" s="1"/>
  <c r="Q33" i="4" s="1"/>
  <c r="Q71" i="4" s="1"/>
  <c r="Q39" i="4"/>
  <c r="T70" i="4"/>
  <c r="Q60" i="4"/>
  <c r="T50" i="4"/>
  <c r="T142" i="4"/>
  <c r="Q144" i="4"/>
  <c r="Q145" i="4" s="1"/>
  <c r="Q179" i="4"/>
  <c r="Q180" i="4"/>
  <c r="Q51" i="4"/>
  <c r="Q54" i="4" s="1"/>
  <c r="T152" i="4"/>
  <c r="Q152" i="4"/>
  <c r="Q154" i="4" s="1"/>
  <c r="Q155" i="4" s="1"/>
  <c r="T60" i="4"/>
  <c r="Q40" i="4" l="1"/>
  <c r="Q43" i="4" s="1"/>
  <c r="Q44" i="4" s="1"/>
  <c r="Q45" i="4" s="1"/>
  <c r="Q61" i="4"/>
  <c r="Q133" i="4" s="1"/>
  <c r="Q156" i="4"/>
  <c r="Q55" i="4"/>
  <c r="Q117" i="4" s="1"/>
  <c r="Q181" i="4"/>
  <c r="Q182" i="4" s="1"/>
  <c r="Q183" i="4"/>
  <c r="Q184" i="4" s="1"/>
  <c r="Q64" i="4" l="1"/>
  <c r="Q65" i="4" s="1"/>
  <c r="Q127" i="4" s="1"/>
  <c r="AE47" i="4"/>
  <c r="AE138" i="4" s="1"/>
  <c r="Q159" i="4"/>
  <c r="Q157" i="4"/>
  <c r="Q158" i="4" s="1"/>
  <c r="T38" i="4"/>
  <c r="Q107" i="4"/>
  <c r="Q46" i="4"/>
  <c r="Q73" i="4"/>
  <c r="Q74" i="4" s="1"/>
  <c r="Q56" i="4"/>
  <c r="Q75" i="4" l="1"/>
  <c r="T27" i="4" s="1"/>
  <c r="Q186" i="4"/>
  <c r="Q160" i="4"/>
  <c r="T49" i="4"/>
  <c r="Q132" i="4"/>
  <c r="Q57" i="4"/>
  <c r="Q66" i="4"/>
  <c r="Q76" i="4" l="1"/>
  <c r="Q77" i="4" s="1"/>
  <c r="T153" i="4"/>
  <c r="Q173" i="4"/>
  <c r="T59" i="4"/>
  <c r="T52" i="4" s="1"/>
  <c r="T53" i="4" s="1"/>
  <c r="Q67" i="4"/>
  <c r="T39" i="4"/>
  <c r="Q188" i="4"/>
  <c r="T131" i="4"/>
  <c r="T29" i="4"/>
  <c r="T30" i="4" l="1"/>
  <c r="T31" i="4" s="1"/>
  <c r="T33" i="4" s="1"/>
  <c r="T41" i="4"/>
  <c r="T42" i="4" s="1"/>
  <c r="T179" i="4"/>
  <c r="T180" i="4"/>
  <c r="Q176" i="4"/>
  <c r="Q175" i="4"/>
  <c r="Q143" i="4"/>
  <c r="Q146" i="4" s="1"/>
  <c r="Q134" i="4"/>
  <c r="Q135" i="4" s="1"/>
  <c r="T62" i="4"/>
  <c r="T63" i="4" s="1"/>
  <c r="T72" i="4"/>
  <c r="T73" i="4" l="1"/>
  <c r="T144" i="4"/>
  <c r="T145" i="4" s="1"/>
  <c r="Q147" i="4"/>
  <c r="Q148" i="4" s="1"/>
  <c r="Q149" i="4" s="1"/>
  <c r="T183" i="4"/>
  <c r="T184" i="4" s="1"/>
  <c r="T61" i="4"/>
  <c r="T64" i="4" s="1"/>
  <c r="T40" i="4"/>
  <c r="T43" i="4" s="1"/>
  <c r="T51" i="4"/>
  <c r="T54" i="4" s="1"/>
  <c r="T154" i="4"/>
  <c r="T155" i="4" s="1"/>
  <c r="T71" i="4"/>
  <c r="T74" i="4" s="1"/>
  <c r="Q136" i="4"/>
  <c r="Q137" i="4" s="1"/>
  <c r="Q138" i="4" s="1"/>
  <c r="T181" i="4"/>
  <c r="T182" i="4" s="1"/>
  <c r="T65" i="4" l="1"/>
  <c r="T66" i="4"/>
  <c r="T67" i="4" s="1"/>
  <c r="T143" i="4" s="1"/>
  <c r="T146" i="4" s="1"/>
  <c r="T156" i="4"/>
  <c r="T133" i="4"/>
  <c r="T75" i="4"/>
  <c r="T76" i="4"/>
  <c r="T77" i="4" s="1"/>
  <c r="T55" i="4"/>
  <c r="T127" i="4" s="1"/>
  <c r="T44" i="4"/>
  <c r="T45" i="4" s="1"/>
  <c r="T56" i="4" l="1"/>
  <c r="U38" i="4" s="1"/>
  <c r="V27" i="4"/>
  <c r="V29" i="4" s="1"/>
  <c r="T46" i="4"/>
  <c r="T117" i="4"/>
  <c r="T57" i="4"/>
  <c r="T134" i="4" s="1"/>
  <c r="T147" i="4"/>
  <c r="T148" i="4" s="1"/>
  <c r="T149" i="4" s="1"/>
  <c r="T159" i="4"/>
  <c r="T157" i="4"/>
  <c r="T158" i="4" s="1"/>
  <c r="T132" i="4" l="1"/>
  <c r="T186" i="4"/>
  <c r="T188" i="4" s="1"/>
  <c r="T160" i="4"/>
  <c r="V180" i="4"/>
  <c r="V179" i="4"/>
  <c r="T135" i="4"/>
  <c r="V38" i="4"/>
  <c r="V30" i="4"/>
  <c r="V31" i="4" s="1"/>
  <c r="V33" i="4" s="1"/>
  <c r="V39" i="4"/>
  <c r="V40" i="4" l="1"/>
  <c r="V77" i="4"/>
  <c r="V43" i="4"/>
  <c r="T136" i="4"/>
  <c r="T137" i="4" s="1"/>
  <c r="T138" i="4" s="1"/>
  <c r="V183" i="4"/>
  <c r="V184" i="4" s="1"/>
  <c r="V153" i="4"/>
  <c r="T173" i="4"/>
  <c r="V181" i="4"/>
  <c r="V182" i="4" s="1"/>
  <c r="V44" i="4" l="1"/>
  <c r="W27" i="4" s="1"/>
  <c r="V45" i="4"/>
  <c r="W152" i="4" s="1"/>
  <c r="T175" i="4"/>
  <c r="T176" i="4"/>
  <c r="W29" i="4" l="1"/>
  <c r="W38" i="4"/>
  <c r="V46" i="4"/>
  <c r="V87" i="4"/>
  <c r="V152" i="4"/>
  <c r="V154" i="4" s="1"/>
  <c r="V155" i="4" s="1"/>
  <c r="V156" i="4" s="1"/>
  <c r="V159" i="4" l="1"/>
  <c r="V157" i="4"/>
  <c r="V158" i="4" s="1"/>
  <c r="V186" i="4" l="1"/>
  <c r="V188" i="4" s="1"/>
  <c r="V160" i="4"/>
  <c r="W153" i="4" l="1"/>
  <c r="W172" i="4"/>
  <c r="W39" i="4"/>
  <c r="V173" i="4"/>
  <c r="W30" i="4"/>
  <c r="W31" i="4" s="1"/>
  <c r="W33" i="4" s="1"/>
  <c r="W180" i="4" l="1"/>
  <c r="W179" i="4"/>
  <c r="V175" i="4"/>
  <c r="V176" i="4"/>
  <c r="W40" i="4"/>
  <c r="W43" i="4" s="1"/>
  <c r="W154" i="4"/>
  <c r="W155" i="4"/>
  <c r="W183" i="4" l="1"/>
  <c r="W184" i="4" s="1"/>
  <c r="W156" i="4"/>
  <c r="W44" i="4"/>
  <c r="X27" i="4" s="1"/>
  <c r="W181" i="4"/>
  <c r="W182" i="4" s="1"/>
  <c r="W159" i="4" l="1"/>
  <c r="W157" i="4"/>
  <c r="W158" i="4" s="1"/>
  <c r="W45" i="4"/>
  <c r="X29" i="4"/>
  <c r="W186" i="4" l="1"/>
  <c r="W188" i="4" s="1"/>
  <c r="W160" i="4"/>
  <c r="X30" i="4" s="1"/>
  <c r="X31" i="4" s="1"/>
  <c r="X33" i="4" s="1"/>
  <c r="X38" i="4"/>
  <c r="W46" i="4"/>
  <c r="X153" i="4" l="1"/>
  <c r="X172" i="4"/>
  <c r="X52" i="4"/>
  <c r="X53" i="4" s="1"/>
  <c r="X41" i="4"/>
  <c r="X42" i="4" s="1"/>
  <c r="X50" i="4"/>
  <c r="X51" i="4" s="1"/>
  <c r="W173" i="4"/>
  <c r="X54" i="4" l="1"/>
  <c r="X55" i="4" s="1"/>
  <c r="X56" i="4" s="1"/>
  <c r="X180" i="4"/>
  <c r="X179" i="4"/>
  <c r="X152" i="4"/>
  <c r="X154" i="4" s="1"/>
  <c r="X155" i="4" s="1"/>
  <c r="W176" i="4"/>
  <c r="W175" i="4"/>
  <c r="X39" i="4"/>
  <c r="X40" i="4" s="1"/>
  <c r="X43" i="4" s="1"/>
  <c r="X156" i="4" l="1"/>
  <c r="Y49" i="4"/>
  <c r="X57" i="4"/>
  <c r="X107" i="4"/>
  <c r="X183" i="4"/>
  <c r="X184" i="4" s="1"/>
  <c r="X44" i="4"/>
  <c r="Y27" i="4" s="1"/>
  <c r="X181" i="4"/>
  <c r="X182" i="4" s="1"/>
  <c r="X159" i="4" l="1"/>
  <c r="X157" i="4"/>
  <c r="X158" i="4" s="1"/>
  <c r="Y29" i="4"/>
  <c r="X45" i="4"/>
  <c r="X186" i="4" l="1"/>
  <c r="X188" i="4" s="1"/>
  <c r="X160" i="4"/>
  <c r="X173" i="4" s="1"/>
  <c r="Y38" i="4"/>
  <c r="X46" i="4"/>
  <c r="X97" i="4" s="1"/>
  <c r="Y30" i="4" l="1"/>
  <c r="Y31" i="4" s="1"/>
  <c r="Y33" i="4" s="1"/>
  <c r="Y153" i="4"/>
  <c r="Y39" i="4" s="1"/>
  <c r="Y172" i="4"/>
  <c r="Y41" i="4"/>
  <c r="Y42" i="4" s="1"/>
  <c r="Y52" i="4"/>
  <c r="Y53" i="4" s="1"/>
  <c r="X176" i="4"/>
  <c r="X175" i="4"/>
  <c r="Y40" i="4" l="1"/>
  <c r="Y43" i="4" s="1"/>
  <c r="Y44" i="4" s="1"/>
  <c r="Y45" i="4" s="1"/>
  <c r="Y179" i="4"/>
  <c r="Y180" i="4"/>
  <c r="Y152" i="4"/>
  <c r="Y154" i="4" s="1"/>
  <c r="Y155" i="4" s="1"/>
  <c r="Y50" i="4"/>
  <c r="Y51" i="4" s="1"/>
  <c r="Y54" i="4" s="1"/>
  <c r="Y156" i="4" l="1"/>
  <c r="Y181" i="4"/>
  <c r="Y182" i="4" s="1"/>
  <c r="AA38" i="4"/>
  <c r="Y46" i="4"/>
  <c r="Y97" i="4" s="1"/>
  <c r="Y55" i="4"/>
  <c r="AA27" i="4" s="1"/>
  <c r="Y56" i="4"/>
  <c r="Y183" i="4"/>
  <c r="Y184" i="4" s="1"/>
  <c r="Y159" i="4" l="1"/>
  <c r="Y157" i="4"/>
  <c r="Y158" i="4" s="1"/>
  <c r="AA49" i="4"/>
  <c r="AA41" i="4" s="1"/>
  <c r="AA42" i="4" s="1"/>
  <c r="Y57" i="4"/>
  <c r="Y107" i="4"/>
  <c r="AA29" i="4"/>
  <c r="Y186" i="4" l="1"/>
  <c r="Y188" i="4" s="1"/>
  <c r="Y160" i="4"/>
  <c r="AA52" i="4"/>
  <c r="AA53" i="4" s="1"/>
  <c r="AA62" i="4"/>
  <c r="AA63" i="4" s="1"/>
  <c r="AA153" i="4" l="1"/>
  <c r="Y173" i="4"/>
  <c r="AA172" i="4"/>
  <c r="AA30" i="4"/>
  <c r="AA31" i="4" s="1"/>
  <c r="AA33" i="4" s="1"/>
  <c r="AA179" i="4" l="1"/>
  <c r="AA180" i="4"/>
  <c r="Y175" i="4"/>
  <c r="Y176" i="4"/>
  <c r="AA152" i="4"/>
  <c r="AA154" i="4" s="1"/>
  <c r="AA155" i="4" s="1"/>
  <c r="AA60" i="4"/>
  <c r="AA61" i="4" s="1"/>
  <c r="AA64" i="4" s="1"/>
  <c r="AA39" i="4"/>
  <c r="AA40" i="4" s="1"/>
  <c r="AA43" i="4" s="1"/>
  <c r="AA50" i="4"/>
  <c r="AA51" i="4" s="1"/>
  <c r="AA54" i="4" s="1"/>
  <c r="AA44" i="4" l="1"/>
  <c r="AA45" i="4" s="1"/>
  <c r="AA156" i="4"/>
  <c r="AA181" i="4"/>
  <c r="AA182" i="4" s="1"/>
  <c r="AA183" i="4"/>
  <c r="AA184" i="4" s="1"/>
  <c r="AA55" i="4"/>
  <c r="AA56" i="4" s="1"/>
  <c r="AA65" i="4"/>
  <c r="AA66" i="4" s="1"/>
  <c r="AB59" i="4" l="1"/>
  <c r="AA67" i="4"/>
  <c r="AA117" i="4"/>
  <c r="AB49" i="4"/>
  <c r="AA57" i="4"/>
  <c r="AA107" i="4"/>
  <c r="AB38" i="4"/>
  <c r="AA46" i="4"/>
  <c r="AA97" i="4" s="1"/>
  <c r="AA159" i="4"/>
  <c r="AA157" i="4"/>
  <c r="AA158" i="4" s="1"/>
  <c r="AB27" i="4"/>
  <c r="AB41" i="4" l="1"/>
  <c r="AB42" i="4" s="1"/>
  <c r="AB52" i="4"/>
  <c r="AB53" i="4" s="1"/>
  <c r="AA186" i="4"/>
  <c r="AA188" i="4" s="1"/>
  <c r="AA160" i="4"/>
  <c r="AB29" i="4"/>
  <c r="AB62" i="4"/>
  <c r="AB63" i="4" s="1"/>
  <c r="AB153" i="4" l="1"/>
  <c r="AB172" i="4"/>
  <c r="AB180" i="4" s="1"/>
  <c r="AA173" i="4"/>
  <c r="AB181" i="4" l="1"/>
  <c r="AB182" i="4" s="1"/>
  <c r="AA175" i="4"/>
  <c r="AA176" i="4"/>
  <c r="AB179" i="4"/>
  <c r="AB152" i="4"/>
  <c r="AB50" i="4"/>
  <c r="AB60" i="4"/>
  <c r="AB30" i="4"/>
  <c r="AB31" i="4" s="1"/>
  <c r="AB33" i="4" s="1"/>
  <c r="AB39" i="4"/>
  <c r="AB51" i="4" l="1"/>
  <c r="AB54" i="4" s="1"/>
  <c r="AB55" i="4" s="1"/>
  <c r="AB56" i="4" s="1"/>
  <c r="AB40" i="4"/>
  <c r="AB43" i="4" s="1"/>
  <c r="AB154" i="4"/>
  <c r="AB155" i="4" s="1"/>
  <c r="AB61" i="4"/>
  <c r="AB64" i="4" s="1"/>
  <c r="AB183" i="4"/>
  <c r="AB184" i="4" s="1"/>
  <c r="AB156" i="4" l="1"/>
  <c r="AB44" i="4"/>
  <c r="AC49" i="4"/>
  <c r="AB57" i="4"/>
  <c r="AB107" i="4"/>
  <c r="AB65" i="4"/>
  <c r="AB66" i="4" s="1"/>
  <c r="AC27" i="4" l="1"/>
  <c r="AC29" i="4" s="1"/>
  <c r="AC59" i="4"/>
  <c r="AB117" i="4"/>
  <c r="AB67" i="4"/>
  <c r="AB159" i="4"/>
  <c r="AB157" i="4"/>
  <c r="AB158" i="4" s="1"/>
  <c r="AB45" i="4"/>
  <c r="AC38" i="4" l="1"/>
  <c r="AB46" i="4"/>
  <c r="AB97" i="4" s="1"/>
  <c r="AC62" i="4"/>
  <c r="AC63" i="4" s="1"/>
  <c r="AB186" i="4"/>
  <c r="AB188" i="4" s="1"/>
  <c r="AB160" i="4"/>
  <c r="AB173" i="4" s="1"/>
  <c r="AB176" i="4" l="1"/>
  <c r="AB175" i="4"/>
  <c r="AC153" i="4"/>
  <c r="AC39" i="4" s="1"/>
  <c r="AC172" i="4"/>
  <c r="AC41" i="4"/>
  <c r="AC42" i="4" s="1"/>
  <c r="AC52" i="4"/>
  <c r="AC53" i="4" s="1"/>
  <c r="AC50" i="4" l="1"/>
  <c r="AC179" i="4"/>
  <c r="AC180" i="4"/>
  <c r="AC152" i="4"/>
  <c r="AC60" i="4"/>
  <c r="AC30" i="4"/>
  <c r="AC31" i="4" s="1"/>
  <c r="AC33" i="4" s="1"/>
  <c r="AC154" i="4" l="1"/>
  <c r="AC155" i="4" s="1"/>
  <c r="AC40" i="4"/>
  <c r="AC43" i="4" s="1"/>
  <c r="AC61" i="4"/>
  <c r="AC64" i="4" s="1"/>
  <c r="AC181" i="4"/>
  <c r="AC182" i="4" s="1"/>
  <c r="AC183" i="4"/>
  <c r="AC184" i="4" s="1"/>
  <c r="AC51" i="4"/>
  <c r="AC54" i="4" s="1"/>
  <c r="AC65" i="4" l="1"/>
  <c r="AC66" i="4" s="1"/>
  <c r="AC44" i="4"/>
  <c r="AC55" i="4"/>
  <c r="AC56" i="4" s="1"/>
  <c r="AC156" i="4"/>
  <c r="AD27" i="4" l="1"/>
  <c r="AD29" i="4" s="1"/>
  <c r="AC159" i="4"/>
  <c r="AC157" i="4"/>
  <c r="AC158" i="4" s="1"/>
  <c r="AC45" i="4"/>
  <c r="AD49" i="4"/>
  <c r="AC57" i="4"/>
  <c r="AC107" i="4"/>
  <c r="AD59" i="4"/>
  <c r="AC117" i="4"/>
  <c r="AC67" i="4"/>
  <c r="AD38" i="4" l="1"/>
  <c r="AD62" i="4" s="1"/>
  <c r="AD63" i="4" s="1"/>
  <c r="AC46" i="4"/>
  <c r="AC97" i="4" s="1"/>
  <c r="AC186" i="4"/>
  <c r="AC188" i="4" s="1"/>
  <c r="AC160" i="4"/>
  <c r="AD41" i="4" l="1"/>
  <c r="AD42" i="4" s="1"/>
  <c r="AD153" i="4"/>
  <c r="AD39" i="4" s="1"/>
  <c r="AD172" i="4"/>
  <c r="AD52" i="4"/>
  <c r="AD53" i="4" s="1"/>
  <c r="AC173" i="4"/>
  <c r="AD60" i="4"/>
  <c r="AD50" i="4" l="1"/>
  <c r="AD179" i="4"/>
  <c r="AD180" i="4"/>
  <c r="AC176" i="4"/>
  <c r="AC175" i="4"/>
  <c r="AD152" i="4"/>
  <c r="AD30" i="4"/>
  <c r="AD31" i="4" s="1"/>
  <c r="AD33" i="4" s="1"/>
  <c r="AD51" i="4" l="1"/>
  <c r="AD54" i="4" s="1"/>
  <c r="AD55" i="4" s="1"/>
  <c r="AD56" i="4" s="1"/>
  <c r="AD183" i="4"/>
  <c r="AD184" i="4" s="1"/>
  <c r="AD181" i="4"/>
  <c r="AD182" i="4" s="1"/>
  <c r="AD40" i="4"/>
  <c r="AD43" i="4" s="1"/>
  <c r="AD154" i="4"/>
  <c r="AD155" i="4" s="1"/>
  <c r="AD61" i="4"/>
  <c r="AD64" i="4" s="1"/>
  <c r="AD156" i="4" l="1"/>
  <c r="AD44" i="4"/>
  <c r="AE49" i="4"/>
  <c r="AD57" i="4"/>
  <c r="AD107" i="4"/>
  <c r="AD65" i="4"/>
  <c r="AD66" i="4"/>
  <c r="AE27" i="4" l="1"/>
  <c r="AE29" i="4" s="1"/>
  <c r="AD45" i="4"/>
  <c r="AE59" i="4"/>
  <c r="AD67" i="4"/>
  <c r="AD117" i="4"/>
  <c r="AD159" i="4"/>
  <c r="AD157" i="4"/>
  <c r="AD158" i="4" s="1"/>
  <c r="AD186" i="4" l="1"/>
  <c r="AD188" i="4" s="1"/>
  <c r="AD160" i="4"/>
  <c r="AE38" i="4"/>
  <c r="AE62" i="4" s="1"/>
  <c r="AE63" i="4" s="1"/>
  <c r="AD46" i="4"/>
  <c r="AD97" i="4" s="1"/>
  <c r="AE153" i="4" l="1"/>
  <c r="AE50" i="4" s="1"/>
  <c r="AE172" i="4"/>
  <c r="AD173" i="4"/>
  <c r="AE41" i="4"/>
  <c r="AE42" i="4" s="1"/>
  <c r="AE30" i="4"/>
  <c r="AE31" i="4" s="1"/>
  <c r="AE33" i="4" s="1"/>
  <c r="AE39" i="4"/>
  <c r="AE52" i="4"/>
  <c r="AE53" i="4" s="1"/>
  <c r="AE40" i="4" l="1"/>
  <c r="AE43" i="4" s="1"/>
  <c r="AE180" i="4"/>
  <c r="AE179" i="4"/>
  <c r="AD175" i="4"/>
  <c r="AD176" i="4"/>
  <c r="AE51" i="4"/>
  <c r="AE54" i="4" s="1"/>
  <c r="AE152" i="4"/>
  <c r="AE154" i="4" s="1"/>
  <c r="AE155" i="4" s="1"/>
  <c r="AE60" i="4"/>
  <c r="AE61" i="4" s="1"/>
  <c r="AE64" i="4" s="1"/>
  <c r="AE156" i="4" l="1"/>
  <c r="AE181" i="4"/>
  <c r="AE182" i="4" s="1"/>
  <c r="AE55" i="4"/>
  <c r="AE56" i="4" s="1"/>
  <c r="AE65" i="4"/>
  <c r="AE66" i="4" s="1"/>
  <c r="AE183" i="4"/>
  <c r="AE184" i="4" s="1"/>
  <c r="AE44" i="4"/>
  <c r="AF27" i="4" l="1"/>
  <c r="AE45" i="4"/>
  <c r="AE46" i="4" s="1"/>
  <c r="AE97" i="4" s="1"/>
  <c r="AF49" i="4"/>
  <c r="AE107" i="4"/>
  <c r="AE57" i="4"/>
  <c r="AF29" i="4"/>
  <c r="AF59" i="4"/>
  <c r="AE67" i="4"/>
  <c r="AE117" i="4"/>
  <c r="AE159" i="4"/>
  <c r="AE157" i="4"/>
  <c r="AE158" i="4" s="1"/>
  <c r="AF38" i="4" l="1"/>
  <c r="AF41" i="4" s="1"/>
  <c r="AF42" i="4" s="1"/>
  <c r="AE186" i="4"/>
  <c r="AE160" i="4"/>
  <c r="AF62" i="4"/>
  <c r="AF63" i="4" s="1"/>
  <c r="AF52" i="4"/>
  <c r="AF53" i="4" s="1"/>
  <c r="AF153" i="4" l="1"/>
  <c r="AF172" i="4"/>
  <c r="AE173" i="4"/>
  <c r="AE176" i="4" l="1"/>
  <c r="AE175" i="4"/>
  <c r="AF179" i="4"/>
  <c r="AF180" i="4"/>
  <c r="AF152" i="4"/>
  <c r="AF30" i="4"/>
  <c r="AF31" i="4" s="1"/>
  <c r="AF33" i="4" s="1"/>
  <c r="AF50" i="4"/>
  <c r="AF60" i="4"/>
  <c r="AF39" i="4"/>
  <c r="AF40" i="4" l="1"/>
  <c r="AF43" i="4" s="1"/>
  <c r="AF154" i="4"/>
  <c r="AF155" i="4" s="1"/>
  <c r="AF51" i="4"/>
  <c r="AF54" i="4" s="1"/>
  <c r="AF181" i="4"/>
  <c r="AF182" i="4" s="1"/>
  <c r="AF183" i="4"/>
  <c r="AF184" i="4" s="1"/>
  <c r="AF61" i="4"/>
  <c r="AF64" i="4" s="1"/>
  <c r="AF156" i="4" l="1"/>
  <c r="AF65" i="4"/>
  <c r="AF66" i="4" s="1"/>
  <c r="AF55" i="4"/>
  <c r="AF56" i="4" s="1"/>
  <c r="AF44" i="4"/>
  <c r="AG27" i="4" l="1"/>
  <c r="AG59" i="4"/>
  <c r="AF67" i="4"/>
  <c r="AF117" i="4"/>
  <c r="AG29" i="4"/>
  <c r="AG49" i="4"/>
  <c r="AF57" i="4"/>
  <c r="AF107" i="4"/>
  <c r="AF159" i="4"/>
  <c r="AF157" i="4"/>
  <c r="AF158" i="4"/>
  <c r="AF45" i="4"/>
  <c r="AG38" i="4" l="1"/>
  <c r="AG52" i="4" s="1"/>
  <c r="AG53" i="4" s="1"/>
  <c r="AF46" i="4"/>
  <c r="AF97" i="4" s="1"/>
  <c r="AF186" i="4"/>
  <c r="AF160" i="4"/>
  <c r="AF173" i="4" s="1"/>
  <c r="AG62" i="4"/>
  <c r="AG63" i="4" s="1"/>
  <c r="AG72" i="4" l="1"/>
  <c r="AG73" i="4" s="1"/>
  <c r="AF176" i="4"/>
  <c r="AF175" i="4"/>
  <c r="AG153" i="4"/>
  <c r="AG39" i="4" s="1"/>
  <c r="AG172" i="4"/>
  <c r="AG41" i="4"/>
  <c r="AG42" i="4" s="1"/>
  <c r="AG152" i="4" l="1"/>
  <c r="AG60" i="4"/>
  <c r="AG50" i="4"/>
  <c r="AG30" i="4"/>
  <c r="AG31" i="4" s="1"/>
  <c r="AG33" i="4" s="1"/>
  <c r="AG179" i="4"/>
  <c r="AG180" i="4"/>
  <c r="AG70" i="4"/>
  <c r="AG181" i="4" l="1"/>
  <c r="AG182" i="4" s="1"/>
  <c r="AG183" i="4"/>
  <c r="AG184" i="4" s="1"/>
  <c r="AG154" i="4"/>
  <c r="AG155" i="4" s="1"/>
  <c r="AG51" i="4"/>
  <c r="AG54" i="4" s="1"/>
  <c r="AG71" i="4"/>
  <c r="AG74" i="4" s="1"/>
  <c r="AG61" i="4"/>
  <c r="AG64" i="4" s="1"/>
  <c r="AG40" i="4"/>
  <c r="AG43" i="4" s="1"/>
  <c r="AG65" i="4" l="1"/>
  <c r="AG66" i="4" s="1"/>
  <c r="AG55" i="4"/>
  <c r="AG127" i="4" s="1"/>
  <c r="AG75" i="4"/>
  <c r="AG76" i="4" s="1"/>
  <c r="AG44" i="4"/>
  <c r="AG156" i="4"/>
  <c r="AH27" i="4" l="1"/>
  <c r="AH29" i="4" s="1"/>
  <c r="AH59" i="4"/>
  <c r="AG67" i="4"/>
  <c r="AH69" i="4"/>
  <c r="AG77" i="4"/>
  <c r="AG159" i="4"/>
  <c r="AG157" i="4"/>
  <c r="AG158" i="4" s="1"/>
  <c r="AG45" i="4"/>
  <c r="AG56" i="4"/>
  <c r="AG186" i="4" l="1"/>
  <c r="AG160" i="4"/>
  <c r="AG173" i="4" s="1"/>
  <c r="AH49" i="4"/>
  <c r="AG57" i="4"/>
  <c r="AH38" i="4"/>
  <c r="AG117" i="4"/>
  <c r="AG46" i="4"/>
  <c r="AH72" i="4" l="1"/>
  <c r="AH73" i="4" s="1"/>
  <c r="AH41" i="4"/>
  <c r="AH42" i="4" s="1"/>
  <c r="AH62" i="4"/>
  <c r="AH63" i="4" s="1"/>
  <c r="AH52" i="4"/>
  <c r="AH53" i="4" s="1"/>
  <c r="AH153" i="4"/>
  <c r="AH70" i="4" s="1"/>
  <c r="AH172" i="4"/>
  <c r="AH82" i="4"/>
  <c r="AH83" i="4" s="1"/>
  <c r="AG175" i="4"/>
  <c r="AG176" i="4"/>
  <c r="AH152" i="4" l="1"/>
  <c r="AH131" i="4"/>
  <c r="AH80" i="4"/>
  <c r="AH50" i="4"/>
  <c r="AH60" i="4"/>
  <c r="AH162" i="4"/>
  <c r="AH39" i="4"/>
  <c r="AH179" i="4"/>
  <c r="AH180" i="4"/>
  <c r="AH30" i="4"/>
  <c r="AH31" i="4" s="1"/>
  <c r="AH33" i="4" s="1"/>
  <c r="AH51" i="4" l="1"/>
  <c r="AH54" i="4" s="1"/>
  <c r="AH71" i="4"/>
  <c r="AH74" i="4" s="1"/>
  <c r="AH132" i="4"/>
  <c r="AH135" i="4" s="1"/>
  <c r="AH40" i="4"/>
  <c r="AH43" i="4" s="1"/>
  <c r="AH61" i="4"/>
  <c r="AH64" i="4" s="1"/>
  <c r="AH154" i="4"/>
  <c r="AH155" i="4" s="1"/>
  <c r="AH81" i="4"/>
  <c r="AH84" i="4" s="1"/>
  <c r="AH164" i="4"/>
  <c r="AH165" i="4" s="1"/>
  <c r="AH117" i="4"/>
  <c r="AH181" i="4"/>
  <c r="AH182" i="4" s="1"/>
  <c r="AH183" i="4"/>
  <c r="AH184" i="4" s="1"/>
  <c r="AH85" i="4" l="1"/>
  <c r="AH86" i="4" s="1"/>
  <c r="AH136" i="4"/>
  <c r="AH137" i="4" s="1"/>
  <c r="AH166" i="4"/>
  <c r="AH156" i="4"/>
  <c r="AH75" i="4"/>
  <c r="AH76" i="4" s="1"/>
  <c r="AH44" i="4"/>
  <c r="AH45" i="4" s="1"/>
  <c r="AH127" i="4"/>
  <c r="AH65" i="4"/>
  <c r="AH66" i="4" s="1"/>
  <c r="AH55" i="4"/>
  <c r="AH56" i="4" s="1"/>
  <c r="AI130" i="4" l="1"/>
  <c r="AH138" i="4"/>
  <c r="AI59" i="4"/>
  <c r="AH67" i="4"/>
  <c r="AI79" i="4"/>
  <c r="AH87" i="4"/>
  <c r="AH159" i="4"/>
  <c r="AH157" i="4"/>
  <c r="AH158" i="4" s="1"/>
  <c r="AI69" i="4"/>
  <c r="AH77" i="4"/>
  <c r="AH169" i="4"/>
  <c r="AH170" i="4" s="1"/>
  <c r="AH167" i="4"/>
  <c r="AH168" i="4" s="1"/>
  <c r="AI38" i="4"/>
  <c r="AH46" i="4"/>
  <c r="AI49" i="4"/>
  <c r="AH57" i="4"/>
  <c r="AI27" i="4"/>
  <c r="AH186" i="4" l="1"/>
  <c r="AH160" i="4"/>
  <c r="AI62" i="4"/>
  <c r="AI63" i="4" s="1"/>
  <c r="AI92" i="4"/>
  <c r="AI93" i="4" s="1"/>
  <c r="AI29" i="4"/>
  <c r="AI41" i="4"/>
  <c r="AI42" i="4" s="1"/>
  <c r="AI72" i="4"/>
  <c r="AI73" i="4" s="1"/>
  <c r="AI52" i="4"/>
  <c r="AI53" i="4" s="1"/>
  <c r="AI82" i="4"/>
  <c r="AI83" i="4" s="1"/>
  <c r="AI153" i="4" l="1"/>
  <c r="AI172" i="4"/>
  <c r="AI180" i="4" s="1"/>
  <c r="AH173" i="4"/>
  <c r="AI179" i="4" l="1"/>
  <c r="AI181" i="4"/>
  <c r="AI182" i="4" s="1"/>
  <c r="AI152" i="4"/>
  <c r="AI60" i="4"/>
  <c r="AI90" i="4"/>
  <c r="AI162" i="4"/>
  <c r="AI50" i="4"/>
  <c r="AI80" i="4"/>
  <c r="AI30" i="4"/>
  <c r="AI31" i="4" s="1"/>
  <c r="AI33" i="4" s="1"/>
  <c r="AI70" i="4"/>
  <c r="AI39" i="4"/>
  <c r="AI131" i="4"/>
  <c r="AI183" i="4"/>
  <c r="AI184" i="4" s="1"/>
  <c r="AH175" i="4"/>
  <c r="AH176" i="4"/>
  <c r="AI61" i="4" l="1"/>
  <c r="AI64" i="4" s="1"/>
  <c r="AI81" i="4"/>
  <c r="AI84" i="4" s="1"/>
  <c r="AI132" i="4"/>
  <c r="AI135" i="4" s="1"/>
  <c r="AI71" i="4"/>
  <c r="AI74" i="4" s="1"/>
  <c r="AI40" i="4"/>
  <c r="AI43" i="4" s="1"/>
  <c r="AI154" i="4"/>
  <c r="AI155" i="4" s="1"/>
  <c r="AI51" i="4"/>
  <c r="AI54" i="4" s="1"/>
  <c r="AI91" i="4"/>
  <c r="AI94" i="4" s="1"/>
  <c r="AI164" i="4"/>
  <c r="AI165" i="4" s="1"/>
  <c r="AI127" i="4"/>
  <c r="AI55" i="4" l="1"/>
  <c r="AI56" i="4" s="1"/>
  <c r="AI156" i="4"/>
  <c r="AI85" i="4"/>
  <c r="AI86" i="4" s="1"/>
  <c r="AI136" i="4"/>
  <c r="AI137" i="4" s="1"/>
  <c r="AI166" i="4"/>
  <c r="AI65" i="4"/>
  <c r="AI66" i="4" s="1"/>
  <c r="AI44" i="4"/>
  <c r="AI45" i="4" s="1"/>
  <c r="AI95" i="4"/>
  <c r="AI96" i="4" s="1"/>
  <c r="AI75" i="4"/>
  <c r="AI76" i="4" s="1"/>
  <c r="AJ130" i="4" l="1"/>
  <c r="AI138" i="4"/>
  <c r="AJ59" i="4"/>
  <c r="AI67" i="4"/>
  <c r="AI159" i="4"/>
  <c r="AI157" i="4"/>
  <c r="AI158" i="4" s="1"/>
  <c r="AJ89" i="4"/>
  <c r="AI97" i="4"/>
  <c r="AJ38" i="4"/>
  <c r="AI46" i="4"/>
  <c r="AI87" i="4"/>
  <c r="AJ79" i="4"/>
  <c r="AJ49" i="4"/>
  <c r="AI57" i="4"/>
  <c r="AJ69" i="4"/>
  <c r="AI77" i="4"/>
  <c r="AJ27" i="4"/>
  <c r="AI169" i="4"/>
  <c r="AI170" i="4" s="1"/>
  <c r="AI167" i="4"/>
  <c r="AI168" i="4" s="1"/>
  <c r="AJ92" i="4" l="1"/>
  <c r="AJ93" i="4" s="1"/>
  <c r="AJ52" i="4"/>
  <c r="AJ53" i="4" s="1"/>
  <c r="AJ62" i="4"/>
  <c r="AJ63" i="4" s="1"/>
  <c r="AJ29" i="4"/>
  <c r="AJ82" i="4"/>
  <c r="AJ83" i="4" s="1"/>
  <c r="AJ41" i="4"/>
  <c r="AJ42" i="4" s="1"/>
  <c r="AJ72" i="4"/>
  <c r="AJ73" i="4" s="1"/>
  <c r="AI186" i="4"/>
  <c r="AI160" i="4"/>
  <c r="AJ153" i="4" l="1"/>
  <c r="AJ172" i="4"/>
  <c r="AJ179" i="4" s="1"/>
  <c r="AI173" i="4"/>
  <c r="AJ180" i="4" l="1"/>
  <c r="AJ181" i="4" s="1"/>
  <c r="AJ182" i="4" s="1"/>
  <c r="AJ183" i="4"/>
  <c r="AJ184" i="4" s="1"/>
  <c r="AI176" i="4"/>
  <c r="AI175" i="4"/>
  <c r="AJ152" i="4"/>
  <c r="AJ70" i="4"/>
  <c r="AJ80" i="4"/>
  <c r="AJ50" i="4"/>
  <c r="AJ131" i="4"/>
  <c r="AJ90" i="4"/>
  <c r="AJ60" i="4"/>
  <c r="AJ30" i="4"/>
  <c r="AJ31" i="4" s="1"/>
  <c r="AJ33" i="4" s="1"/>
  <c r="AJ162" i="4"/>
  <c r="AJ39" i="4"/>
  <c r="AJ51" i="4" l="1"/>
  <c r="AJ54" i="4" s="1"/>
  <c r="AJ71" i="4"/>
  <c r="AJ74" i="4" s="1"/>
  <c r="AJ91" i="4"/>
  <c r="AJ94" i="4" s="1"/>
  <c r="AJ154" i="4"/>
  <c r="AJ155" i="4" s="1"/>
  <c r="AJ40" i="4"/>
  <c r="AJ43" i="4" s="1"/>
  <c r="AJ61" i="4"/>
  <c r="AJ64" i="4" s="1"/>
  <c r="AJ132" i="4"/>
  <c r="AJ135" i="4" s="1"/>
  <c r="AJ81" i="4"/>
  <c r="AJ84" i="4" s="1"/>
  <c r="AJ164" i="4"/>
  <c r="AJ165" i="4" s="1"/>
  <c r="AJ127" i="4"/>
  <c r="AJ136" i="4" l="1"/>
  <c r="AJ137" i="4" s="1"/>
  <c r="AJ65" i="4"/>
  <c r="AJ66" i="4" s="1"/>
  <c r="AJ75" i="4"/>
  <c r="AJ76" i="4" s="1"/>
  <c r="AJ55" i="4"/>
  <c r="AJ56" i="4" s="1"/>
  <c r="AJ95" i="4"/>
  <c r="AJ96" i="4" s="1"/>
  <c r="AJ166" i="4"/>
  <c r="AJ44" i="4"/>
  <c r="AJ85" i="4"/>
  <c r="AJ86" i="4" s="1"/>
  <c r="AJ156" i="4"/>
  <c r="AK79" i="4" l="1"/>
  <c r="AJ87" i="4"/>
  <c r="AK59" i="4"/>
  <c r="AJ67" i="4"/>
  <c r="AK49" i="4"/>
  <c r="AJ57" i="4"/>
  <c r="AJ167" i="4"/>
  <c r="AJ168" i="4" s="1"/>
  <c r="AJ169" i="4"/>
  <c r="AJ170" i="4" s="1"/>
  <c r="AK27" i="4"/>
  <c r="AK69" i="4"/>
  <c r="AJ77" i="4"/>
  <c r="AK130" i="4"/>
  <c r="AJ138" i="4"/>
  <c r="AJ157" i="4"/>
  <c r="AJ158" i="4" s="1"/>
  <c r="AJ159" i="4"/>
  <c r="AK89" i="4"/>
  <c r="AJ97" i="4"/>
  <c r="AJ45" i="4"/>
  <c r="AK38" i="4" l="1"/>
  <c r="AK62" i="4" s="1"/>
  <c r="AK63" i="4" s="1"/>
  <c r="AJ46" i="4"/>
  <c r="AK29" i="4"/>
  <c r="AJ186" i="4"/>
  <c r="AJ160" i="4"/>
  <c r="AK52" i="4"/>
  <c r="AK53" i="4" s="1"/>
  <c r="AK72" i="4" l="1"/>
  <c r="AK73" i="4" s="1"/>
  <c r="AK82" i="4"/>
  <c r="AK83" i="4" s="1"/>
  <c r="AK92" i="4"/>
  <c r="AK93" i="4" s="1"/>
  <c r="AK153" i="4"/>
  <c r="AK30" i="4" s="1"/>
  <c r="AK31" i="4" s="1"/>
  <c r="AK33" i="4" s="1"/>
  <c r="AK172" i="4"/>
  <c r="AK179" i="4" s="1"/>
  <c r="AJ173" i="4"/>
  <c r="AK41" i="4"/>
  <c r="AK42" i="4" s="1"/>
  <c r="AK162" i="4"/>
  <c r="AK180" i="4" l="1"/>
  <c r="AK39" i="4"/>
  <c r="AK40" i="4" s="1"/>
  <c r="AK43" i="4" s="1"/>
  <c r="AK127" i="4"/>
  <c r="AK164" i="4"/>
  <c r="AK165" i="4" s="1"/>
  <c r="AK183" i="4"/>
  <c r="AK184" i="4" s="1"/>
  <c r="AK181" i="4"/>
  <c r="AK182" i="4" s="1"/>
  <c r="AJ175" i="4"/>
  <c r="AJ176" i="4"/>
  <c r="AK152" i="4"/>
  <c r="AK154" i="4" s="1"/>
  <c r="AK155" i="4" s="1"/>
  <c r="AK70" i="4"/>
  <c r="AK71" i="4" s="1"/>
  <c r="AK74" i="4" s="1"/>
  <c r="AK131" i="4"/>
  <c r="AK132" i="4" s="1"/>
  <c r="AK135" i="4" s="1"/>
  <c r="AK50" i="4"/>
  <c r="AK51" i="4" s="1"/>
  <c r="AK54" i="4" s="1"/>
  <c r="AK60" i="4"/>
  <c r="AK61" i="4" s="1"/>
  <c r="AK64" i="4" s="1"/>
  <c r="AK80" i="4"/>
  <c r="AK81" i="4" s="1"/>
  <c r="AK84" i="4" s="1"/>
  <c r="AK90" i="4"/>
  <c r="AK91" i="4" s="1"/>
  <c r="AK94" i="4" s="1"/>
  <c r="AK156" i="4" l="1"/>
  <c r="AK55" i="4"/>
  <c r="AK56" i="4" s="1"/>
  <c r="AS57" i="4"/>
  <c r="AK95" i="4"/>
  <c r="AK96" i="4" s="1"/>
  <c r="AS97" i="4"/>
  <c r="AK136" i="4"/>
  <c r="AK137" i="4" s="1"/>
  <c r="AK65" i="4"/>
  <c r="AK66" i="4" s="1"/>
  <c r="AS67" i="4"/>
  <c r="AK85" i="4"/>
  <c r="AK86" i="4" s="1"/>
  <c r="AK75" i="4"/>
  <c r="AK76" i="4" s="1"/>
  <c r="AK44" i="4"/>
  <c r="AK45" i="4" s="1"/>
  <c r="AX47" i="4"/>
  <c r="AK166" i="4"/>
  <c r="AL59" i="4" l="1"/>
  <c r="AK67" i="4"/>
  <c r="AL130" i="4"/>
  <c r="AK138" i="4"/>
  <c r="AL69" i="4"/>
  <c r="AK77" i="4"/>
  <c r="AL89" i="4"/>
  <c r="AK97" i="4"/>
  <c r="AL49" i="4"/>
  <c r="AK57" i="4"/>
  <c r="AL38" i="4"/>
  <c r="AK46" i="4"/>
  <c r="AK159" i="4"/>
  <c r="AK157" i="4"/>
  <c r="AK158" i="4" s="1"/>
  <c r="AK169" i="4"/>
  <c r="AK170" i="4" s="1"/>
  <c r="AK167" i="4"/>
  <c r="AK168" i="4" s="1"/>
  <c r="AL79" i="4"/>
  <c r="AK87" i="4"/>
  <c r="AL27" i="4"/>
  <c r="AL82" i="4" l="1"/>
  <c r="AL83" i="4" s="1"/>
  <c r="AL41" i="4"/>
  <c r="AL42" i="4" s="1"/>
  <c r="AL92" i="4"/>
  <c r="AL93" i="4" s="1"/>
  <c r="AL29" i="4"/>
  <c r="AK186" i="4"/>
  <c r="AK160" i="4"/>
  <c r="AL52" i="4"/>
  <c r="AL53" i="4" s="1"/>
  <c r="AL72" i="4"/>
  <c r="AL73" i="4" s="1"/>
  <c r="AL62" i="4"/>
  <c r="AL63" i="4" s="1"/>
  <c r="AL153" i="4" l="1"/>
  <c r="AL172" i="4"/>
  <c r="AL180" i="4" s="1"/>
  <c r="AK173" i="4"/>
  <c r="AL179" i="4" l="1"/>
  <c r="AL183" i="4" s="1"/>
  <c r="AK175" i="4"/>
  <c r="AK176" i="4"/>
  <c r="AL152" i="4"/>
  <c r="AL80" i="4"/>
  <c r="AL39" i="4"/>
  <c r="AL131" i="4"/>
  <c r="AL70" i="4"/>
  <c r="AL60" i="4"/>
  <c r="AL90" i="4"/>
  <c r="AL162" i="4"/>
  <c r="AL50" i="4"/>
  <c r="AL30" i="4"/>
  <c r="AL31" i="4" s="1"/>
  <c r="AL33" i="4" s="1"/>
  <c r="AL181" i="4"/>
  <c r="AL182" i="4" s="1"/>
  <c r="AL184" i="4" l="1"/>
  <c r="AL51" i="4"/>
  <c r="AL54" i="4" s="1"/>
  <c r="AL71" i="4"/>
  <c r="AL74" i="4" s="1"/>
  <c r="AL91" i="4"/>
  <c r="AL94" i="4" s="1"/>
  <c r="AL154" i="4"/>
  <c r="AL155" i="4" s="1"/>
  <c r="AL40" i="4"/>
  <c r="AL43" i="4" s="1"/>
  <c r="AL81" i="4"/>
  <c r="AL84" i="4" s="1"/>
  <c r="AL132" i="4"/>
  <c r="AL135" i="4" s="1"/>
  <c r="AL61" i="4"/>
  <c r="AL64" i="4" s="1"/>
  <c r="AL127" i="4"/>
  <c r="AL164" i="4"/>
  <c r="AL165" i="4" s="1"/>
  <c r="AL95" i="4" l="1"/>
  <c r="AL96" i="4" s="1"/>
  <c r="AT97" i="4"/>
  <c r="AL75" i="4"/>
  <c r="AL76" i="4" s="1"/>
  <c r="AL166" i="4"/>
  <c r="AL44" i="4"/>
  <c r="AL45" i="4" s="1"/>
  <c r="AY47" i="4"/>
  <c r="AL136" i="4"/>
  <c r="AL137" i="4" s="1"/>
  <c r="AL85" i="4"/>
  <c r="AL86" i="4" s="1"/>
  <c r="AL55" i="4"/>
  <c r="AL56" i="4" s="1"/>
  <c r="AT57" i="4"/>
  <c r="AL65" i="4"/>
  <c r="AL66" i="4" s="1"/>
  <c r="AT67" i="4"/>
  <c r="AL156" i="4"/>
  <c r="AM69" i="4" l="1"/>
  <c r="AL77" i="4"/>
  <c r="AM79" i="4"/>
  <c r="AL87" i="4"/>
  <c r="AM130" i="4"/>
  <c r="AL138" i="4"/>
  <c r="AM59" i="4"/>
  <c r="AL67" i="4"/>
  <c r="AM38" i="4"/>
  <c r="AL46" i="4"/>
  <c r="AL167" i="4"/>
  <c r="AL168" i="4" s="1"/>
  <c r="AL169" i="4"/>
  <c r="AL170" i="4" s="1"/>
  <c r="AM182" i="4" s="1"/>
  <c r="AM89" i="4"/>
  <c r="AL97" i="4"/>
  <c r="AL159" i="4"/>
  <c r="AL157" i="4"/>
  <c r="AL158" i="4" s="1"/>
  <c r="AM49" i="4"/>
  <c r="AL57" i="4"/>
  <c r="AM27" i="4"/>
  <c r="AM52" i="4" l="1"/>
  <c r="AM53" i="4" s="1"/>
  <c r="AM92" i="4"/>
  <c r="AM93" i="4" s="1"/>
  <c r="AM62" i="4"/>
  <c r="AM63" i="4" s="1"/>
  <c r="AM82" i="4"/>
  <c r="AM83" i="4" s="1"/>
  <c r="AM29" i="4"/>
  <c r="AL186" i="4"/>
  <c r="AL160" i="4"/>
  <c r="AM41" i="4"/>
  <c r="AM42" i="4" s="1"/>
  <c r="AM102" i="4"/>
  <c r="AM103" i="4" s="1"/>
  <c r="AM72" i="4"/>
  <c r="AM73" i="4" s="1"/>
  <c r="AM153" i="4" l="1"/>
  <c r="AM172" i="4"/>
  <c r="AL173" i="4"/>
  <c r="AL175" i="4" l="1"/>
  <c r="AL176" i="4"/>
  <c r="AM152" i="4"/>
  <c r="AM90" i="4"/>
  <c r="AM162" i="4"/>
  <c r="AM39" i="4"/>
  <c r="AM70" i="4"/>
  <c r="AM50" i="4"/>
  <c r="AM80" i="4"/>
  <c r="AM60" i="4"/>
  <c r="AM30" i="4"/>
  <c r="AM31" i="4" s="1"/>
  <c r="AM33" i="4" s="1"/>
  <c r="AM100" i="4"/>
  <c r="AM131" i="4"/>
  <c r="AM40" i="4" l="1"/>
  <c r="AM43" i="4" s="1"/>
  <c r="AM61" i="4"/>
  <c r="AM64" i="4" s="1"/>
  <c r="AM81" i="4"/>
  <c r="AM84" i="4" s="1"/>
  <c r="AM132" i="4"/>
  <c r="AM135" i="4" s="1"/>
  <c r="AM71" i="4"/>
  <c r="AM74" i="4" s="1"/>
  <c r="AM101" i="4"/>
  <c r="AM104" i="4" s="1"/>
  <c r="AM154" i="4"/>
  <c r="AM155" i="4" s="1"/>
  <c r="AM51" i="4"/>
  <c r="AM54" i="4" s="1"/>
  <c r="AM91" i="4"/>
  <c r="AM94" i="4" s="1"/>
  <c r="AM164" i="4"/>
  <c r="AM165" i="4" s="1"/>
  <c r="AM136" i="4" l="1"/>
  <c r="AM137" i="4" s="1"/>
  <c r="AM85" i="4"/>
  <c r="AM86" i="4" s="1"/>
  <c r="AM55" i="4"/>
  <c r="AM56" i="4" s="1"/>
  <c r="AU57" i="4"/>
  <c r="AM166" i="4"/>
  <c r="AM65" i="4"/>
  <c r="AM66" i="4" s="1"/>
  <c r="AU67" i="4"/>
  <c r="AM156" i="4"/>
  <c r="AU107" i="4"/>
  <c r="AM105" i="4"/>
  <c r="AM106" i="4" s="1"/>
  <c r="AM95" i="4"/>
  <c r="AM96" i="4" s="1"/>
  <c r="AU97" i="4"/>
  <c r="AM75" i="4"/>
  <c r="AM76" i="4" s="1"/>
  <c r="AM44" i="4"/>
  <c r="AZ47" i="4"/>
  <c r="AN27" i="4" l="1"/>
  <c r="AN29" i="4" s="1"/>
  <c r="AN99" i="4"/>
  <c r="AM107" i="4"/>
  <c r="AN59" i="4"/>
  <c r="AM67" i="4"/>
  <c r="AN79" i="4"/>
  <c r="AM87" i="4"/>
  <c r="AM45" i="4"/>
  <c r="AN49" i="4"/>
  <c r="AM57" i="4"/>
  <c r="AN89" i="4"/>
  <c r="AM97" i="4"/>
  <c r="AN69" i="4"/>
  <c r="AM77" i="4"/>
  <c r="AM159" i="4"/>
  <c r="AM160" i="4" s="1"/>
  <c r="AM157" i="4"/>
  <c r="AM158" i="4" s="1"/>
  <c r="AN130" i="4"/>
  <c r="AM138" i="4"/>
  <c r="AM167" i="4"/>
  <c r="AM168" i="4" s="1"/>
  <c r="AM169" i="4"/>
  <c r="AM170" i="4" s="1"/>
  <c r="AN182" i="4" s="1"/>
  <c r="AN38" i="4" l="1"/>
  <c r="AM173" i="4"/>
  <c r="AM46" i="4"/>
  <c r="AM183" i="4"/>
  <c r="AN62" i="4"/>
  <c r="AN63" i="4" s="1"/>
  <c r="AN153" i="4"/>
  <c r="AN172" i="4"/>
  <c r="AN80" i="4" l="1"/>
  <c r="AN70" i="4"/>
  <c r="AN90" i="4"/>
  <c r="AN52" i="4"/>
  <c r="AN53" i="4" s="1"/>
  <c r="AN72" i="4"/>
  <c r="AN73" i="4" s="1"/>
  <c r="AN152" i="4"/>
  <c r="AN100" i="4"/>
  <c r="AN30" i="4"/>
  <c r="AN31" i="4" s="1"/>
  <c r="AN33" i="4" s="1"/>
  <c r="AN39" i="4"/>
  <c r="AN41" i="4"/>
  <c r="AN42" i="4" s="1"/>
  <c r="AN162" i="4"/>
  <c r="AM186" i="4"/>
  <c r="AM185" i="4"/>
  <c r="AN82" i="4"/>
  <c r="AN83" i="4" s="1"/>
  <c r="AN102" i="4"/>
  <c r="AN103" i="4" s="1"/>
  <c r="AN131" i="4"/>
  <c r="AN92" i="4"/>
  <c r="AN93" i="4" s="1"/>
  <c r="AN60" i="4"/>
  <c r="AM175" i="4"/>
  <c r="AM176" i="4"/>
  <c r="AN50" i="4"/>
  <c r="AN51" i="4" l="1"/>
  <c r="AN54" i="4" s="1"/>
  <c r="AN71" i="4"/>
  <c r="AN74" i="4" s="1"/>
  <c r="AN91" i="4"/>
  <c r="AN94" i="4" s="1"/>
  <c r="AN154" i="4"/>
  <c r="AN155" i="4" s="1"/>
  <c r="AN61" i="4"/>
  <c r="AN64" i="4" s="1"/>
  <c r="AN81" i="4"/>
  <c r="AN84" i="4" s="1"/>
  <c r="AN40" i="4"/>
  <c r="AN43" i="4" s="1"/>
  <c r="AN132" i="4"/>
  <c r="AN135" i="4" s="1"/>
  <c r="AN101" i="4"/>
  <c r="AN104" i="4" s="1"/>
  <c r="AN164" i="4"/>
  <c r="AN165" i="4" s="1"/>
  <c r="AM179" i="4"/>
  <c r="AM180" i="4" s="1"/>
  <c r="AM177" i="4"/>
  <c r="AM178" i="4" s="1"/>
  <c r="AN95" i="4" l="1"/>
  <c r="AN96" i="4" s="1"/>
  <c r="AV97" i="4"/>
  <c r="AN85" i="4"/>
  <c r="AN86" i="4" s="1"/>
  <c r="AN75" i="4"/>
  <c r="AN76" i="4" s="1"/>
  <c r="AN44" i="4"/>
  <c r="AN45" i="4" s="1"/>
  <c r="BA47" i="4"/>
  <c r="AN105" i="4"/>
  <c r="AN106" i="4" s="1"/>
  <c r="AV107" i="4"/>
  <c r="AN55" i="4"/>
  <c r="AN56" i="4" s="1"/>
  <c r="AV57" i="4"/>
  <c r="AN166" i="4"/>
  <c r="AV67" i="4"/>
  <c r="AN65" i="4"/>
  <c r="AN66" i="4" s="1"/>
  <c r="AN136" i="4"/>
  <c r="AN137" i="4" s="1"/>
  <c r="AN156" i="4"/>
  <c r="AO99" i="4" l="1"/>
  <c r="AN107" i="4"/>
  <c r="AN138" i="4"/>
  <c r="AO130" i="4"/>
  <c r="AO59" i="4"/>
  <c r="AN67" i="4"/>
  <c r="AO49" i="4"/>
  <c r="AN57" i="4"/>
  <c r="AN159" i="4"/>
  <c r="AN160" i="4" s="1"/>
  <c r="AN173" i="4" s="1"/>
  <c r="AN157" i="4"/>
  <c r="AN158" i="4" s="1"/>
  <c r="AO38" i="4"/>
  <c r="AN46" i="4"/>
  <c r="AO79" i="4"/>
  <c r="AN87" i="4"/>
  <c r="AO27" i="4"/>
  <c r="AO89" i="4"/>
  <c r="AN97" i="4"/>
  <c r="AO69" i="4"/>
  <c r="AN77" i="4"/>
  <c r="AN169" i="4"/>
  <c r="AN170" i="4" s="1"/>
  <c r="AN167" i="4"/>
  <c r="AN168" i="4" s="1"/>
  <c r="AN183" i="4" l="1"/>
  <c r="AN185" i="4" s="1"/>
  <c r="AO52" i="4"/>
  <c r="AO53" i="4" s="1"/>
  <c r="AO82" i="4"/>
  <c r="AO83" i="4" s="1"/>
  <c r="AN175" i="4"/>
  <c r="AN176" i="4"/>
  <c r="AO41" i="4"/>
  <c r="AO42" i="4" s="1"/>
  <c r="AO92" i="4"/>
  <c r="AO93" i="4" s="1"/>
  <c r="AO29" i="4"/>
  <c r="AO72" i="4"/>
  <c r="AO73" i="4" s="1"/>
  <c r="AO153" i="4"/>
  <c r="AO39" i="4" s="1"/>
  <c r="AO172" i="4"/>
  <c r="AO62" i="4"/>
  <c r="AO63" i="4" s="1"/>
  <c r="AO102" i="4"/>
  <c r="AO103" i="4" s="1"/>
  <c r="AO100" i="4" l="1"/>
  <c r="AO60" i="4"/>
  <c r="AN186" i="4"/>
  <c r="AO30" i="4"/>
  <c r="AO31" i="4" s="1"/>
  <c r="AO33" i="4" s="1"/>
  <c r="AO131" i="4"/>
  <c r="AO70" i="4"/>
  <c r="AO162" i="4"/>
  <c r="AO80" i="4"/>
  <c r="AO50" i="4"/>
  <c r="AO179" i="4"/>
  <c r="AO180" i="4"/>
  <c r="AO90" i="4"/>
  <c r="AN179" i="4"/>
  <c r="AN180" i="4" s="1"/>
  <c r="AN177" i="4"/>
  <c r="AN178" i="4" s="1"/>
  <c r="AO152" i="4"/>
  <c r="AO61" i="4" l="1"/>
  <c r="AO64" i="4" s="1"/>
  <c r="AO81" i="4"/>
  <c r="AO84" i="4" s="1"/>
  <c r="AO132" i="4"/>
  <c r="AO135" i="4" s="1"/>
  <c r="AO101" i="4"/>
  <c r="AO104" i="4" s="1"/>
  <c r="AO40" i="4"/>
  <c r="AO43" i="4" s="1"/>
  <c r="AO71" i="4"/>
  <c r="AO74" i="4" s="1"/>
  <c r="AO154" i="4"/>
  <c r="AO155" i="4" s="1"/>
  <c r="AO51" i="4"/>
  <c r="AO54" i="4" s="1"/>
  <c r="AO164" i="4"/>
  <c r="AO165" i="4" s="1"/>
  <c r="AO91" i="4"/>
  <c r="AO94" i="4" s="1"/>
  <c r="AO181" i="4"/>
  <c r="AO182" i="4" s="1"/>
  <c r="AO183" i="4"/>
  <c r="AO184" i="4" s="1"/>
  <c r="AO55" i="4" l="1"/>
  <c r="AO56" i="4" s="1"/>
  <c r="AW57" i="4"/>
  <c r="AO156" i="4"/>
  <c r="AO136" i="4"/>
  <c r="AO137" i="4" s="1"/>
  <c r="AO105" i="4"/>
  <c r="AO106" i="4" s="1"/>
  <c r="AW107" i="4"/>
  <c r="AO95" i="4"/>
  <c r="AO96" i="4" s="1"/>
  <c r="AW97" i="4"/>
  <c r="AO85" i="4"/>
  <c r="AO86" i="4" s="1"/>
  <c r="AO75" i="4"/>
  <c r="AO76" i="4" s="1"/>
  <c r="AO166" i="4"/>
  <c r="AO44" i="4"/>
  <c r="AO45" i="4" s="1"/>
  <c r="BB47" i="4"/>
  <c r="AO65" i="4"/>
  <c r="AO66" i="4" s="1"/>
  <c r="AW67" i="4"/>
  <c r="AP27" i="4" l="1"/>
  <c r="AP29" i="4" s="1"/>
  <c r="AP69" i="4"/>
  <c r="AO77" i="4"/>
  <c r="AP130" i="4"/>
  <c r="AO138" i="4"/>
  <c r="AP99" i="4"/>
  <c r="AO107" i="4"/>
  <c r="AO57" i="4"/>
  <c r="AP49" i="4"/>
  <c r="AP38" i="4"/>
  <c r="AO46" i="4"/>
  <c r="AP89" i="4"/>
  <c r="AO97" i="4"/>
  <c r="AO169" i="4"/>
  <c r="AO170" i="4" s="1"/>
  <c r="AO167" i="4"/>
  <c r="AO168" i="4" s="1"/>
  <c r="AO159" i="4"/>
  <c r="AO160" i="4" s="1"/>
  <c r="AO157" i="4"/>
  <c r="AO158" i="4" s="1"/>
  <c r="AP59" i="4"/>
  <c r="AO67" i="4"/>
  <c r="AO87" i="4"/>
  <c r="AP79" i="4"/>
  <c r="AP92" i="4" l="1"/>
  <c r="AP93" i="4" s="1"/>
  <c r="AP153" i="4"/>
  <c r="AP60" i="4" s="1"/>
  <c r="AP172" i="4"/>
  <c r="AP180" i="4" s="1"/>
  <c r="AO173" i="4"/>
  <c r="AP62" i="4"/>
  <c r="AP63" i="4" s="1"/>
  <c r="AP52" i="4"/>
  <c r="AP53" i="4" s="1"/>
  <c r="AP82" i="4"/>
  <c r="AP83" i="4" s="1"/>
  <c r="AP110" i="4"/>
  <c r="AP41" i="4"/>
  <c r="AP42" i="4" s="1"/>
  <c r="AP112" i="4"/>
  <c r="AP113" i="4" s="1"/>
  <c r="AP102" i="4"/>
  <c r="AP103" i="4" s="1"/>
  <c r="AP72" i="4"/>
  <c r="AP73" i="4" s="1"/>
  <c r="AP70" i="4" l="1"/>
  <c r="AP179" i="4"/>
  <c r="AP183" i="4" s="1"/>
  <c r="AP184" i="4" s="1"/>
  <c r="AP152" i="4"/>
  <c r="AP90" i="4"/>
  <c r="AP181" i="4"/>
  <c r="AP182" i="4" s="1"/>
  <c r="AP162" i="4"/>
  <c r="AP80" i="4"/>
  <c r="AP131" i="4"/>
  <c r="AP100" i="4"/>
  <c r="AP39" i="4"/>
  <c r="AP30" i="4"/>
  <c r="AP31" i="4" s="1"/>
  <c r="AP33" i="4" s="1"/>
  <c r="AP50" i="4"/>
  <c r="AO175" i="4"/>
  <c r="AO176" i="4"/>
  <c r="AP51" i="4" l="1"/>
  <c r="AP54" i="4" s="1"/>
  <c r="AP71" i="4"/>
  <c r="AP74" i="4" s="1"/>
  <c r="AP91" i="4"/>
  <c r="AP94" i="4" s="1"/>
  <c r="AP132" i="4"/>
  <c r="AP135" i="4" s="1"/>
  <c r="AP40" i="4"/>
  <c r="AP43" i="4" s="1"/>
  <c r="AP81" i="4"/>
  <c r="AP84" i="4" s="1"/>
  <c r="AP154" i="4"/>
  <c r="AP155" i="4" s="1"/>
  <c r="AP61" i="4"/>
  <c r="AP64" i="4" s="1"/>
  <c r="AP101" i="4"/>
  <c r="AP104" i="4" s="1"/>
  <c r="AP111" i="4"/>
  <c r="AP114" i="4" s="1"/>
  <c r="AP164" i="4"/>
  <c r="AP165" i="4" s="1"/>
  <c r="AP85" i="4" l="1"/>
  <c r="AP86" i="4" s="1"/>
  <c r="AP156" i="4"/>
  <c r="AP95" i="4"/>
  <c r="AP96" i="4" s="1"/>
  <c r="AP75" i="4"/>
  <c r="AP76" i="4" s="1"/>
  <c r="AP44" i="4"/>
  <c r="BC47" i="4"/>
  <c r="AP55" i="4"/>
  <c r="AP56" i="4" s="1"/>
  <c r="AP166" i="4"/>
  <c r="AP115" i="4"/>
  <c r="AP116" i="4" s="1"/>
  <c r="AX117" i="4"/>
  <c r="AP105" i="4"/>
  <c r="AP106" i="4" s="1"/>
  <c r="AX107" i="4"/>
  <c r="AP65" i="4"/>
  <c r="AP66" i="4" s="1"/>
  <c r="AX67" i="4"/>
  <c r="AP136" i="4"/>
  <c r="AP137" i="4" s="1"/>
  <c r="AQ27" i="4" l="1"/>
  <c r="AQ99" i="4"/>
  <c r="AP107" i="4"/>
  <c r="AP67" i="4"/>
  <c r="AQ59" i="4"/>
  <c r="AQ130" i="4"/>
  <c r="AP138" i="4"/>
  <c r="AQ49" i="4"/>
  <c r="AP57" i="4"/>
  <c r="AQ69" i="4"/>
  <c r="AP77" i="4"/>
  <c r="AQ89" i="4"/>
  <c r="AP97" i="4"/>
  <c r="AQ79" i="4"/>
  <c r="AP87" i="4"/>
  <c r="AQ109" i="4"/>
  <c r="AP117" i="4"/>
  <c r="AQ29" i="4"/>
  <c r="AP169" i="4"/>
  <c r="AP170" i="4" s="1"/>
  <c r="AP167" i="4"/>
  <c r="AP168" i="4" s="1"/>
  <c r="AP45" i="4"/>
  <c r="AP159" i="4"/>
  <c r="AP160" i="4" s="1"/>
  <c r="AP157" i="4"/>
  <c r="AP158" i="4" s="1"/>
  <c r="AQ153" i="4" l="1"/>
  <c r="AQ172" i="4"/>
  <c r="AQ180" i="4" s="1"/>
  <c r="AQ30" i="4"/>
  <c r="AQ31" i="4" s="1"/>
  <c r="AQ33" i="4" s="1"/>
  <c r="AQ38" i="4"/>
  <c r="AP173" i="4"/>
  <c r="AP46" i="4"/>
  <c r="AQ60" i="4" l="1"/>
  <c r="AQ179" i="4"/>
  <c r="AQ183" i="4" s="1"/>
  <c r="AQ184" i="4" s="1"/>
  <c r="AQ72" i="4"/>
  <c r="AQ73" i="4" s="1"/>
  <c r="AQ52" i="4"/>
  <c r="AQ53" i="4" s="1"/>
  <c r="AQ112" i="4"/>
  <c r="AQ113" i="4" s="1"/>
  <c r="AQ82" i="4"/>
  <c r="AQ83" i="4" s="1"/>
  <c r="AQ90" i="4"/>
  <c r="AQ91" i="4" s="1"/>
  <c r="AQ61" i="4"/>
  <c r="AQ181" i="4"/>
  <c r="AQ182" i="4" s="1"/>
  <c r="AQ50" i="4"/>
  <c r="AQ51" i="4" s="1"/>
  <c r="AQ41" i="4"/>
  <c r="AQ42" i="4" s="1"/>
  <c r="AQ122" i="4"/>
  <c r="AQ123" i="4" s="1"/>
  <c r="AQ120" i="4"/>
  <c r="AQ121" i="4" s="1"/>
  <c r="AQ39" i="4"/>
  <c r="AQ40" i="4" s="1"/>
  <c r="AQ162" i="4"/>
  <c r="AQ164" i="4" s="1"/>
  <c r="AQ165" i="4" s="1"/>
  <c r="AQ100" i="4"/>
  <c r="AQ101" i="4" s="1"/>
  <c r="AQ131" i="4"/>
  <c r="AQ132" i="4" s="1"/>
  <c r="AQ135" i="4" s="1"/>
  <c r="AQ70" i="4"/>
  <c r="AQ71" i="4" s="1"/>
  <c r="AQ102" i="4"/>
  <c r="AQ103" i="4" s="1"/>
  <c r="AQ80" i="4"/>
  <c r="AQ81" i="4" s="1"/>
  <c r="AP175" i="4"/>
  <c r="AP176" i="4"/>
  <c r="AQ152" i="4"/>
  <c r="AQ154" i="4" s="1"/>
  <c r="AQ155" i="4" s="1"/>
  <c r="AQ92" i="4"/>
  <c r="AQ93" i="4" s="1"/>
  <c r="AQ110" i="4"/>
  <c r="AQ111" i="4" s="1"/>
  <c r="AQ62" i="4"/>
  <c r="AQ63" i="4" s="1"/>
  <c r="AQ74" i="4" l="1"/>
  <c r="AQ75" i="4" s="1"/>
  <c r="AQ76" i="4" s="1"/>
  <c r="AQ54" i="4"/>
  <c r="AQ55" i="4" s="1"/>
  <c r="AQ56" i="4" s="1"/>
  <c r="AQ43" i="4"/>
  <c r="BD47" i="4" s="1"/>
  <c r="AQ114" i="4"/>
  <c r="AQ115" i="4" s="1"/>
  <c r="AQ116" i="4" s="1"/>
  <c r="AQ124" i="4"/>
  <c r="AQ125" i="4" s="1"/>
  <c r="AQ126" i="4" s="1"/>
  <c r="AQ104" i="4"/>
  <c r="AY107" i="4" s="1"/>
  <c r="AQ84" i="4"/>
  <c r="AQ85" i="4" s="1"/>
  <c r="AQ86" i="4" s="1"/>
  <c r="AQ156" i="4"/>
  <c r="AQ166" i="4"/>
  <c r="AQ64" i="4"/>
  <c r="AQ136" i="4"/>
  <c r="AQ137" i="4" s="1"/>
  <c r="AQ94" i="4"/>
  <c r="AQ44" i="4" l="1"/>
  <c r="AQ45" i="4" s="1"/>
  <c r="AQ105" i="4"/>
  <c r="AQ106" i="4" s="1"/>
  <c r="AQ107" i="4" s="1"/>
  <c r="AY117" i="4"/>
  <c r="AY127" i="4"/>
  <c r="AQ127" i="4"/>
  <c r="AR119" i="4"/>
  <c r="AQ87" i="4"/>
  <c r="AR79" i="4"/>
  <c r="AR49" i="4"/>
  <c r="AQ57" i="4"/>
  <c r="AR109" i="4"/>
  <c r="AQ117" i="4"/>
  <c r="AR38" i="4"/>
  <c r="AQ46" i="4"/>
  <c r="AR99" i="4"/>
  <c r="AR130" i="4"/>
  <c r="AQ138" i="4"/>
  <c r="AQ159" i="4"/>
  <c r="AQ157" i="4"/>
  <c r="AQ158" i="4" s="1"/>
  <c r="AQ65" i="4"/>
  <c r="AY67" i="4"/>
  <c r="AQ167" i="4"/>
  <c r="AQ168" i="4" s="1"/>
  <c r="AQ169" i="4"/>
  <c r="AQ170" i="4" s="1"/>
  <c r="AQ95" i="4"/>
  <c r="AQ96" i="4" s="1"/>
  <c r="AR69" i="4"/>
  <c r="AQ77" i="4"/>
  <c r="AR27" i="4" l="1"/>
  <c r="AR29" i="4" s="1"/>
  <c r="AQ66" i="4"/>
  <c r="AR59" i="4" s="1"/>
  <c r="AQ186" i="4"/>
  <c r="AQ188" i="4" s="1"/>
  <c r="AQ160" i="4"/>
  <c r="AR89" i="4"/>
  <c r="AQ97" i="4"/>
  <c r="AQ67" i="4" l="1"/>
  <c r="AR102" i="4"/>
  <c r="AR103" i="4" s="1"/>
  <c r="AR30" i="4"/>
  <c r="AR31" i="4" s="1"/>
  <c r="AR33" i="4" s="1"/>
  <c r="AR52" i="4"/>
  <c r="AR53" i="4" s="1"/>
  <c r="AR122" i="4"/>
  <c r="AR123" i="4" s="1"/>
  <c r="AR41" i="4"/>
  <c r="AR42" i="4" s="1"/>
  <c r="AR72" i="4"/>
  <c r="AR73" i="4" s="1"/>
  <c r="AR112" i="4"/>
  <c r="AR113" i="4" s="1"/>
  <c r="AR62" i="4"/>
  <c r="AR63" i="4" s="1"/>
  <c r="AR82" i="4"/>
  <c r="AR83" i="4" s="1"/>
  <c r="AR92" i="4"/>
  <c r="AR93" i="4" s="1"/>
  <c r="AR153" i="4"/>
  <c r="AR172" i="4"/>
  <c r="AR180" i="4" s="1"/>
  <c r="AQ173" i="4"/>
  <c r="AR181" i="4" l="1"/>
  <c r="AR182" i="4" s="1"/>
  <c r="AR179" i="4"/>
  <c r="AR152" i="4"/>
  <c r="AR154" i="4" s="1"/>
  <c r="AR155" i="4" s="1"/>
  <c r="AR100" i="4"/>
  <c r="AR101" i="4" s="1"/>
  <c r="AR104" i="4" s="1"/>
  <c r="AR120" i="4"/>
  <c r="AR162" i="4"/>
  <c r="AR50" i="4"/>
  <c r="AR51" i="4" s="1"/>
  <c r="AR54" i="4" s="1"/>
  <c r="AR131" i="4"/>
  <c r="AR132" i="4" s="1"/>
  <c r="AR135" i="4" s="1"/>
  <c r="AR80" i="4"/>
  <c r="AR81" i="4" s="1"/>
  <c r="AR84" i="4" s="1"/>
  <c r="AR70" i="4"/>
  <c r="AR71" i="4" s="1"/>
  <c r="AR74" i="4" s="1"/>
  <c r="AR110" i="4"/>
  <c r="AR111" i="4" s="1"/>
  <c r="AR114" i="4" s="1"/>
  <c r="AR39" i="4"/>
  <c r="AR40" i="4" s="1"/>
  <c r="AR43" i="4" s="1"/>
  <c r="AR121" i="4"/>
  <c r="AR124" i="4" s="1"/>
  <c r="AR164" i="4"/>
  <c r="AR165" i="4" s="1"/>
  <c r="AR90" i="4"/>
  <c r="AR91" i="4" s="1"/>
  <c r="AR94" i="4" s="1"/>
  <c r="AQ176" i="4"/>
  <c r="AQ175" i="4"/>
  <c r="AR60" i="4"/>
  <c r="AR61" i="4" s="1"/>
  <c r="AR64" i="4" s="1"/>
  <c r="AR65" i="4" l="1"/>
  <c r="AR66" i="4" s="1"/>
  <c r="AR67" i="4" s="1"/>
  <c r="AZ67" i="4"/>
  <c r="AR75" i="4"/>
  <c r="AR76" i="4" s="1"/>
  <c r="AR77" i="4" s="1"/>
  <c r="AR85" i="4"/>
  <c r="AR86" i="4" s="1"/>
  <c r="AR87" i="4" s="1"/>
  <c r="AR156" i="4"/>
  <c r="AR95" i="4"/>
  <c r="AR96" i="4" s="1"/>
  <c r="AR97" i="4" s="1"/>
  <c r="AR44" i="4"/>
  <c r="AR125" i="4"/>
  <c r="AR126" i="4" s="1"/>
  <c r="AR127" i="4" s="1"/>
  <c r="AZ127" i="4"/>
  <c r="AR136" i="4"/>
  <c r="AR137" i="4" s="1"/>
  <c r="AR55" i="4"/>
  <c r="AR56" i="4" s="1"/>
  <c r="AR57" i="4" s="1"/>
  <c r="AR183" i="4"/>
  <c r="AR184" i="4" s="1"/>
  <c r="AR166" i="4"/>
  <c r="AR115" i="4"/>
  <c r="AR116" i="4" s="1"/>
  <c r="AR117" i="4" s="1"/>
  <c r="AZ117" i="4"/>
  <c r="AZ107" i="4"/>
  <c r="AR105" i="4"/>
  <c r="AR106" i="4" s="1"/>
  <c r="AR107" i="4" s="1"/>
  <c r="AS27" i="4" l="1"/>
  <c r="AS29" i="4" s="1"/>
  <c r="AS130" i="4"/>
  <c r="AR138" i="4"/>
  <c r="AR169" i="4"/>
  <c r="AR170" i="4" s="1"/>
  <c r="AR167" i="4"/>
  <c r="AR168" i="4" s="1"/>
  <c r="AR45" i="4"/>
  <c r="AR159" i="4"/>
  <c r="AR160" i="4" s="1"/>
  <c r="AS153" i="4" s="1"/>
  <c r="AR157" i="4"/>
  <c r="AR158" i="4" s="1"/>
  <c r="AS172" i="4" l="1"/>
  <c r="AS180" i="4" s="1"/>
  <c r="AS30" i="4"/>
  <c r="AS31" i="4" s="1"/>
  <c r="AS33" i="4" s="1"/>
  <c r="AS38" i="4"/>
  <c r="AS152" i="4" s="1"/>
  <c r="AR46" i="4"/>
  <c r="AR173" i="4"/>
  <c r="AS179" i="4"/>
  <c r="AS131" i="4" l="1"/>
  <c r="AS132" i="4" s="1"/>
  <c r="AS135" i="4" s="1"/>
  <c r="AS154" i="4"/>
  <c r="AS155" i="4" s="1"/>
  <c r="AS77" i="4"/>
  <c r="AR176" i="4"/>
  <c r="AR175" i="4"/>
  <c r="AS183" i="4"/>
  <c r="AS184" i="4" s="1"/>
  <c r="AS181" i="4"/>
  <c r="AS182" i="4" s="1"/>
  <c r="AS39" i="4"/>
  <c r="AS40" i="4" s="1"/>
  <c r="AS43" i="4" s="1"/>
  <c r="AS162" i="4"/>
  <c r="AS164" i="4" s="1"/>
  <c r="AS165" i="4" s="1"/>
  <c r="AS44" i="4" l="1"/>
  <c r="AS45" i="4" s="1"/>
  <c r="AS166" i="4"/>
  <c r="AS156" i="4"/>
  <c r="AS136" i="4"/>
  <c r="AS137" i="4" s="1"/>
  <c r="AT130" i="4" l="1"/>
  <c r="AS138" i="4"/>
  <c r="AS169" i="4"/>
  <c r="AS170" i="4" s="1"/>
  <c r="AS167" i="4"/>
  <c r="AS168" i="4" s="1"/>
  <c r="AT27" i="4"/>
  <c r="AS159" i="4"/>
  <c r="AS160" i="4" s="1"/>
  <c r="AS157" i="4"/>
  <c r="AS158" i="4" s="1"/>
  <c r="AT38" i="4"/>
  <c r="AS46" i="4"/>
  <c r="AS87" i="4"/>
  <c r="AT153" i="4" l="1"/>
  <c r="AT172" i="4"/>
  <c r="AT30" i="4"/>
  <c r="AT29" i="4"/>
  <c r="AS173" i="4"/>
  <c r="AT152" i="4" l="1"/>
  <c r="AT162" i="4"/>
  <c r="AT39" i="4"/>
  <c r="AT179" i="4"/>
  <c r="AT180" i="4"/>
  <c r="AT31" i="4"/>
  <c r="AT33" i="4" s="1"/>
  <c r="AT131" i="4"/>
  <c r="AS175" i="4"/>
  <c r="AS176" i="4"/>
  <c r="AT40" i="4" l="1"/>
  <c r="AT43" i="4" s="1"/>
  <c r="AT132" i="4"/>
  <c r="AT135" i="4" s="1"/>
  <c r="AT164" i="4"/>
  <c r="AT165" i="4" s="1"/>
  <c r="AT154" i="4"/>
  <c r="AT155" i="4" s="1"/>
  <c r="AT77" i="4"/>
  <c r="AT181" i="4"/>
  <c r="AT182" i="4" s="1"/>
  <c r="AT183" i="4"/>
  <c r="AT184" i="4" s="1"/>
  <c r="AT156" i="4" l="1"/>
  <c r="AT166" i="4"/>
  <c r="AT136" i="4"/>
  <c r="AT137" i="4" s="1"/>
  <c r="AT44" i="4"/>
  <c r="AU27" i="4" l="1"/>
  <c r="AU29" i="4" s="1"/>
  <c r="AU130" i="4"/>
  <c r="AT138" i="4"/>
  <c r="AT169" i="4"/>
  <c r="AT170" i="4" s="1"/>
  <c r="AT167" i="4"/>
  <c r="AT168" i="4" s="1"/>
  <c r="AT159" i="4"/>
  <c r="AT160" i="4" s="1"/>
  <c r="AT157" i="4"/>
  <c r="AT158" i="4" s="1"/>
  <c r="AT45" i="4"/>
  <c r="AU153" i="4" l="1"/>
  <c r="AU172" i="4"/>
  <c r="AU180" i="4" s="1"/>
  <c r="AU38" i="4"/>
  <c r="AU30" i="4"/>
  <c r="AU31" i="4" s="1"/>
  <c r="AU33" i="4" s="1"/>
  <c r="AT46" i="4"/>
  <c r="AT173" i="4"/>
  <c r="AT87" i="4"/>
  <c r="AU179" i="4" l="1"/>
  <c r="AU131" i="4"/>
  <c r="AU132" i="4"/>
  <c r="AU135" i="4" s="1"/>
  <c r="AU77" i="4"/>
  <c r="AT175" i="4"/>
  <c r="AT176" i="4"/>
  <c r="AU183" i="4"/>
  <c r="AU184" i="4" s="1"/>
  <c r="AU39" i="4"/>
  <c r="AU40" i="4" s="1"/>
  <c r="AU43" i="4" s="1"/>
  <c r="AU162" i="4"/>
  <c r="AU164" i="4" s="1"/>
  <c r="AU165" i="4" s="1"/>
  <c r="AU181" i="4"/>
  <c r="AU182" i="4" s="1"/>
  <c r="AU152" i="4"/>
  <c r="AU154" i="4" s="1"/>
  <c r="AU155" i="4" s="1"/>
  <c r="AU166" i="4" l="1"/>
  <c r="AU44" i="4"/>
  <c r="AU156" i="4"/>
  <c r="AU136" i="4"/>
  <c r="AU137" i="4" s="1"/>
  <c r="AV27" i="4" l="1"/>
  <c r="AU45" i="4"/>
  <c r="AU87" i="4" s="1"/>
  <c r="AV130" i="4"/>
  <c r="AU138" i="4"/>
  <c r="AV29" i="4"/>
  <c r="AU46" i="4"/>
  <c r="AV38" i="4"/>
  <c r="AU159" i="4"/>
  <c r="AU160" i="4" s="1"/>
  <c r="AU157" i="4"/>
  <c r="AU158" i="4" s="1"/>
  <c r="AU167" i="4"/>
  <c r="AU168" i="4" s="1"/>
  <c r="AU169" i="4"/>
  <c r="AU170" i="4" s="1"/>
  <c r="AU173" i="4" l="1"/>
  <c r="AU176" i="4" s="1"/>
  <c r="AV153" i="4"/>
  <c r="AV131" i="4" s="1"/>
  <c r="AV172" i="4"/>
  <c r="AV179" i="4" s="1"/>
  <c r="AU175" i="4"/>
  <c r="AV30" i="4"/>
  <c r="AV31" i="4" s="1"/>
  <c r="AV33" i="4" s="1"/>
  <c r="AV180" i="4" l="1"/>
  <c r="AV181" i="4" s="1"/>
  <c r="AV182" i="4" s="1"/>
  <c r="AV132" i="4"/>
  <c r="AV135" i="4" s="1"/>
  <c r="AV77" i="4"/>
  <c r="AV152" i="4"/>
  <c r="AV154" i="4" s="1"/>
  <c r="AV155" i="4" s="1"/>
  <c r="AV162" i="4"/>
  <c r="AV164" i="4" s="1"/>
  <c r="AV165" i="4" s="1"/>
  <c r="AV183" i="4"/>
  <c r="AV184" i="4" s="1"/>
  <c r="AV39" i="4"/>
  <c r="AV40" i="4" s="1"/>
  <c r="AV43" i="4" s="1"/>
  <c r="AV156" i="4" l="1"/>
  <c r="AV166" i="4"/>
  <c r="AV44" i="4"/>
  <c r="AV136" i="4"/>
  <c r="AV137" i="4" s="1"/>
  <c r="AW27" i="4" l="1"/>
  <c r="AW29" i="4" s="1"/>
  <c r="AW130" i="4"/>
  <c r="AV138" i="4"/>
  <c r="AV169" i="4"/>
  <c r="AV170" i="4" s="1"/>
  <c r="AV167" i="4"/>
  <c r="AV168" i="4" s="1"/>
  <c r="AV45" i="4"/>
  <c r="AV159" i="4"/>
  <c r="AV160" i="4" s="1"/>
  <c r="AV157" i="4"/>
  <c r="AV158" i="4" s="1"/>
  <c r="AW38" i="4" l="1"/>
  <c r="AW30" i="4"/>
  <c r="AW31" i="4" s="1"/>
  <c r="AW33" i="4" s="1"/>
  <c r="AV173" i="4"/>
  <c r="AV46" i="4"/>
  <c r="AV87" i="4"/>
  <c r="AW153" i="4"/>
  <c r="AW131" i="4" s="1"/>
  <c r="AW172" i="4"/>
  <c r="AW179" i="4" s="1"/>
  <c r="AW180" i="4" l="1"/>
  <c r="AW181" i="4" s="1"/>
  <c r="AW182" i="4" s="1"/>
  <c r="AW183" i="4"/>
  <c r="AW184" i="4" s="1"/>
  <c r="AV176" i="4"/>
  <c r="AV175" i="4"/>
  <c r="AW132" i="4"/>
  <c r="AW135" i="4" s="1"/>
  <c r="AW77" i="4"/>
  <c r="AW152" i="4"/>
  <c r="AW154" i="4" s="1"/>
  <c r="AW155" i="4" s="1"/>
  <c r="AW39" i="4"/>
  <c r="AW40" i="4" s="1"/>
  <c r="AW43" i="4" s="1"/>
  <c r="AW162" i="4"/>
  <c r="AW164" i="4" s="1"/>
  <c r="AW165" i="4" s="1"/>
  <c r="AW44" i="4" l="1"/>
  <c r="AW45" i="4" s="1"/>
  <c r="AW166" i="4"/>
  <c r="AW156" i="4"/>
  <c r="AW136" i="4"/>
  <c r="AW137" i="4" s="1"/>
  <c r="AW159" i="4" l="1"/>
  <c r="AW160" i="4" s="1"/>
  <c r="AW173" i="4" s="1"/>
  <c r="AW157" i="4"/>
  <c r="AW158" i="4" s="1"/>
  <c r="AX130" i="4"/>
  <c r="AW138" i="4"/>
  <c r="AW167" i="4"/>
  <c r="AW168" i="4" s="1"/>
  <c r="AW169" i="4"/>
  <c r="AW170" i="4" s="1"/>
  <c r="AX30" i="4"/>
  <c r="AX38" i="4"/>
  <c r="AW46" i="4"/>
  <c r="AW87" i="4"/>
  <c r="AX27" i="4"/>
  <c r="AX29" i="4" l="1"/>
  <c r="AX41" i="4"/>
  <c r="AX42" i="4" s="1"/>
  <c r="AX52" i="4"/>
  <c r="AX53" i="4" s="1"/>
  <c r="AW175" i="4"/>
  <c r="AW176" i="4"/>
  <c r="AX153" i="4"/>
  <c r="AX131" i="4" s="1"/>
  <c r="AX172" i="4"/>
  <c r="AX50" i="4" l="1"/>
  <c r="AX39" i="4"/>
  <c r="AX179" i="4"/>
  <c r="AX31" i="4"/>
  <c r="AX33" i="4" s="1"/>
  <c r="AX180" i="4"/>
  <c r="AX152" i="4"/>
  <c r="AX162" i="4"/>
  <c r="AX51" i="4" l="1"/>
  <c r="AX54" i="4" s="1"/>
  <c r="AX55" i="4" s="1"/>
  <c r="AX97" i="4" s="1"/>
  <c r="AX181" i="4"/>
  <c r="AX182" i="4" s="1"/>
  <c r="AX40" i="4"/>
  <c r="AX43" i="4" s="1"/>
  <c r="AX154" i="4"/>
  <c r="AX155" i="4" s="1"/>
  <c r="AX132" i="4"/>
  <c r="AX135" i="4" s="1"/>
  <c r="AX164" i="4"/>
  <c r="AX165" i="4" s="1"/>
  <c r="AX77" i="4"/>
  <c r="AX183" i="4"/>
  <c r="AX184" i="4" s="1"/>
  <c r="AX136" i="4" l="1"/>
  <c r="AX137" i="4" s="1"/>
  <c r="AX156" i="4"/>
  <c r="AX166" i="4"/>
  <c r="AX56" i="4"/>
  <c r="AX44" i="4"/>
  <c r="AX45" i="4" s="1"/>
  <c r="AY130" i="4" l="1"/>
  <c r="AX138" i="4"/>
  <c r="AX57" i="4"/>
  <c r="AY49" i="4"/>
  <c r="AX159" i="4"/>
  <c r="AX160" i="4" s="1"/>
  <c r="AY30" i="4" s="1"/>
  <c r="AX157" i="4"/>
  <c r="AX158" i="4" s="1"/>
  <c r="AY38" i="4"/>
  <c r="AX46" i="4"/>
  <c r="AX87" i="4"/>
  <c r="AY27" i="4"/>
  <c r="AX167" i="4"/>
  <c r="AX168" i="4" s="1"/>
  <c r="AX169" i="4"/>
  <c r="AX170" i="4" s="1"/>
  <c r="AX173" i="4" l="1"/>
  <c r="AX175" i="4" s="1"/>
  <c r="AY41" i="4"/>
  <c r="AY42" i="4" s="1"/>
  <c r="AY52" i="4"/>
  <c r="AY53" i="4" s="1"/>
  <c r="AY29" i="4"/>
  <c r="AY153" i="4"/>
  <c r="AY50" i="4" s="1"/>
  <c r="AY172" i="4"/>
  <c r="AX176" i="4" l="1"/>
  <c r="AY142" i="4"/>
  <c r="AY131" i="4"/>
  <c r="AY179" i="4"/>
  <c r="AY31" i="4"/>
  <c r="AY33" i="4" s="1"/>
  <c r="AY51" i="4" s="1"/>
  <c r="AY54" i="4" s="1"/>
  <c r="AY180" i="4"/>
  <c r="AY152" i="4"/>
  <c r="AY162" i="4"/>
  <c r="AY39" i="4"/>
  <c r="AY55" i="4" l="1"/>
  <c r="AY97" i="4" s="1"/>
  <c r="AY181" i="4"/>
  <c r="AY182" i="4" s="1"/>
  <c r="AY40" i="4"/>
  <c r="AY43" i="4" s="1"/>
  <c r="AY143" i="4"/>
  <c r="AY154" i="4"/>
  <c r="AY155" i="4" s="1"/>
  <c r="AY132" i="4"/>
  <c r="AY135" i="4" s="1"/>
  <c r="AY164" i="4"/>
  <c r="AY165" i="4" s="1"/>
  <c r="AY77" i="4"/>
  <c r="AY183" i="4"/>
  <c r="AY184" i="4" s="1"/>
  <c r="AY156" i="4" l="1"/>
  <c r="AY136" i="4"/>
  <c r="AY137" i="4" s="1"/>
  <c r="AY166" i="4"/>
  <c r="AY44" i="4"/>
  <c r="AY56" i="4"/>
  <c r="AZ49" i="4" l="1"/>
  <c r="AY57" i="4"/>
  <c r="AY167" i="4"/>
  <c r="AY168" i="4" s="1"/>
  <c r="AY169" i="4"/>
  <c r="AY170" i="4" s="1"/>
  <c r="AZ130" i="4"/>
  <c r="AY138" i="4"/>
  <c r="AY159" i="4"/>
  <c r="AY160" i="4" s="1"/>
  <c r="AY157" i="4"/>
  <c r="AY158" i="4" s="1"/>
  <c r="AY45" i="4"/>
  <c r="AY145" i="4" l="1"/>
  <c r="AY146" i="4" s="1"/>
  <c r="AZ38" i="4"/>
  <c r="AZ52" i="4" s="1"/>
  <c r="AZ53" i="4" s="1"/>
  <c r="AY46" i="4"/>
  <c r="AY87" i="4"/>
  <c r="AZ153" i="4"/>
  <c r="AZ172" i="4"/>
  <c r="AY147" i="4" l="1"/>
  <c r="AZ27" i="4" s="1"/>
  <c r="AY148" i="4"/>
  <c r="AZ41" i="4"/>
  <c r="AZ42" i="4" s="1"/>
  <c r="AZ162" i="4"/>
  <c r="AZ141" i="4" l="1"/>
  <c r="AY149" i="4"/>
  <c r="AZ30" i="4"/>
  <c r="AY173" i="4"/>
  <c r="AZ29" i="4"/>
  <c r="AY175" i="4" l="1"/>
  <c r="AY176" i="4"/>
  <c r="AZ31" i="4"/>
  <c r="AZ33" i="4" s="1"/>
  <c r="AZ179" i="4"/>
  <c r="AZ180" i="4"/>
  <c r="AZ142" i="4"/>
  <c r="AZ131" i="4"/>
  <c r="AZ152" i="4"/>
  <c r="AZ50" i="4"/>
  <c r="AZ39" i="4"/>
  <c r="AZ51" i="4" l="1"/>
  <c r="AZ54" i="4" s="1"/>
  <c r="AZ183" i="4"/>
  <c r="AZ184" i="4" s="1"/>
  <c r="AZ143" i="4"/>
  <c r="AZ154" i="4"/>
  <c r="AZ155" i="4" s="1"/>
  <c r="AZ132" i="4"/>
  <c r="AZ135" i="4" s="1"/>
  <c r="AZ40" i="4"/>
  <c r="AZ43" i="4" s="1"/>
  <c r="AZ164" i="4"/>
  <c r="AZ165" i="4" s="1"/>
  <c r="AZ77" i="4"/>
  <c r="AZ181" i="4"/>
  <c r="AZ182" i="4" s="1"/>
  <c r="AZ166" i="4" l="1"/>
  <c r="AZ44" i="4"/>
  <c r="AZ136" i="4"/>
  <c r="AZ137" i="4" s="1"/>
  <c r="AZ156" i="4"/>
  <c r="AZ55" i="4"/>
  <c r="AZ97" i="4" s="1"/>
  <c r="BA130" i="4" l="1"/>
  <c r="AZ138" i="4"/>
  <c r="AZ56" i="4"/>
  <c r="AZ159" i="4"/>
  <c r="AZ160" i="4" s="1"/>
  <c r="AZ157" i="4"/>
  <c r="AZ158" i="4" s="1"/>
  <c r="AZ169" i="4"/>
  <c r="AZ170" i="4" s="1"/>
  <c r="AZ167" i="4"/>
  <c r="AZ168" i="4" s="1"/>
  <c r="AZ45" i="4"/>
  <c r="BA153" i="4" l="1"/>
  <c r="BA172" i="4"/>
  <c r="BA38" i="4"/>
  <c r="AZ145" i="4"/>
  <c r="AZ146" i="4" s="1"/>
  <c r="AZ46" i="4"/>
  <c r="AZ87" i="4"/>
  <c r="BA49" i="4"/>
  <c r="AZ57" i="4"/>
  <c r="BA41" i="4" l="1"/>
  <c r="BA42" i="4" s="1"/>
  <c r="BA162" i="4"/>
  <c r="BA52" i="4"/>
  <c r="BA53" i="4" s="1"/>
  <c r="AZ147" i="4"/>
  <c r="BA27" i="4" s="1"/>
  <c r="BA29" i="4" l="1"/>
  <c r="AZ148" i="4"/>
  <c r="BA141" i="4" l="1"/>
  <c r="AZ149" i="4"/>
  <c r="BA30" i="4"/>
  <c r="BA31" i="4" s="1"/>
  <c r="BA33" i="4" s="1"/>
  <c r="AZ173" i="4"/>
  <c r="BA179" i="4"/>
  <c r="BA180" i="4"/>
  <c r="BA77" i="4" l="1"/>
  <c r="BA164" i="4"/>
  <c r="BA165" i="4" s="1"/>
  <c r="AZ176" i="4"/>
  <c r="AZ175" i="4"/>
  <c r="BA181" i="4"/>
  <c r="BA182" i="4" s="1"/>
  <c r="BA183" i="4"/>
  <c r="BA184" i="4" s="1"/>
  <c r="BA142" i="4"/>
  <c r="BA143" i="4" s="1"/>
  <c r="BA131" i="4"/>
  <c r="BA132" i="4" s="1"/>
  <c r="BA135" i="4" s="1"/>
  <c r="BA39" i="4"/>
  <c r="BA40" i="4" s="1"/>
  <c r="BA43" i="4" s="1"/>
  <c r="BA50" i="4"/>
  <c r="BA51" i="4" s="1"/>
  <c r="BA54" i="4" s="1"/>
  <c r="BA152" i="4"/>
  <c r="BA154" i="4" s="1"/>
  <c r="BA155" i="4" s="1"/>
  <c r="BA44" i="4" l="1"/>
  <c r="BA45" i="4" s="1"/>
  <c r="BA136" i="4"/>
  <c r="BA137" i="4" s="1"/>
  <c r="BA156" i="4"/>
  <c r="BA55" i="4"/>
  <c r="BA97" i="4" s="1"/>
  <c r="BA166" i="4"/>
  <c r="BB130" i="4" l="1"/>
  <c r="BA138" i="4"/>
  <c r="BA169" i="4"/>
  <c r="BA170" i="4" s="1"/>
  <c r="BA167" i="4"/>
  <c r="BA168" i="4" s="1"/>
  <c r="BA159" i="4"/>
  <c r="BA160" i="4" s="1"/>
  <c r="BA157" i="4"/>
  <c r="BA158" i="4" s="1"/>
  <c r="BB38" i="4"/>
  <c r="BA145" i="4"/>
  <c r="BA146" i="4" s="1"/>
  <c r="BA46" i="4"/>
  <c r="BA87" i="4"/>
  <c r="BA56" i="4"/>
  <c r="BB49" i="4" l="1"/>
  <c r="BA57" i="4"/>
  <c r="BA147" i="4"/>
  <c r="BB27" i="4" s="1"/>
  <c r="BB153" i="4"/>
  <c r="BB172" i="4"/>
  <c r="BB41" i="4"/>
  <c r="BB42" i="4" s="1"/>
  <c r="BB162" i="4" l="1"/>
  <c r="BB29" i="4"/>
  <c r="BB52" i="4"/>
  <c r="BB53" i="4" s="1"/>
  <c r="BA148" i="4"/>
  <c r="BB179" i="4" l="1"/>
  <c r="BB180" i="4"/>
  <c r="BA149" i="4"/>
  <c r="BB141" i="4"/>
  <c r="BB30" i="4"/>
  <c r="BB31" i="4" s="1"/>
  <c r="BB33" i="4" s="1"/>
  <c r="BA173" i="4"/>
  <c r="BB164" i="4" l="1"/>
  <c r="BB165" i="4" s="1"/>
  <c r="BB77" i="4"/>
  <c r="BB181" i="4"/>
  <c r="BB182" i="4" s="1"/>
  <c r="BA175" i="4"/>
  <c r="BA176" i="4"/>
  <c r="BB142" i="4"/>
  <c r="BB143" i="4" s="1"/>
  <c r="BB39" i="4"/>
  <c r="BB40" i="4" s="1"/>
  <c r="BB43" i="4" s="1"/>
  <c r="BB152" i="4"/>
  <c r="BB154" i="4" s="1"/>
  <c r="BB155" i="4" s="1"/>
  <c r="BB50" i="4"/>
  <c r="BB51" i="4" s="1"/>
  <c r="BB54" i="4" s="1"/>
  <c r="BB131" i="4"/>
  <c r="BB132" i="4" s="1"/>
  <c r="BB135" i="4" s="1"/>
  <c r="BB183" i="4"/>
  <c r="BB184" i="4" s="1"/>
  <c r="BB44" i="4" l="1"/>
  <c r="BB45" i="4" s="1"/>
  <c r="BB136" i="4"/>
  <c r="BB137" i="4" s="1"/>
  <c r="BB55" i="4"/>
  <c r="BB97" i="4" s="1"/>
  <c r="BC153" i="4"/>
  <c r="BB156" i="4"/>
  <c r="BB166" i="4"/>
  <c r="BB56" i="4" l="1"/>
  <c r="BB57" i="4" s="1"/>
  <c r="BC130" i="4"/>
  <c r="BB138" i="4"/>
  <c r="BB159" i="4"/>
  <c r="BB160" i="4" s="1"/>
  <c r="BC172" i="4" s="1"/>
  <c r="BB157" i="4"/>
  <c r="BB158" i="4" s="1"/>
  <c r="BC49" i="4"/>
  <c r="BC38" i="4"/>
  <c r="BB145" i="4"/>
  <c r="BB146" i="4" s="1"/>
  <c r="BB87" i="4"/>
  <c r="BB46" i="4"/>
  <c r="BB169" i="4"/>
  <c r="BB170" i="4" s="1"/>
  <c r="BB167" i="4"/>
  <c r="BB168" i="4" s="1"/>
  <c r="BC41" i="4" l="1"/>
  <c r="BC42" i="4" s="1"/>
  <c r="BC162" i="4"/>
  <c r="BC52" i="4"/>
  <c r="BC53" i="4" s="1"/>
  <c r="BB147" i="4"/>
  <c r="BC27" i="4" s="1"/>
  <c r="BB148" i="4" l="1"/>
  <c r="BC141" i="4" s="1"/>
  <c r="BC30" i="4"/>
  <c r="BB173" i="4"/>
  <c r="BC29" i="4"/>
  <c r="BB149" i="4" l="1"/>
  <c r="BB176" i="4"/>
  <c r="BB175" i="4"/>
  <c r="BC31" i="4"/>
  <c r="BC33" i="4" s="1"/>
  <c r="BC179" i="4"/>
  <c r="BC180" i="4"/>
  <c r="BC142" i="4"/>
  <c r="BC39" i="4"/>
  <c r="BC152" i="4"/>
  <c r="BC131" i="4"/>
  <c r="BC50" i="4"/>
  <c r="BC51" i="4" l="1"/>
  <c r="BC54" i="4" s="1"/>
  <c r="BC55" i="4" s="1"/>
  <c r="BC97" i="4" s="1"/>
  <c r="BC183" i="4"/>
  <c r="BC184" i="4" s="1"/>
  <c r="BC143" i="4"/>
  <c r="BC154" i="4"/>
  <c r="BC155" i="4" s="1"/>
  <c r="BC77" i="4"/>
  <c r="BC40" i="4"/>
  <c r="BC43" i="4" s="1"/>
  <c r="BC132" i="4"/>
  <c r="BC135" i="4" s="1"/>
  <c r="BC164" i="4"/>
  <c r="BC165" i="4" s="1"/>
  <c r="BC181" i="4"/>
  <c r="BC182" i="4" s="1"/>
  <c r="BC44" i="4" l="1"/>
  <c r="BC166" i="4"/>
  <c r="BD153" i="4"/>
  <c r="BC156" i="4"/>
  <c r="BC136" i="4"/>
  <c r="BC137" i="4" s="1"/>
  <c r="BC56" i="4"/>
  <c r="BC45" i="4" l="1"/>
  <c r="BC57" i="4"/>
  <c r="BD49" i="4"/>
  <c r="BC159" i="4"/>
  <c r="BC160" i="4" s="1"/>
  <c r="BD172" i="4" s="1"/>
  <c r="BC157" i="4"/>
  <c r="BC158" i="4"/>
  <c r="BC167" i="4"/>
  <c r="BC168" i="4" s="1"/>
  <c r="BC169" i="4"/>
  <c r="BC170" i="4" s="1"/>
  <c r="BD130" i="4"/>
  <c r="BC138" i="4"/>
  <c r="BC145" i="4" l="1"/>
  <c r="BC146" i="4" s="1"/>
  <c r="BD38" i="4"/>
  <c r="BD52" i="4" s="1"/>
  <c r="BD53" i="4" s="1"/>
  <c r="BC46" i="4"/>
  <c r="BC87" i="4"/>
  <c r="BC147" i="4" l="1"/>
  <c r="BD27" i="4" s="1"/>
  <c r="BD29" i="4" s="1"/>
  <c r="BD41" i="4"/>
  <c r="BD42" i="4" s="1"/>
  <c r="BD162" i="4"/>
  <c r="BE152" i="4"/>
  <c r="BE154" i="4" s="1"/>
  <c r="BD179" i="4" l="1"/>
  <c r="BD180" i="4"/>
  <c r="BC148" i="4"/>
  <c r="BD141" i="4" l="1"/>
  <c r="BC149" i="4"/>
  <c r="BC173" i="4"/>
  <c r="BD30" i="4"/>
  <c r="BD31" i="4" s="1"/>
  <c r="BD33" i="4" s="1"/>
  <c r="BD181" i="4"/>
  <c r="BD182" i="4" s="1"/>
  <c r="BD183" i="4"/>
  <c r="BD184" i="4"/>
  <c r="BD142" i="4" l="1"/>
  <c r="BD143" i="4" s="1"/>
  <c r="BD131" i="4"/>
  <c r="BD132" i="4" s="1"/>
  <c r="BD135" i="4" s="1"/>
  <c r="BD50" i="4"/>
  <c r="BD51" i="4" s="1"/>
  <c r="BD54" i="4" s="1"/>
  <c r="BD39" i="4"/>
  <c r="BD40" i="4" s="1"/>
  <c r="BD43" i="4" s="1"/>
  <c r="BD152" i="4"/>
  <c r="BD154" i="4" s="1"/>
  <c r="BD155" i="4" s="1"/>
  <c r="BD77" i="4"/>
  <c r="BD164" i="4"/>
  <c r="BD165" i="4" s="1"/>
  <c r="BC176" i="4"/>
  <c r="BC175" i="4"/>
  <c r="BD156" i="4" l="1"/>
  <c r="BD136" i="4"/>
  <c r="BD137" i="4" s="1"/>
  <c r="BD138" i="4" s="1"/>
  <c r="BD44" i="4"/>
  <c r="BD45" i="4" s="1"/>
  <c r="BD166" i="4"/>
  <c r="BD55" i="4"/>
  <c r="BD97" i="4" s="1"/>
  <c r="BD56" i="4" l="1"/>
  <c r="BD57" i="4" s="1"/>
  <c r="BD46" i="4"/>
  <c r="BD87" i="4"/>
  <c r="BD145" i="4"/>
  <c r="BD146" i="4" s="1"/>
  <c r="BD167" i="4"/>
  <c r="BD168" i="4" s="1"/>
  <c r="BD169" i="4"/>
  <c r="BD170" i="4" s="1"/>
  <c r="BE163" i="4" s="1"/>
  <c r="BD159" i="4"/>
  <c r="BD160" i="4" s="1"/>
  <c r="BE153" i="4" s="1"/>
  <c r="BD157" i="4"/>
  <c r="BD158" i="4" s="1"/>
  <c r="BF162" i="4" l="1"/>
  <c r="BF164" i="4" s="1"/>
  <c r="BE165" i="4"/>
  <c r="BF152" i="4"/>
  <c r="BF154" i="4" s="1"/>
  <c r="BE155" i="4"/>
  <c r="BD147" i="4"/>
  <c r="BD148" i="4" s="1"/>
  <c r="BD149" i="4" l="1"/>
  <c r="BD173" i="4"/>
  <c r="BE166" i="4"/>
  <c r="BE156" i="4"/>
  <c r="BE167" i="4" l="1"/>
  <c r="BE168" i="4" s="1"/>
  <c r="BE169" i="4"/>
  <c r="BE170" i="4" s="1"/>
  <c r="BF163" i="4" s="1"/>
  <c r="BE157" i="4"/>
  <c r="BE158" i="4" s="1"/>
  <c r="BE159" i="4"/>
  <c r="BE160" i="4" s="1"/>
  <c r="BD175" i="4"/>
  <c r="BD176" i="4"/>
  <c r="BG162" i="4" l="1"/>
  <c r="BG164" i="4" s="1"/>
  <c r="BF165" i="4"/>
  <c r="BF153" i="4"/>
  <c r="BF172" i="4"/>
  <c r="BF166" i="4" l="1"/>
  <c r="BF180" i="4"/>
  <c r="BF179" i="4"/>
  <c r="BF155" i="4"/>
  <c r="BG152" i="4"/>
  <c r="BG154" i="4" s="1"/>
  <c r="BF181" i="4" l="1"/>
  <c r="BF182" i="4" s="1"/>
  <c r="BF156" i="4"/>
  <c r="BF167" i="4"/>
  <c r="BF168" i="4" s="1"/>
  <c r="BF169" i="4"/>
  <c r="BF170" i="4" s="1"/>
  <c r="BG163" i="4" s="1"/>
  <c r="BF183" i="4"/>
  <c r="BF184" i="4" s="1"/>
  <c r="BG165" i="4" l="1"/>
  <c r="BH162" i="4"/>
  <c r="BH164" i="4" s="1"/>
  <c r="BF157" i="4"/>
  <c r="BF158" i="4" s="1"/>
  <c r="BF159" i="4"/>
  <c r="BF160" i="4" s="1"/>
  <c r="BG153" i="4" s="1"/>
  <c r="BG166" i="4" l="1"/>
  <c r="BG155" i="4"/>
  <c r="BH152" i="4"/>
  <c r="BH154" i="4" s="1"/>
  <c r="BG172" i="4"/>
  <c r="BG156" i="4" l="1"/>
  <c r="BG179" i="4"/>
  <c r="BG180" i="4"/>
  <c r="BG167" i="4"/>
  <c r="BG168" i="4" s="1"/>
  <c r="BG169" i="4"/>
  <c r="BG170" i="4" s="1"/>
  <c r="BH163" i="4" s="1"/>
  <c r="BI162" i="4" l="1"/>
  <c r="BI164" i="4" s="1"/>
  <c r="BH165" i="4"/>
  <c r="BG181" i="4"/>
  <c r="BG182" i="4" s="1"/>
  <c r="BG183" i="4"/>
  <c r="BG184" i="4" s="1"/>
  <c r="BG159" i="4"/>
  <c r="BG160" i="4" s="1"/>
  <c r="BH153" i="4" s="1"/>
  <c r="BG157" i="4"/>
  <c r="BG158" i="4" s="1"/>
  <c r="BI152" i="4" l="1"/>
  <c r="BI154" i="4" s="1"/>
  <c r="BH155" i="4"/>
  <c r="BH172" i="4"/>
  <c r="BH166" i="4"/>
  <c r="BH179" i="4" l="1"/>
  <c r="BH180" i="4"/>
  <c r="BH156" i="4"/>
  <c r="BH169" i="4"/>
  <c r="BH170" i="4" s="1"/>
  <c r="BI163" i="4" s="1"/>
  <c r="BH167" i="4"/>
  <c r="BH168" i="4" s="1"/>
  <c r="BH181" i="4" l="1"/>
  <c r="BH182" i="4" s="1"/>
  <c r="BH159" i="4"/>
  <c r="BH160" i="4" s="1"/>
  <c r="BI153" i="4" s="1"/>
  <c r="BH157" i="4"/>
  <c r="BH158" i="4" s="1"/>
  <c r="BI165" i="4"/>
  <c r="BJ162" i="4"/>
  <c r="BJ164" i="4" s="1"/>
  <c r="BH183" i="4"/>
  <c r="BH184" i="4" s="1"/>
  <c r="BI172" i="4" s="1"/>
  <c r="BI180" i="4" l="1"/>
  <c r="BI179" i="4"/>
  <c r="BJ152" i="4"/>
  <c r="BJ154" i="4" s="1"/>
  <c r="BI155" i="4"/>
  <c r="BI166" i="4"/>
  <c r="BI156" i="4" l="1"/>
  <c r="BI183" i="4"/>
  <c r="BI184" i="4" s="1"/>
  <c r="BI169" i="4"/>
  <c r="BI170" i="4" s="1"/>
  <c r="BJ163" i="4" s="1"/>
  <c r="BI167" i="4"/>
  <c r="BI168" i="4" s="1"/>
  <c r="BI181" i="4"/>
  <c r="BI182" i="4" s="1"/>
  <c r="BK162" i="4" l="1"/>
  <c r="BK164" i="4" s="1"/>
  <c r="BJ165" i="4"/>
  <c r="BI157" i="4"/>
  <c r="BI158" i="4" s="1"/>
  <c r="BI159" i="4"/>
  <c r="BI160" i="4" s="1"/>
  <c r="BJ153" i="4" s="1"/>
  <c r="BJ166" i="4" l="1"/>
  <c r="BJ155" i="4"/>
  <c r="BK152" i="4"/>
  <c r="BK154" i="4" s="1"/>
  <c r="BJ172" i="4"/>
  <c r="BL172" i="4"/>
  <c r="BJ156" i="4" l="1"/>
  <c r="BL180" i="4"/>
  <c r="BL179" i="4"/>
  <c r="BJ169" i="4"/>
  <c r="BJ170" i="4" s="1"/>
  <c r="BK163" i="4" s="1"/>
  <c r="BJ167" i="4"/>
  <c r="BJ168" i="4" s="1"/>
  <c r="BJ179" i="4"/>
  <c r="BJ180" i="4"/>
  <c r="BL181" i="4" l="1"/>
  <c r="BL182" i="4" s="1"/>
  <c r="BJ159" i="4"/>
  <c r="BJ160" i="4" s="1"/>
  <c r="BK153" i="4" s="1"/>
  <c r="BJ157" i="4"/>
  <c r="BJ158" i="4" s="1"/>
  <c r="BJ181" i="4"/>
  <c r="BJ182" i="4" s="1"/>
  <c r="BK165" i="4"/>
  <c r="BL162" i="4"/>
  <c r="BL164" i="4" s="1"/>
  <c r="BJ183" i="4"/>
  <c r="BJ184" i="4" s="1"/>
  <c r="BK172" i="4" s="1"/>
  <c r="BL183" i="4"/>
  <c r="BL184" i="4" s="1"/>
  <c r="BK180" i="4" l="1"/>
  <c r="BK179" i="4"/>
  <c r="BL152" i="4"/>
  <c r="BL154" i="4" s="1"/>
  <c r="BK155" i="4"/>
  <c r="BK166" i="4"/>
  <c r="BK169" i="4" l="1"/>
  <c r="BK170" i="4" s="1"/>
  <c r="BL163" i="4" s="1"/>
  <c r="BK167" i="4"/>
  <c r="BK168" i="4" s="1"/>
  <c r="BK183" i="4"/>
  <c r="BK184" i="4" s="1"/>
  <c r="BK181" i="4"/>
  <c r="BK182" i="4" s="1"/>
  <c r="BK156" i="4"/>
  <c r="BK157" i="4" l="1"/>
  <c r="BK158" i="4" s="1"/>
  <c r="BK159" i="4"/>
  <c r="BK160" i="4" s="1"/>
  <c r="BL153" i="4" s="1"/>
  <c r="BL165" i="4"/>
  <c r="BM162" i="4"/>
  <c r="BM164" i="4" s="1"/>
  <c r="BL166" i="4" l="1"/>
  <c r="BL155" i="4"/>
  <c r="BM152" i="4"/>
  <c r="BM154" i="4" s="1"/>
  <c r="BL156" i="4" l="1"/>
  <c r="BL167" i="4"/>
  <c r="BL168" i="4" s="1"/>
  <c r="BL169" i="4"/>
  <c r="BL170" i="4" s="1"/>
  <c r="BM163" i="4" s="1"/>
  <c r="BM165" i="4" l="1"/>
  <c r="BN162" i="4"/>
  <c r="BN164" i="4" s="1"/>
  <c r="BL159" i="4"/>
  <c r="BL160" i="4" s="1"/>
  <c r="BL157" i="4"/>
  <c r="BL158" i="4" s="1"/>
  <c r="BM153" i="4" l="1"/>
  <c r="BM172" i="4"/>
  <c r="BM166" i="4"/>
  <c r="BM167" i="4" l="1"/>
  <c r="BM168" i="4" s="1"/>
  <c r="BM169" i="4"/>
  <c r="BM170" i="4" s="1"/>
  <c r="BN163" i="4" s="1"/>
  <c r="BM179" i="4"/>
  <c r="BM180" i="4"/>
  <c r="BN152" i="4"/>
  <c r="BN154" i="4" s="1"/>
  <c r="BM155" i="4"/>
  <c r="BM183" i="4" l="1"/>
  <c r="BM184" i="4" s="1"/>
  <c r="BM156" i="4"/>
  <c r="BN165" i="4"/>
  <c r="BO162" i="4"/>
  <c r="BO164" i="4" s="1"/>
  <c r="BM181" i="4"/>
  <c r="BM182" i="4" s="1"/>
  <c r="BM157" i="4" l="1"/>
  <c r="BM158" i="4" s="1"/>
  <c r="BM159" i="4"/>
  <c r="BM160" i="4" s="1"/>
  <c r="BN153" i="4" s="1"/>
  <c r="BN166" i="4"/>
  <c r="BN155" i="4" l="1"/>
  <c r="BO152" i="4"/>
  <c r="BO154" i="4" s="1"/>
  <c r="BN169" i="4"/>
  <c r="BN170" i="4" s="1"/>
  <c r="BO163" i="4" s="1"/>
  <c r="BN167" i="4"/>
  <c r="BN168" i="4" s="1"/>
  <c r="BN172" i="4"/>
  <c r="BN179" i="4" l="1"/>
  <c r="BN180" i="4"/>
  <c r="BO165" i="4"/>
  <c r="BP162" i="4"/>
  <c r="BP164" i="4" s="1"/>
  <c r="BN156" i="4"/>
  <c r="BN157" i="4" l="1"/>
  <c r="BN158" i="4" s="1"/>
  <c r="BN159" i="4"/>
  <c r="BN160" i="4" s="1"/>
  <c r="BO153" i="4" s="1"/>
  <c r="BO166" i="4"/>
  <c r="BN181" i="4"/>
  <c r="BN182" i="4" s="1"/>
  <c r="BN183" i="4"/>
  <c r="BN184" i="4" s="1"/>
  <c r="BO172" i="4" l="1"/>
  <c r="BO180" i="4" s="1"/>
  <c r="BO167" i="4"/>
  <c r="BO168" i="4" s="1"/>
  <c r="BO169" i="4"/>
  <c r="BO170" i="4" s="1"/>
  <c r="BP163" i="4" s="1"/>
  <c r="BP152" i="4"/>
  <c r="BP154" i="4" s="1"/>
  <c r="BO155" i="4"/>
  <c r="BO179" i="4" l="1"/>
  <c r="BO181" i="4"/>
  <c r="BO182" i="4" s="1"/>
  <c r="BO156" i="4"/>
  <c r="BP165" i="4"/>
  <c r="BQ162" i="4"/>
  <c r="BQ164" i="4" s="1"/>
  <c r="BO183" i="4"/>
  <c r="BO184" i="4"/>
  <c r="BO159" i="4" l="1"/>
  <c r="BO160" i="4" s="1"/>
  <c r="BP153" i="4" s="1"/>
  <c r="BO157" i="4"/>
  <c r="BO158" i="4" s="1"/>
  <c r="BP166" i="4"/>
  <c r="BQ152" i="4" l="1"/>
  <c r="BQ154" i="4" s="1"/>
  <c r="BP155" i="4"/>
  <c r="BP169" i="4"/>
  <c r="BP170" i="4" s="1"/>
  <c r="BQ163" i="4" s="1"/>
  <c r="BP167" i="4"/>
  <c r="BP168" i="4" s="1"/>
  <c r="BP172" i="4"/>
  <c r="BR162" i="4" l="1"/>
  <c r="BR164" i="4" s="1"/>
  <c r="BQ165" i="4"/>
  <c r="BP179" i="4"/>
  <c r="BP180" i="4"/>
  <c r="BP156" i="4"/>
  <c r="BP183" i="4" l="1"/>
  <c r="BP184" i="4" s="1"/>
  <c r="BQ166" i="4"/>
  <c r="BP157" i="4"/>
  <c r="BP158" i="4" s="1"/>
  <c r="BP159" i="4"/>
  <c r="BP160" i="4" s="1"/>
  <c r="BQ153" i="4" s="1"/>
  <c r="BP181" i="4"/>
  <c r="BP182" i="4" s="1"/>
  <c r="BQ155" i="4" l="1"/>
  <c r="BR152" i="4"/>
  <c r="BR154" i="4" s="1"/>
  <c r="BQ172" i="4"/>
  <c r="BS172" i="4"/>
  <c r="BQ167" i="4"/>
  <c r="BQ168" i="4" s="1"/>
  <c r="BQ169" i="4"/>
  <c r="BQ170" i="4" s="1"/>
  <c r="BR163" i="4" s="1"/>
  <c r="BS180" i="4" l="1"/>
  <c r="BS179" i="4"/>
  <c r="BS162" i="4"/>
  <c r="BS164" i="4" s="1"/>
  <c r="BR165" i="4"/>
  <c r="BQ179" i="4"/>
  <c r="BQ180" i="4"/>
  <c r="BQ156" i="4"/>
  <c r="BQ181" i="4" l="1"/>
  <c r="BQ182" i="4" s="1"/>
  <c r="BS183" i="4"/>
  <c r="BS184" i="4" s="1"/>
  <c r="BQ183" i="4"/>
  <c r="BQ184" i="4" s="1"/>
  <c r="BS181" i="4"/>
  <c r="BS182" i="4" s="1"/>
  <c r="BQ157" i="4"/>
  <c r="BQ158" i="4" s="1"/>
  <c r="BQ159" i="4"/>
  <c r="BQ160" i="4" s="1"/>
  <c r="BR153" i="4" s="1"/>
  <c r="BR166" i="4"/>
  <c r="BR172" i="4" l="1"/>
  <c r="BR169" i="4"/>
  <c r="BR170" i="4" s="1"/>
  <c r="BS163" i="4" s="1"/>
  <c r="BR167" i="4"/>
  <c r="BR168" i="4" s="1"/>
  <c r="BR155" i="4"/>
  <c r="BS152" i="4"/>
  <c r="BS154" i="4" s="1"/>
  <c r="BT162" i="4" l="1"/>
  <c r="BT164" i="4" s="1"/>
  <c r="BS165" i="4"/>
  <c r="BR156" i="4"/>
  <c r="BR179" i="4"/>
  <c r="BR180" i="4"/>
  <c r="BR181" i="4" l="1"/>
  <c r="BR182" i="4" s="1"/>
  <c r="BS166" i="4"/>
  <c r="BR159" i="4"/>
  <c r="BR160" i="4" s="1"/>
  <c r="BS153" i="4" s="1"/>
  <c r="BR157" i="4"/>
  <c r="BR158" i="4" s="1"/>
  <c r="BR183" i="4"/>
  <c r="BR184" i="4" s="1"/>
  <c r="BT152" i="4" l="1"/>
  <c r="BT154" i="4" s="1"/>
  <c r="BS155" i="4"/>
  <c r="BS169" i="4"/>
  <c r="BS170" i="4" s="1"/>
  <c r="BT163" i="4" s="1"/>
  <c r="BS167" i="4"/>
  <c r="BS168" i="4" s="1"/>
  <c r="BS156" i="4" l="1"/>
  <c r="BU162" i="4"/>
  <c r="BU164" i="4" s="1"/>
  <c r="BT165" i="4"/>
  <c r="BT166" i="4" l="1"/>
  <c r="BS159" i="4"/>
  <c r="BS160" i="4" s="1"/>
  <c r="BS157" i="4"/>
  <c r="BS158" i="4" s="1"/>
  <c r="BT153" i="4" l="1"/>
  <c r="BT172" i="4"/>
  <c r="BT167" i="4"/>
  <c r="BT168" i="4" s="1"/>
  <c r="BT169" i="4"/>
  <c r="BT170" i="4" s="1"/>
  <c r="BU163" i="4" s="1"/>
  <c r="BT180" i="4" l="1"/>
  <c r="BT179" i="4"/>
  <c r="BV162" i="4"/>
  <c r="BV164" i="4" s="1"/>
  <c r="BU165" i="4"/>
  <c r="BT155" i="4"/>
  <c r="BU152" i="4"/>
  <c r="BU154" i="4" s="1"/>
  <c r="BT183" i="4" l="1"/>
  <c r="BT184" i="4" s="1"/>
  <c r="BU166" i="4"/>
  <c r="BT156" i="4"/>
  <c r="BT181" i="4"/>
  <c r="BT182" i="4" s="1"/>
  <c r="BU167" i="4" l="1"/>
  <c r="BU168" i="4"/>
  <c r="BU169" i="4"/>
  <c r="BU170" i="4" s="1"/>
  <c r="BV163" i="4" s="1"/>
  <c r="BT157" i="4"/>
  <c r="BT158" i="4" s="1"/>
  <c r="BT159" i="4"/>
  <c r="BT160" i="4" s="1"/>
  <c r="BU153" i="4" s="1"/>
  <c r="BW162" i="4" l="1"/>
  <c r="BW164" i="4" s="1"/>
  <c r="BV165" i="4"/>
  <c r="BV152" i="4"/>
  <c r="BV154" i="4" s="1"/>
  <c r="BU155" i="4"/>
  <c r="BU172" i="4"/>
  <c r="BU156" i="4" l="1"/>
  <c r="BV166" i="4"/>
  <c r="BU179" i="4"/>
  <c r="BU180" i="4"/>
  <c r="BV169" i="4" l="1"/>
  <c r="BV170" i="4" s="1"/>
  <c r="BW163" i="4" s="1"/>
  <c r="BV167" i="4"/>
  <c r="BV168" i="4" s="1"/>
  <c r="BU181" i="4"/>
  <c r="BU182" i="4" s="1"/>
  <c r="BU183" i="4"/>
  <c r="BU184" i="4" s="1"/>
  <c r="BU159" i="4"/>
  <c r="BU160" i="4" s="1"/>
  <c r="BV153" i="4" s="1"/>
  <c r="BU157" i="4"/>
  <c r="BU158" i="4" s="1"/>
  <c r="BV172" i="4" l="1"/>
  <c r="BW152" i="4"/>
  <c r="BW154" i="4" s="1"/>
  <c r="BV155" i="4"/>
  <c r="BX162" i="4"/>
  <c r="BX164" i="4" s="1"/>
  <c r="BW165" i="4"/>
  <c r="BV180" i="4"/>
  <c r="BV179" i="4"/>
  <c r="BV156" i="4" l="1"/>
  <c r="BW166" i="4"/>
  <c r="BV183" i="4"/>
  <c r="BV184" i="4" s="1"/>
  <c r="BV181" i="4"/>
  <c r="BV182" i="4" s="1"/>
  <c r="BW167" i="4" l="1"/>
  <c r="BW169" i="4"/>
  <c r="BW170" i="4" s="1"/>
  <c r="BX163" i="4" s="1"/>
  <c r="BW168" i="4"/>
  <c r="BV159" i="4"/>
  <c r="BV160" i="4" s="1"/>
  <c r="BW153" i="4" s="1"/>
  <c r="BV157" i="4"/>
  <c r="BV158" i="4"/>
  <c r="BX165" i="4" l="1"/>
  <c r="BY162" i="4"/>
  <c r="BY164" i="4" s="1"/>
  <c r="BW155" i="4"/>
  <c r="BX152" i="4"/>
  <c r="BX154" i="4" s="1"/>
  <c r="BW172" i="4"/>
  <c r="BW156" i="4" l="1"/>
  <c r="BW180" i="4"/>
  <c r="BW179" i="4"/>
  <c r="BX166" i="4"/>
  <c r="BW181" i="4" l="1"/>
  <c r="BW182" i="4" s="1"/>
  <c r="BW183" i="4"/>
  <c r="BW184" i="4" s="1"/>
  <c r="BX169" i="4"/>
  <c r="BX170" i="4" s="1"/>
  <c r="BY163" i="4" s="1"/>
  <c r="BX167" i="4"/>
  <c r="BX168" i="4" s="1"/>
  <c r="BW157" i="4"/>
  <c r="BW158" i="4" s="1"/>
  <c r="BW159" i="4"/>
  <c r="BW160" i="4" s="1"/>
  <c r="BX153" i="4" s="1"/>
  <c r="BX172" i="4" l="1"/>
  <c r="BZ172" i="4"/>
  <c r="BY152" i="4"/>
  <c r="BY154" i="4" s="1"/>
  <c r="BX155" i="4"/>
  <c r="BY165" i="4"/>
  <c r="BZ162" i="4"/>
  <c r="BZ164" i="4" s="1"/>
  <c r="BX156" i="4" l="1"/>
  <c r="BZ179" i="4"/>
  <c r="BZ180" i="4"/>
  <c r="BY166" i="4"/>
  <c r="BX180" i="4"/>
  <c r="BX179" i="4"/>
  <c r="BX181" i="4" l="1"/>
  <c r="BX182" i="4" s="1"/>
  <c r="BZ183" i="4"/>
  <c r="BZ184" i="4" s="1"/>
  <c r="BY169" i="4"/>
  <c r="BY170" i="4" s="1"/>
  <c r="BZ163" i="4" s="1"/>
  <c r="BY167" i="4"/>
  <c r="BY168" i="4" s="1"/>
  <c r="BX157" i="4"/>
  <c r="BX158" i="4" s="1"/>
  <c r="BX159" i="4"/>
  <c r="BX160" i="4" s="1"/>
  <c r="BY153" i="4" s="1"/>
  <c r="BX183" i="4"/>
  <c r="BX184" i="4" s="1"/>
  <c r="BY172" i="4" s="1"/>
  <c r="BZ181" i="4"/>
  <c r="BZ182" i="4" s="1"/>
  <c r="BY179" i="4" l="1"/>
  <c r="BY180" i="4"/>
  <c r="BZ152" i="4"/>
  <c r="BZ154" i="4" s="1"/>
  <c r="BY155" i="4"/>
  <c r="BZ165" i="4"/>
  <c r="CA162" i="4"/>
  <c r="CA164" i="4" s="1"/>
  <c r="BZ166" i="4" l="1"/>
  <c r="BY181" i="4"/>
  <c r="BY182" i="4" s="1"/>
  <c r="BY156" i="4"/>
  <c r="BY183" i="4"/>
  <c r="BY184" i="4" s="1"/>
  <c r="BY157" i="4" l="1"/>
  <c r="BY158" i="4" s="1"/>
  <c r="BY159" i="4"/>
  <c r="BY160" i="4" s="1"/>
  <c r="BZ153" i="4" s="1"/>
  <c r="BZ169" i="4"/>
  <c r="BZ170" i="4" s="1"/>
  <c r="CA163" i="4" s="1"/>
  <c r="BZ167" i="4"/>
  <c r="BZ168" i="4" s="1"/>
  <c r="CA152" i="4" l="1"/>
  <c r="CA154" i="4" s="1"/>
  <c r="BZ155" i="4"/>
  <c r="CA165" i="4"/>
  <c r="CB162" i="4"/>
  <c r="CB164" i="4" s="1"/>
  <c r="CA166" i="4" l="1"/>
  <c r="BZ156" i="4"/>
  <c r="BZ157" i="4" l="1"/>
  <c r="BZ159" i="4"/>
  <c r="BZ160" i="4" s="1"/>
  <c r="BZ158" i="4"/>
  <c r="CA167" i="4"/>
  <c r="CA168" i="4" s="1"/>
  <c r="CA169" i="4"/>
  <c r="CA170" i="4" s="1"/>
  <c r="CB163" i="4" s="1"/>
  <c r="CC162" i="4" l="1"/>
  <c r="CC164" i="4" s="1"/>
  <c r="CB165" i="4"/>
  <c r="CA153" i="4"/>
  <c r="CA172" i="4"/>
  <c r="CB152" i="4" l="1"/>
  <c r="CB154" i="4" s="1"/>
  <c r="CA155" i="4"/>
  <c r="CA179" i="4"/>
  <c r="CA180" i="4"/>
  <c r="CB166" i="4"/>
  <c r="CA183" i="4" l="1"/>
  <c r="CA184" i="4" s="1"/>
  <c r="CA156" i="4"/>
  <c r="CA181" i="4"/>
  <c r="CA182" i="4" s="1"/>
  <c r="CB167" i="4"/>
  <c r="CB168" i="4" s="1"/>
  <c r="CB169" i="4"/>
  <c r="CB170" i="4" s="1"/>
  <c r="CC163" i="4" s="1"/>
  <c r="CC165" i="4" l="1"/>
  <c r="CD162" i="4"/>
  <c r="CD164" i="4" s="1"/>
  <c r="CA159" i="4"/>
  <c r="CA160" i="4" s="1"/>
  <c r="CB153" i="4" s="1"/>
  <c r="CA157" i="4"/>
  <c r="CA158" i="4" s="1"/>
  <c r="CC152" i="4" l="1"/>
  <c r="CC154" i="4" s="1"/>
  <c r="CB155" i="4"/>
  <c r="CC166" i="4"/>
  <c r="CB172" i="4"/>
  <c r="CB156" i="4" l="1"/>
  <c r="CC167" i="4"/>
  <c r="CC168" i="4" s="1"/>
  <c r="CC169" i="4"/>
  <c r="CC170" i="4" s="1"/>
  <c r="CD163" i="4" s="1"/>
  <c r="CB179" i="4"/>
  <c r="CB180" i="4"/>
  <c r="CE162" i="4" l="1"/>
  <c r="CE164" i="4" s="1"/>
  <c r="CD165" i="4"/>
  <c r="CB181" i="4"/>
  <c r="CB182" i="4" s="1"/>
  <c r="CB183" i="4"/>
  <c r="CB184" i="4" s="1"/>
  <c r="CC172" i="4" s="1"/>
  <c r="CB159" i="4"/>
  <c r="CB160" i="4" s="1"/>
  <c r="CC153" i="4" s="1"/>
  <c r="CB157" i="4"/>
  <c r="CB158" i="4" s="1"/>
  <c r="CC179" i="4" l="1"/>
  <c r="CC180" i="4"/>
  <c r="CC155" i="4"/>
  <c r="CD152" i="4"/>
  <c r="CD154" i="4" s="1"/>
  <c r="CD166" i="4"/>
  <c r="CC156" i="4" l="1"/>
  <c r="CC181" i="4"/>
  <c r="CC182" i="4" s="1"/>
  <c r="CD167" i="4"/>
  <c r="CD168" i="4" s="1"/>
  <c r="CD169" i="4"/>
  <c r="CD170" i="4" s="1"/>
  <c r="CE163" i="4" s="1"/>
  <c r="CC183" i="4"/>
  <c r="CC184" i="4" s="1"/>
  <c r="CF162" i="4" l="1"/>
  <c r="CF164" i="4" s="1"/>
  <c r="CE165" i="4"/>
  <c r="CC159" i="4"/>
  <c r="CC160" i="4" s="1"/>
  <c r="CD153" i="4" s="1"/>
  <c r="CC157" i="4"/>
  <c r="CC158" i="4" s="1"/>
  <c r="CD172" i="4" l="1"/>
  <c r="CD179" i="4" s="1"/>
  <c r="CD155" i="4"/>
  <c r="CE152" i="4"/>
  <c r="CE154" i="4" s="1"/>
  <c r="CE166" i="4"/>
  <c r="CD180" i="4" l="1"/>
  <c r="CD181" i="4" s="1"/>
  <c r="CD182" i="4" s="1"/>
  <c r="CD156" i="4"/>
  <c r="CE167" i="4"/>
  <c r="CE168" i="4" s="1"/>
  <c r="CE169" i="4"/>
  <c r="CE170" i="4" s="1"/>
  <c r="CF163" i="4" s="1"/>
  <c r="CD183" i="4"/>
  <c r="CD184" i="4" s="1"/>
  <c r="CF165" i="4" l="1"/>
  <c r="CG162" i="4"/>
  <c r="CG164" i="4" s="1"/>
  <c r="CD157" i="4"/>
  <c r="CD158" i="4" s="1"/>
  <c r="CD159" i="4"/>
  <c r="CD160" i="4" s="1"/>
  <c r="CE153" i="4" s="1"/>
  <c r="CF166" i="4" l="1"/>
  <c r="CE155" i="4"/>
  <c r="CF152" i="4"/>
  <c r="CF154" i="4" s="1"/>
  <c r="CG172" i="4"/>
  <c r="CE172" i="4"/>
  <c r="CE156" i="4" l="1"/>
  <c r="CE180" i="4"/>
  <c r="CE179" i="4"/>
  <c r="CF167" i="4"/>
  <c r="CF168" i="4" s="1"/>
  <c r="CF169" i="4"/>
  <c r="CF170" i="4" s="1"/>
  <c r="CG163" i="4" s="1"/>
  <c r="CG180" i="4"/>
  <c r="CG179" i="4"/>
  <c r="CG165" i="4" l="1"/>
  <c r="CH162" i="4"/>
  <c r="CH164" i="4" s="1"/>
  <c r="CE181" i="4"/>
  <c r="CE182" i="4" s="1"/>
  <c r="CG183" i="4"/>
  <c r="CG184" i="4" s="1"/>
  <c r="CE159" i="4"/>
  <c r="CE160" i="4" s="1"/>
  <c r="CF153" i="4" s="1"/>
  <c r="CE157" i="4"/>
  <c r="CE158" i="4"/>
  <c r="CG181" i="4"/>
  <c r="CG182" i="4" s="1"/>
  <c r="CE183" i="4"/>
  <c r="CE184" i="4" s="1"/>
  <c r="CG152" i="4" l="1"/>
  <c r="CG154" i="4" s="1"/>
  <c r="CF155" i="4"/>
  <c r="CF172" i="4"/>
  <c r="CG166" i="4"/>
  <c r="CF179" i="4" l="1"/>
  <c r="CF180" i="4"/>
  <c r="CF156" i="4"/>
  <c r="CG169" i="4"/>
  <c r="CG170" i="4" s="1"/>
  <c r="CH163" i="4" s="1"/>
  <c r="CG167" i="4"/>
  <c r="CG168" i="4" s="1"/>
  <c r="CF181" i="4" l="1"/>
  <c r="CF182" i="4" s="1"/>
  <c r="CF159" i="4"/>
  <c r="CF160" i="4" s="1"/>
  <c r="CG153" i="4" s="1"/>
  <c r="CF157" i="4"/>
  <c r="CF158" i="4" s="1"/>
  <c r="CI162" i="4"/>
  <c r="CI164" i="4" s="1"/>
  <c r="CH165" i="4"/>
  <c r="CF183" i="4"/>
  <c r="CF184" i="4" s="1"/>
  <c r="CG155" i="4" l="1"/>
  <c r="CH152" i="4"/>
  <c r="CH154" i="4" s="1"/>
  <c r="CH166" i="4"/>
  <c r="CH167" i="4" l="1"/>
  <c r="CH168" i="4" s="1"/>
  <c r="CH169" i="4"/>
  <c r="CH170" i="4" s="1"/>
  <c r="CI163" i="4" s="1"/>
  <c r="CG156" i="4"/>
  <c r="CG157" i="4" l="1"/>
  <c r="CG158" i="4" s="1"/>
  <c r="CG159" i="4"/>
  <c r="CG160" i="4" s="1"/>
  <c r="CJ162" i="4"/>
  <c r="CJ164" i="4" s="1"/>
  <c r="CI165" i="4"/>
  <c r="CI166" i="4" l="1"/>
  <c r="CH153" i="4"/>
  <c r="CH172" i="4"/>
  <c r="CH155" i="4" l="1"/>
  <c r="CI152" i="4"/>
  <c r="CI154" i="4" s="1"/>
  <c r="CI169" i="4"/>
  <c r="CI170" i="4" s="1"/>
  <c r="CJ163" i="4" s="1"/>
  <c r="CI167" i="4"/>
  <c r="CI168" i="4" s="1"/>
  <c r="CH180" i="4"/>
  <c r="CH179" i="4"/>
  <c r="CH181" i="4" l="1"/>
  <c r="CH182" i="4" s="1"/>
  <c r="CH183" i="4"/>
  <c r="CH184" i="4" s="1"/>
  <c r="CJ165" i="4"/>
  <c r="CK162" i="4"/>
  <c r="CK164" i="4" s="1"/>
  <c r="CH156" i="4"/>
  <c r="CJ166" i="4" l="1"/>
  <c r="CH157" i="4"/>
  <c r="CH158" i="4" s="1"/>
  <c r="CH159" i="4"/>
  <c r="CH160" i="4" s="1"/>
  <c r="CI153" i="4" s="1"/>
  <c r="CJ169" i="4" l="1"/>
  <c r="CJ170" i="4" s="1"/>
  <c r="CK163" i="4" s="1"/>
  <c r="CJ167" i="4"/>
  <c r="CJ168" i="4" s="1"/>
  <c r="CI155" i="4"/>
  <c r="CJ152" i="4"/>
  <c r="CJ154" i="4" s="1"/>
  <c r="CI172" i="4"/>
  <c r="CI156" i="4" l="1"/>
  <c r="CI179" i="4"/>
  <c r="CI180" i="4"/>
  <c r="CL162" i="4"/>
  <c r="CL164" i="4" s="1"/>
  <c r="CK165" i="4"/>
  <c r="CI181" i="4" l="1"/>
  <c r="CI182" i="4" s="1"/>
  <c r="CK166" i="4"/>
  <c r="CI183" i="4"/>
  <c r="CI184" i="4" s="1"/>
  <c r="CI159" i="4"/>
  <c r="CI160" i="4" s="1"/>
  <c r="CJ153" i="4" s="1"/>
  <c r="CI157" i="4"/>
  <c r="CI158" i="4" s="1"/>
  <c r="CK169" i="4" l="1"/>
  <c r="CK170" i="4" s="1"/>
  <c r="CL163" i="4" s="1"/>
  <c r="CK167" i="4"/>
  <c r="CK168" i="4" s="1"/>
  <c r="CJ172" i="4"/>
  <c r="CK152" i="4"/>
  <c r="CK154" i="4" s="1"/>
  <c r="CJ155" i="4"/>
  <c r="CJ156" i="4" l="1"/>
  <c r="CM162" i="4"/>
  <c r="CM164" i="4" s="1"/>
  <c r="CL165" i="4"/>
  <c r="CJ179" i="4"/>
  <c r="CJ180" i="4"/>
  <c r="CJ181" i="4" l="1"/>
  <c r="CJ182" i="4" s="1"/>
  <c r="CL166" i="4"/>
  <c r="CJ183" i="4"/>
  <c r="CJ184" i="4" s="1"/>
  <c r="CK172" i="4" s="1"/>
  <c r="CJ157" i="4"/>
  <c r="CJ158" i="4" s="1"/>
  <c r="CJ159" i="4"/>
  <c r="CJ160" i="4" s="1"/>
  <c r="CK153" i="4" s="1"/>
  <c r="CL169" i="4" l="1"/>
  <c r="CL170" i="4" s="1"/>
  <c r="CM163" i="4" s="1"/>
  <c r="CL167" i="4"/>
  <c r="CL168" i="4" s="1"/>
  <c r="CK179" i="4"/>
  <c r="CK180" i="4"/>
  <c r="CK155" i="4"/>
  <c r="CL152" i="4"/>
  <c r="CL154" i="4" s="1"/>
  <c r="CK183" i="4" l="1"/>
  <c r="CK184" i="4" s="1"/>
  <c r="CK156" i="4"/>
  <c r="CK181" i="4"/>
  <c r="CK182" i="4" s="1"/>
  <c r="CM165" i="4"/>
  <c r="CN162" i="4"/>
  <c r="CN164" i="4" s="1"/>
  <c r="CK157" i="4" l="1"/>
  <c r="CK158" i="4" s="1"/>
  <c r="CK159" i="4"/>
  <c r="CK160" i="4" s="1"/>
  <c r="CL153" i="4" s="1"/>
  <c r="CM166" i="4"/>
  <c r="CN172" i="4" l="1"/>
  <c r="CM167" i="4"/>
  <c r="CM169" i="4"/>
  <c r="CM170" i="4" s="1"/>
  <c r="CN163" i="4" s="1"/>
  <c r="CM168" i="4"/>
  <c r="CN179" i="4"/>
  <c r="CN180" i="4"/>
  <c r="CM152" i="4"/>
  <c r="CM154" i="4" s="1"/>
  <c r="CL155" i="4"/>
  <c r="CL172" i="4"/>
  <c r="CL180" i="4" l="1"/>
  <c r="CL179" i="4"/>
  <c r="CO162" i="4"/>
  <c r="CO164" i="4" s="1"/>
  <c r="CN165" i="4"/>
  <c r="CN183" i="4"/>
  <c r="CN184" i="4" s="1"/>
  <c r="CL156" i="4"/>
  <c r="CN181" i="4"/>
  <c r="CN182" i="4" s="1"/>
  <c r="CL157" i="4" l="1"/>
  <c r="CL159" i="4"/>
  <c r="CL160" i="4" s="1"/>
  <c r="CM153" i="4" s="1"/>
  <c r="CL158" i="4"/>
  <c r="CN166" i="4"/>
  <c r="CL183" i="4"/>
  <c r="CL184" i="4" s="1"/>
  <c r="CL181" i="4"/>
  <c r="CL182" i="4" s="1"/>
  <c r="CM172" i="4" l="1"/>
  <c r="CM180" i="4" s="1"/>
  <c r="CN152" i="4"/>
  <c r="CN154" i="4" s="1"/>
  <c r="CM155" i="4"/>
  <c r="CN169" i="4"/>
  <c r="CN170" i="4" s="1"/>
  <c r="CO163" i="4" s="1"/>
  <c r="CN167" i="4"/>
  <c r="CN168" i="4" s="1"/>
  <c r="CM179" i="4" l="1"/>
  <c r="CM156" i="4"/>
  <c r="CP162" i="4"/>
  <c r="CP164" i="4" s="1"/>
  <c r="CO165" i="4"/>
  <c r="CM183" i="4"/>
  <c r="CM184" i="4" s="1"/>
  <c r="CM181" i="4"/>
  <c r="CM182" i="4" s="1"/>
  <c r="CM159" i="4" l="1"/>
  <c r="CM160" i="4" s="1"/>
  <c r="CN153" i="4" s="1"/>
  <c r="CM157" i="4"/>
  <c r="CM158" i="4" s="1"/>
  <c r="CO166" i="4"/>
  <c r="CO169" i="4" l="1"/>
  <c r="CO170" i="4" s="1"/>
  <c r="CP163" i="4" s="1"/>
  <c r="CO167" i="4"/>
  <c r="CO168" i="4" s="1"/>
  <c r="CN155" i="4"/>
  <c r="CO152" i="4"/>
  <c r="CO154" i="4" s="1"/>
  <c r="CN156" i="4" l="1"/>
  <c r="CP165" i="4"/>
  <c r="CQ162" i="4"/>
  <c r="CQ164" i="4" s="1"/>
  <c r="CP166" i="4" l="1"/>
  <c r="CN159" i="4"/>
  <c r="CN160" i="4" s="1"/>
  <c r="CN157" i="4"/>
  <c r="CN158" i="4" s="1"/>
  <c r="CO153" i="4" l="1"/>
  <c r="CO172" i="4"/>
  <c r="CP167" i="4"/>
  <c r="CP168" i="4" s="1"/>
  <c r="CP169" i="4"/>
  <c r="CP170" i="4" s="1"/>
  <c r="CQ163" i="4" s="1"/>
  <c r="CO179" i="4" l="1"/>
  <c r="CO180" i="4"/>
  <c r="CQ165" i="4"/>
  <c r="CR162" i="4"/>
  <c r="CR164" i="4" s="1"/>
  <c r="CP152" i="4"/>
  <c r="CP154" i="4" s="1"/>
  <c r="CO155" i="4"/>
  <c r="CQ166" i="4" l="1"/>
  <c r="CO156" i="4"/>
  <c r="CO181" i="4"/>
  <c r="CO182" i="4" s="1"/>
  <c r="CO183" i="4"/>
  <c r="CO184" i="4" s="1"/>
  <c r="CO157" i="4" l="1"/>
  <c r="CO159" i="4"/>
  <c r="CO160" i="4" s="1"/>
  <c r="CP153" i="4" s="1"/>
  <c r="CO158" i="4"/>
  <c r="CQ167" i="4"/>
  <c r="CQ168" i="4" s="1"/>
  <c r="CQ169" i="4"/>
  <c r="CQ170" i="4" s="1"/>
  <c r="CR163" i="4" s="1"/>
  <c r="CQ152" i="4" l="1"/>
  <c r="CQ154" i="4" s="1"/>
  <c r="CP155" i="4"/>
  <c r="CR165" i="4"/>
  <c r="CS162" i="4"/>
  <c r="CS164" i="4" s="1"/>
  <c r="CP172" i="4"/>
  <c r="CR166" i="4" l="1"/>
  <c r="CP156" i="4"/>
  <c r="CP180" i="4"/>
  <c r="CP179" i="4"/>
  <c r="CP157" i="4" l="1"/>
  <c r="CP158" i="4" s="1"/>
  <c r="CP159" i="4"/>
  <c r="CP160" i="4" s="1"/>
  <c r="CQ153" i="4" s="1"/>
  <c r="CP183" i="4"/>
  <c r="CP184" i="4" s="1"/>
  <c r="CP181" i="4"/>
  <c r="CP182" i="4" s="1"/>
  <c r="CR169" i="4"/>
  <c r="CR170" i="4" s="1"/>
  <c r="CS163" i="4" s="1"/>
  <c r="CR167" i="4"/>
  <c r="CR168" i="4" s="1"/>
  <c r="CQ172" i="4" l="1"/>
  <c r="CQ180" i="4" s="1"/>
  <c r="CT162" i="4"/>
  <c r="CT164" i="4" s="1"/>
  <c r="CS165" i="4"/>
  <c r="CR152" i="4"/>
  <c r="CR154" i="4" s="1"/>
  <c r="CQ155" i="4"/>
  <c r="CQ179" i="4" l="1"/>
  <c r="CQ183" i="4" s="1"/>
  <c r="CQ184" i="4" s="1"/>
  <c r="CQ181" i="4"/>
  <c r="CQ182" i="4" s="1"/>
  <c r="CS166" i="4"/>
  <c r="CQ156" i="4"/>
  <c r="CS169" i="4" l="1"/>
  <c r="CS170" i="4" s="1"/>
  <c r="CT163" i="4" s="1"/>
  <c r="CS167" i="4"/>
  <c r="CS168" i="4" s="1"/>
  <c r="CQ159" i="4"/>
  <c r="CQ160" i="4" s="1"/>
  <c r="CR153" i="4" s="1"/>
  <c r="CQ157" i="4"/>
  <c r="CQ158" i="4" s="1"/>
  <c r="CT165" i="4" l="1"/>
  <c r="CU162" i="4"/>
  <c r="CU164" i="4" s="1"/>
  <c r="CR155" i="4"/>
  <c r="CS152" i="4"/>
  <c r="CS154" i="4" s="1"/>
  <c r="CR172" i="4"/>
  <c r="CR156" i="4" l="1"/>
  <c r="CR179" i="4"/>
  <c r="CR180" i="4"/>
  <c r="CT166" i="4"/>
  <c r="CR181" i="4" l="1"/>
  <c r="CR182" i="4" s="1"/>
  <c r="CT169" i="4"/>
  <c r="CT170" i="4" s="1"/>
  <c r="CU163" i="4" s="1"/>
  <c r="CT167" i="4"/>
  <c r="CT168" i="4" s="1"/>
  <c r="CR183" i="4"/>
  <c r="CR184" i="4" s="1"/>
  <c r="CR159" i="4"/>
  <c r="CR160" i="4" s="1"/>
  <c r="CS153" i="4" s="1"/>
  <c r="CR157" i="4"/>
  <c r="CR158" i="4" s="1"/>
  <c r="CU172" i="4" l="1"/>
  <c r="CS172" i="4"/>
  <c r="CU165" i="4"/>
  <c r="CV162" i="4"/>
  <c r="CV164" i="4" s="1"/>
  <c r="CT152" i="4"/>
  <c r="CT154" i="4" s="1"/>
  <c r="CS155" i="4"/>
  <c r="CS156" i="4" l="1"/>
  <c r="CS180" i="4"/>
  <c r="CS179" i="4"/>
  <c r="CU166" i="4"/>
  <c r="CU179" i="4"/>
  <c r="CU180" i="4"/>
  <c r="CS183" i="4" l="1"/>
  <c r="CS184" i="4" s="1"/>
  <c r="CU183" i="4"/>
  <c r="CU184" i="4" s="1"/>
  <c r="CU181" i="4"/>
  <c r="CU182" i="4" s="1"/>
  <c r="CS181" i="4"/>
  <c r="CS182" i="4" s="1"/>
  <c r="CU167" i="4"/>
  <c r="CU168" i="4" s="1"/>
  <c r="CU169" i="4"/>
  <c r="CU170" i="4" s="1"/>
  <c r="CV163" i="4" s="1"/>
  <c r="CS157" i="4"/>
  <c r="CS158" i="4" s="1"/>
  <c r="CS159" i="4"/>
  <c r="CS160" i="4" s="1"/>
  <c r="CT153" i="4" s="1"/>
  <c r="CU152" i="4" l="1"/>
  <c r="CU154" i="4" s="1"/>
  <c r="CT155" i="4"/>
  <c r="CV165" i="4"/>
  <c r="CW162" i="4"/>
  <c r="CW164" i="4" s="1"/>
  <c r="CT172" i="4"/>
  <c r="CV166" i="4" l="1"/>
  <c r="CT156" i="4"/>
  <c r="CT179" i="4"/>
  <c r="CT180" i="4"/>
  <c r="CT181" i="4" l="1"/>
  <c r="CT182" i="4" s="1"/>
  <c r="CT157" i="4"/>
  <c r="CT158" i="4" s="1"/>
  <c r="CT159" i="4"/>
  <c r="CT160" i="4" s="1"/>
  <c r="CU153" i="4" s="1"/>
  <c r="CT183" i="4"/>
  <c r="CT184" i="4" s="1"/>
  <c r="CV167" i="4"/>
  <c r="CV168" i="4" s="1"/>
  <c r="CV169" i="4"/>
  <c r="CV170" i="4" s="1"/>
  <c r="CW163" i="4" s="1"/>
  <c r="CW165" i="4" l="1"/>
  <c r="CX162" i="4"/>
  <c r="CX164" i="4" s="1"/>
  <c r="CU155" i="4"/>
  <c r="CV152" i="4"/>
  <c r="CV154" i="4" s="1"/>
  <c r="CU156" i="4" l="1"/>
  <c r="CW166" i="4"/>
  <c r="CW169" i="4" l="1"/>
  <c r="CW170" i="4" s="1"/>
  <c r="CX163" i="4" s="1"/>
  <c r="CW167" i="4"/>
  <c r="CW168" i="4" s="1"/>
  <c r="CU159" i="4"/>
  <c r="CU160" i="4" s="1"/>
  <c r="CU157" i="4"/>
  <c r="CU158" i="4" s="1"/>
  <c r="CV153" i="4" l="1"/>
  <c r="CV172" i="4"/>
  <c r="CX165" i="4"/>
  <c r="CY162" i="4"/>
  <c r="CY164" i="4" s="1"/>
  <c r="CX166" i="4" l="1"/>
  <c r="CV179" i="4"/>
  <c r="CV180" i="4"/>
  <c r="CW152" i="4"/>
  <c r="CW154" i="4" s="1"/>
  <c r="CV155" i="4"/>
  <c r="CV181" i="4" l="1"/>
  <c r="CV182" i="4" s="1"/>
  <c r="CX167" i="4"/>
  <c r="CX168" i="4" s="1"/>
  <c r="CX169" i="4"/>
  <c r="CX170" i="4" s="1"/>
  <c r="CY163" i="4" s="1"/>
  <c r="CV183" i="4"/>
  <c r="CV184" i="4" s="1"/>
  <c r="CV156" i="4"/>
  <c r="CV159" i="4" l="1"/>
  <c r="CV160" i="4" s="1"/>
  <c r="CW153" i="4" s="1"/>
  <c r="CV157" i="4"/>
  <c r="CV158" i="4" s="1"/>
  <c r="CY165" i="4"/>
  <c r="CZ162" i="4"/>
  <c r="CZ164" i="4" s="1"/>
  <c r="CX152" i="4" l="1"/>
  <c r="CX154" i="4" s="1"/>
  <c r="CW155" i="4"/>
  <c r="CY166" i="4"/>
  <c r="CW172" i="4"/>
  <c r="CY169" i="4" l="1"/>
  <c r="CY170" i="4" s="1"/>
  <c r="CZ163" i="4" s="1"/>
  <c r="CY167" i="4"/>
  <c r="CY168" i="4" s="1"/>
  <c r="CW156" i="4"/>
  <c r="CW180" i="4"/>
  <c r="CW179" i="4"/>
  <c r="CW183" i="4" l="1"/>
  <c r="CW184" i="4" s="1"/>
  <c r="CZ165" i="4"/>
  <c r="DA162" i="4"/>
  <c r="DA164" i="4" s="1"/>
  <c r="CW181" i="4"/>
  <c r="CW182" i="4" s="1"/>
  <c r="CW157" i="4"/>
  <c r="CW158" i="4" s="1"/>
  <c r="CW159" i="4"/>
  <c r="CW160" i="4" s="1"/>
  <c r="CX153" i="4" s="1"/>
  <c r="CY152" i="4" l="1"/>
  <c r="CY154" i="4" s="1"/>
  <c r="CX155" i="4"/>
  <c r="CZ166" i="4"/>
  <c r="CX172" i="4"/>
  <c r="CX156" i="4" l="1"/>
  <c r="CZ169" i="4"/>
  <c r="CZ170" i="4" s="1"/>
  <c r="DA163" i="4" s="1"/>
  <c r="CZ167" i="4"/>
  <c r="CZ168" i="4" s="1"/>
  <c r="CX179" i="4"/>
  <c r="CX180" i="4"/>
  <c r="DB162" i="4" l="1"/>
  <c r="DB164" i="4" s="1"/>
  <c r="DA165" i="4"/>
  <c r="CX181" i="4"/>
  <c r="CX182" i="4" s="1"/>
  <c r="CX183" i="4"/>
  <c r="CX184" i="4" s="1"/>
  <c r="CX157" i="4"/>
  <c r="CX158" i="4" s="1"/>
  <c r="CX159" i="4"/>
  <c r="CX160" i="4" s="1"/>
  <c r="CY153" i="4" s="1"/>
  <c r="CY172" i="4" l="1"/>
  <c r="CY179" i="4" s="1"/>
  <c r="DA166" i="4"/>
  <c r="CZ152" i="4"/>
  <c r="CZ154" i="4" s="1"/>
  <c r="CY155" i="4"/>
  <c r="CY180" i="4" l="1"/>
  <c r="CY181" i="4" s="1"/>
  <c r="CY182" i="4" s="1"/>
  <c r="DA167" i="4"/>
  <c r="DA168" i="4" s="1"/>
  <c r="DA169" i="4"/>
  <c r="DA170" i="4" s="1"/>
  <c r="DB163" i="4" s="1"/>
  <c r="CY156" i="4"/>
  <c r="CY183" i="4"/>
  <c r="CY184" i="4" s="1"/>
  <c r="DC162" i="4" l="1"/>
  <c r="DC164" i="4" s="1"/>
  <c r="DB165" i="4"/>
  <c r="CY157" i="4"/>
  <c r="CY158" i="4" s="1"/>
  <c r="CY159" i="4"/>
  <c r="CY160" i="4" s="1"/>
  <c r="CZ153" i="4" s="1"/>
  <c r="DB166" i="4" l="1"/>
  <c r="CZ155" i="4"/>
  <c r="DA152" i="4"/>
  <c r="DA154" i="4" s="1"/>
  <c r="DB172" i="4"/>
  <c r="CZ172" i="4"/>
  <c r="CZ180" i="4" l="1"/>
  <c r="CZ179" i="4"/>
  <c r="DB169" i="4"/>
  <c r="DB170" i="4" s="1"/>
  <c r="DC163" i="4" s="1"/>
  <c r="DB167" i="4"/>
  <c r="DB168" i="4" s="1"/>
  <c r="CZ156" i="4"/>
  <c r="DB180" i="4"/>
  <c r="DB179" i="4"/>
  <c r="DB181" i="4" l="1"/>
  <c r="DB182" i="4" s="1"/>
  <c r="DD162" i="4"/>
  <c r="DD164" i="4" s="1"/>
  <c r="DC165" i="4"/>
  <c r="CZ183" i="4"/>
  <c r="CZ184" i="4" s="1"/>
  <c r="CZ159" i="4"/>
  <c r="CZ160" i="4" s="1"/>
  <c r="DA153" i="4" s="1"/>
  <c r="CZ157" i="4"/>
  <c r="CZ158" i="4" s="1"/>
  <c r="DB183" i="4"/>
  <c r="DB184" i="4" s="1"/>
  <c r="CZ181" i="4"/>
  <c r="CZ182" i="4" s="1"/>
  <c r="DC166" i="4" l="1"/>
  <c r="DA155" i="4"/>
  <c r="DB152" i="4"/>
  <c r="DB154" i="4" s="1"/>
  <c r="DA172" i="4"/>
  <c r="DC169" i="4" l="1"/>
  <c r="DC170" i="4" s="1"/>
  <c r="DD163" i="4" s="1"/>
  <c r="DC167" i="4"/>
  <c r="DC168" i="4" s="1"/>
  <c r="DA156" i="4"/>
  <c r="DA180" i="4"/>
  <c r="DA179" i="4"/>
  <c r="DA181" i="4" l="1"/>
  <c r="DA182" i="4" s="1"/>
  <c r="DA159" i="4"/>
  <c r="DA160" i="4" s="1"/>
  <c r="DB153" i="4" s="1"/>
  <c r="DA157" i="4"/>
  <c r="DA158" i="4" s="1"/>
  <c r="DA183" i="4"/>
  <c r="DA184" i="4" s="1"/>
  <c r="DE162" i="4"/>
  <c r="DE164" i="4" s="1"/>
  <c r="DD165" i="4"/>
  <c r="DB155" i="4" l="1"/>
  <c r="DC152" i="4"/>
  <c r="DC154" i="4" s="1"/>
  <c r="DD166" i="4"/>
  <c r="DD167" i="4" l="1"/>
  <c r="DD169" i="4"/>
  <c r="DD170" i="4" s="1"/>
  <c r="DE163" i="4" s="1"/>
  <c r="DD168" i="4"/>
  <c r="DB156" i="4"/>
  <c r="DE165" i="4" l="1"/>
  <c r="DF162" i="4"/>
  <c r="DF164" i="4" s="1"/>
  <c r="DB157" i="4"/>
  <c r="DB158" i="4" s="1"/>
  <c r="DB159" i="4"/>
  <c r="DB160" i="4" s="1"/>
  <c r="DC153" i="4" l="1"/>
  <c r="DC172" i="4"/>
  <c r="DE166" i="4"/>
  <c r="DC180" i="4" l="1"/>
  <c r="DC179" i="4"/>
  <c r="DE167" i="4"/>
  <c r="DE168" i="4" s="1"/>
  <c r="DE169" i="4"/>
  <c r="DE170" i="4" s="1"/>
  <c r="DF163" i="4" s="1"/>
  <c r="DC155" i="4"/>
  <c r="DD152" i="4"/>
  <c r="DD154" i="4" s="1"/>
  <c r="DC156" i="4" l="1"/>
  <c r="DC183" i="4"/>
  <c r="DC184" i="4" s="1"/>
  <c r="DF165" i="4"/>
  <c r="DG162" i="4"/>
  <c r="DG164" i="4" s="1"/>
  <c r="DC181" i="4"/>
  <c r="DC182" i="4" s="1"/>
  <c r="DF166" i="4" l="1"/>
  <c r="DC159" i="4"/>
  <c r="DC160" i="4" s="1"/>
  <c r="DD153" i="4" s="1"/>
  <c r="DC157" i="4"/>
  <c r="DC158" i="4" s="1"/>
  <c r="DF167" i="4" l="1"/>
  <c r="DF168" i="4" s="1"/>
  <c r="DF169" i="4"/>
  <c r="DF170" i="4" s="1"/>
  <c r="DG163" i="4" s="1"/>
  <c r="DE152" i="4"/>
  <c r="DE154" i="4" s="1"/>
  <c r="DD155" i="4"/>
  <c r="DD172" i="4"/>
  <c r="DH162" i="4" l="1"/>
  <c r="DH164" i="4" s="1"/>
  <c r="DG165" i="4"/>
  <c r="DD180" i="4"/>
  <c r="DD179" i="4"/>
  <c r="DD156" i="4"/>
  <c r="DD183" i="4" l="1"/>
  <c r="DD184" i="4" s="1"/>
  <c r="DG166" i="4"/>
  <c r="DD181" i="4"/>
  <c r="DD182" i="4" s="1"/>
  <c r="DD157" i="4"/>
  <c r="DD158" i="4" s="1"/>
  <c r="DD159" i="4"/>
  <c r="DD160" i="4" s="1"/>
  <c r="DE153" i="4" s="1"/>
  <c r="DG167" i="4" l="1"/>
  <c r="DG168" i="4" s="1"/>
  <c r="DG169" i="4"/>
  <c r="DG170" i="4" s="1"/>
  <c r="DH163" i="4" s="1"/>
  <c r="DE172" i="4"/>
  <c r="DF152" i="4"/>
  <c r="DF154" i="4" s="1"/>
  <c r="DE155" i="4"/>
  <c r="DE179" i="4" l="1"/>
  <c r="DE180" i="4"/>
  <c r="DI162" i="4"/>
  <c r="DI164" i="4" s="1"/>
  <c r="DH165" i="4"/>
  <c r="DE156" i="4"/>
  <c r="DE181" i="4" l="1"/>
  <c r="DE182" i="4" s="1"/>
  <c r="DH166" i="4"/>
  <c r="DE157" i="4"/>
  <c r="DE158" i="4" s="1"/>
  <c r="DE159" i="4"/>
  <c r="DE160" i="4" s="1"/>
  <c r="DF153" i="4" s="1"/>
  <c r="DE183" i="4"/>
  <c r="DE184" i="4" s="1"/>
  <c r="DF172" i="4" l="1"/>
  <c r="DF179" i="4" s="1"/>
  <c r="DF155" i="4"/>
  <c r="DG152" i="4"/>
  <c r="DG154" i="4" s="1"/>
  <c r="DH167" i="4"/>
  <c r="DH168" i="4" s="1"/>
  <c r="DH169" i="4"/>
  <c r="DH170" i="4" s="1"/>
  <c r="DI163" i="4" s="1"/>
  <c r="DF180" i="4" l="1"/>
  <c r="DF181" i="4" s="1"/>
  <c r="DF182" i="4" s="1"/>
  <c r="DF156" i="4"/>
  <c r="DJ162" i="4"/>
  <c r="DJ164" i="4" s="1"/>
  <c r="DI165" i="4"/>
  <c r="DF183" i="4"/>
  <c r="DF184" i="4" s="1"/>
  <c r="DI166" i="4" l="1"/>
  <c r="DF157" i="4"/>
  <c r="DF158" i="4" s="1"/>
  <c r="DF159" i="4"/>
  <c r="DF160" i="4" s="1"/>
  <c r="DG153" i="4" s="1"/>
  <c r="DG155" i="4" l="1"/>
  <c r="DH152" i="4"/>
  <c r="DH154" i="4" s="1"/>
  <c r="DI172" i="4"/>
  <c r="DI167" i="4"/>
  <c r="DI168" i="4" s="1"/>
  <c r="DI169" i="4"/>
  <c r="DI170" i="4" s="1"/>
  <c r="DJ163" i="4" s="1"/>
  <c r="DG172" i="4"/>
  <c r="DI179" i="4" l="1"/>
  <c r="DI180" i="4"/>
  <c r="DG180" i="4"/>
  <c r="DG179" i="4"/>
  <c r="DK162" i="4"/>
  <c r="DK164" i="4" s="1"/>
  <c r="DJ165" i="4"/>
  <c r="DG156" i="4"/>
  <c r="DG159" i="4" l="1"/>
  <c r="DG160" i="4" s="1"/>
  <c r="DH153" i="4" s="1"/>
  <c r="DG157" i="4"/>
  <c r="DG158" i="4" s="1"/>
  <c r="DI181" i="4"/>
  <c r="DI182" i="4" s="1"/>
  <c r="DG183" i="4"/>
  <c r="DG184" i="4" s="1"/>
  <c r="DG181" i="4"/>
  <c r="DG182" i="4" s="1"/>
  <c r="DJ166" i="4"/>
  <c r="DI183" i="4"/>
  <c r="DI184" i="4" s="1"/>
  <c r="DH172" i="4" l="1"/>
  <c r="DH180" i="4" s="1"/>
  <c r="DJ169" i="4"/>
  <c r="DJ170" i="4" s="1"/>
  <c r="DK163" i="4" s="1"/>
  <c r="DJ167" i="4"/>
  <c r="DJ168" i="4" s="1"/>
  <c r="DH155" i="4"/>
  <c r="DI152" i="4"/>
  <c r="DI154" i="4" s="1"/>
  <c r="DH179" i="4" l="1"/>
  <c r="DH156" i="4"/>
  <c r="DK165" i="4"/>
  <c r="DL162" i="4"/>
  <c r="DL164" i="4" s="1"/>
  <c r="DH183" i="4"/>
  <c r="DH184" i="4" s="1"/>
  <c r="DH181" i="4"/>
  <c r="DH182" i="4" s="1"/>
  <c r="DK166" i="4" l="1"/>
  <c r="DH159" i="4"/>
  <c r="DH160" i="4" s="1"/>
  <c r="DI153" i="4" s="1"/>
  <c r="DH157" i="4"/>
  <c r="DH158" i="4" s="1"/>
  <c r="DK167" i="4" l="1"/>
  <c r="DK168" i="4" s="1"/>
  <c r="DK169" i="4"/>
  <c r="DK170" i="4" s="1"/>
  <c r="DL163" i="4" s="1"/>
  <c r="DJ152" i="4"/>
  <c r="DJ154" i="4" s="1"/>
  <c r="DI155" i="4"/>
  <c r="DL165" i="4" l="1"/>
  <c r="DM162" i="4"/>
  <c r="DM164" i="4" s="1"/>
  <c r="DI156" i="4"/>
  <c r="DI157" i="4" l="1"/>
  <c r="DI158" i="4" s="1"/>
  <c r="DI159" i="4"/>
  <c r="DI160" i="4" s="1"/>
  <c r="DL166" i="4"/>
  <c r="DL169" i="4" l="1"/>
  <c r="DL170" i="4" s="1"/>
  <c r="DM163" i="4" s="1"/>
  <c r="DL167" i="4"/>
  <c r="DL168" i="4" s="1"/>
  <c r="DJ153" i="4"/>
  <c r="DJ172" i="4"/>
  <c r="DJ155" i="4" l="1"/>
  <c r="DK152" i="4"/>
  <c r="DK154" i="4" s="1"/>
  <c r="DJ180" i="4"/>
  <c r="DJ179" i="4"/>
  <c r="DN162" i="4"/>
  <c r="DN164" i="4" s="1"/>
  <c r="DM165" i="4"/>
  <c r="DJ183" i="4" l="1"/>
  <c r="DJ184" i="4" s="1"/>
  <c r="DJ181" i="4"/>
  <c r="DJ182" i="4" s="1"/>
  <c r="DM166" i="4"/>
  <c r="DJ156" i="4"/>
  <c r="DJ159" i="4" l="1"/>
  <c r="DJ160" i="4" s="1"/>
  <c r="DK153" i="4" s="1"/>
  <c r="DJ157" i="4"/>
  <c r="DJ158" i="4" s="1"/>
  <c r="DM169" i="4"/>
  <c r="DM170" i="4" s="1"/>
  <c r="DN163" i="4" s="1"/>
  <c r="DM167" i="4"/>
  <c r="DM168" i="4" s="1"/>
  <c r="DK155" i="4" l="1"/>
  <c r="DL152" i="4"/>
  <c r="DL154" i="4" s="1"/>
  <c r="DO162" i="4"/>
  <c r="DO164" i="4" s="1"/>
  <c r="DN165" i="4"/>
  <c r="DK172" i="4"/>
  <c r="DN166" i="4" l="1"/>
  <c r="DK179" i="4"/>
  <c r="DK180" i="4"/>
  <c r="DK156" i="4"/>
  <c r="DK181" i="4" l="1"/>
  <c r="DK182" i="4" s="1"/>
  <c r="DK159" i="4"/>
  <c r="DK160" i="4" s="1"/>
  <c r="DL153" i="4" s="1"/>
  <c r="DK157" i="4"/>
  <c r="DK158" i="4" s="1"/>
  <c r="DK183" i="4"/>
  <c r="DK184" i="4" s="1"/>
  <c r="DN169" i="4"/>
  <c r="DN170" i="4" s="1"/>
  <c r="DO163" i="4" s="1"/>
  <c r="DN167" i="4"/>
  <c r="DN168" i="4" s="1"/>
  <c r="DL155" i="4" l="1"/>
  <c r="DM152" i="4"/>
  <c r="DM154" i="4" s="1"/>
  <c r="DP162" i="4"/>
  <c r="DP164" i="4" s="1"/>
  <c r="DO165" i="4"/>
  <c r="DL172" i="4"/>
  <c r="DO166" i="4" l="1"/>
  <c r="DL180" i="4"/>
  <c r="DL179" i="4"/>
  <c r="DL156" i="4"/>
  <c r="DL183" i="4" l="1"/>
  <c r="DL184" i="4" s="1"/>
  <c r="DL157" i="4"/>
  <c r="DL158" i="4" s="1"/>
  <c r="DL159" i="4"/>
  <c r="DL160" i="4" s="1"/>
  <c r="DM153" i="4" s="1"/>
  <c r="DL181" i="4"/>
  <c r="DL182" i="4" s="1"/>
  <c r="DO169" i="4"/>
  <c r="DO170" i="4" s="1"/>
  <c r="DP163" i="4" s="1"/>
  <c r="DO167" i="4"/>
  <c r="DO168" i="4" s="1"/>
  <c r="DM172" i="4" l="1"/>
  <c r="DM180" i="4" s="1"/>
  <c r="DP165" i="4"/>
  <c r="DQ162" i="4"/>
  <c r="DQ164" i="4" s="1"/>
  <c r="DM155" i="4"/>
  <c r="DN152" i="4"/>
  <c r="DN154" i="4" s="1"/>
  <c r="DM179" i="4" l="1"/>
  <c r="DP166" i="4"/>
  <c r="DM183" i="4"/>
  <c r="DM184" i="4" s="1"/>
  <c r="DM156" i="4"/>
  <c r="DM181" i="4"/>
  <c r="DM182" i="4" s="1"/>
  <c r="DM157" i="4" l="1"/>
  <c r="DM158" i="4" s="1"/>
  <c r="DM159" i="4"/>
  <c r="DM160" i="4" s="1"/>
  <c r="DN153" i="4" s="1"/>
  <c r="DP169" i="4"/>
  <c r="DP170" i="4" s="1"/>
  <c r="DQ163" i="4" s="1"/>
  <c r="DP167" i="4"/>
  <c r="DP168" i="4" s="1"/>
  <c r="DN155" i="4" l="1"/>
  <c r="DO152" i="4"/>
  <c r="DO154" i="4" s="1"/>
  <c r="DR162" i="4"/>
  <c r="DR164" i="4" s="1"/>
  <c r="DQ165" i="4"/>
  <c r="DN172" i="4"/>
  <c r="DP172" i="4"/>
  <c r="DQ166" i="4" l="1"/>
  <c r="DP179" i="4"/>
  <c r="DP180" i="4"/>
  <c r="DN179" i="4"/>
  <c r="DN180" i="4"/>
  <c r="DN156" i="4"/>
  <c r="DP181" i="4" l="1"/>
  <c r="DP182" i="4" s="1"/>
  <c r="DN181" i="4"/>
  <c r="DN182" i="4" s="1"/>
  <c r="DN157" i="4"/>
  <c r="DN158" i="4" s="1"/>
  <c r="DN159" i="4"/>
  <c r="DN160" i="4" s="1"/>
  <c r="DO153" i="4" s="1"/>
  <c r="DP183" i="4"/>
  <c r="DP184" i="4" s="1"/>
  <c r="DN183" i="4"/>
  <c r="DN184" i="4" s="1"/>
  <c r="DQ169" i="4"/>
  <c r="DQ170" i="4" s="1"/>
  <c r="DR163" i="4" s="1"/>
  <c r="DQ167" i="4"/>
  <c r="DQ168" i="4" s="1"/>
  <c r="DO172" i="4" l="1"/>
  <c r="DO179" i="4" s="1"/>
  <c r="DO155" i="4"/>
  <c r="DP152" i="4"/>
  <c r="DP154" i="4" s="1"/>
  <c r="DS162" i="4"/>
  <c r="DS164" i="4" s="1"/>
  <c r="DR165" i="4"/>
  <c r="DO180" i="4" l="1"/>
  <c r="DO156" i="4"/>
  <c r="DO181" i="4"/>
  <c r="DO182" i="4" s="1"/>
  <c r="DR166" i="4"/>
  <c r="DO183" i="4"/>
  <c r="DO184" i="4" s="1"/>
  <c r="DR167" i="4" l="1"/>
  <c r="DR168" i="4" s="1"/>
  <c r="DR169" i="4"/>
  <c r="DR170" i="4" s="1"/>
  <c r="DS163" i="4" s="1"/>
  <c r="DS165" i="4" s="1"/>
  <c r="DO159" i="4"/>
  <c r="DO160" i="4" s="1"/>
  <c r="DP153" i="4" s="1"/>
  <c r="DO157" i="4"/>
  <c r="DO158" i="4" s="1"/>
  <c r="DS166" i="4" l="1"/>
  <c r="DP155" i="4"/>
  <c r="DQ152" i="4"/>
  <c r="DQ154" i="4" s="1"/>
  <c r="DP156" i="4" l="1"/>
  <c r="DS169" i="4"/>
  <c r="DS170" i="4" s="1"/>
  <c r="DS167" i="4"/>
  <c r="DS168" i="4" s="1"/>
  <c r="DP159" i="4" l="1"/>
  <c r="DP160" i="4" s="1"/>
  <c r="DP157" i="4"/>
  <c r="DP158" i="4" s="1"/>
  <c r="DQ153" i="4" l="1"/>
  <c r="DQ172" i="4"/>
  <c r="DQ180" i="4" l="1"/>
  <c r="DQ179" i="4"/>
  <c r="DQ155" i="4"/>
  <c r="DR152" i="4"/>
  <c r="DR154" i="4" s="1"/>
  <c r="DQ183" i="4" l="1"/>
  <c r="DQ184" i="4" s="1"/>
  <c r="DQ156" i="4"/>
  <c r="DQ181" i="4"/>
  <c r="DQ182" i="4" s="1"/>
  <c r="DQ157" i="4" l="1"/>
  <c r="DQ158" i="4" s="1"/>
  <c r="DQ159" i="4"/>
  <c r="DQ160" i="4" s="1"/>
  <c r="DR153" i="4" s="1"/>
  <c r="DS152" i="4" l="1"/>
  <c r="DS154" i="4" s="1"/>
  <c r="DR155" i="4"/>
  <c r="DR172" i="4"/>
  <c r="DR179" i="4" l="1"/>
  <c r="DR180" i="4"/>
  <c r="DR156" i="4"/>
  <c r="DR181" i="4" l="1"/>
  <c r="DR182" i="4" s="1"/>
  <c r="DR157" i="4"/>
  <c r="DR158" i="4" s="1"/>
  <c r="DR159" i="4"/>
  <c r="DR160" i="4" s="1"/>
  <c r="DS153" i="4" s="1"/>
  <c r="DS155" i="4" s="1"/>
  <c r="DR183" i="4"/>
  <c r="DR184" i="4" s="1"/>
  <c r="DS172" i="4" l="1"/>
  <c r="DS180" i="4" s="1"/>
  <c r="DS156" i="4"/>
  <c r="DS179" i="4" l="1"/>
  <c r="DS183" i="4"/>
  <c r="DS184" i="4" s="1"/>
  <c r="DS159" i="4"/>
  <c r="DS160" i="4" s="1"/>
  <c r="DS157" i="4"/>
  <c r="DS158" i="4" s="1"/>
  <c r="DS181" i="4"/>
  <c r="DS182" i="4" s="1"/>
</calcChain>
</file>

<file path=xl/sharedStrings.xml><?xml version="1.0" encoding="utf-8"?>
<sst xmlns="http://schemas.openxmlformats.org/spreadsheetml/2006/main" count="574" uniqueCount="149">
  <si>
    <t>gst</t>
  </si>
  <si>
    <t>fx</t>
  </si>
  <si>
    <t>Prepaid expense</t>
  </si>
  <si>
    <t>preliminary exp</t>
  </si>
  <si>
    <t>Professional fees (TPC) – Trust Deed and IM =SGD51,500 +SGD500 disbursement +7% GST</t>
  </si>
  <si>
    <t>Legal (PWC) – FACTA/CRS Transaction form = SGD1,800 + 1% admin charge +7% GST</t>
  </si>
  <si>
    <t>Legal (PWC) -Tax Analysis + Documents review=SGD9,000+ SGD4,000 +7% GST</t>
  </si>
  <si>
    <t>Professional fees (SLB): SGD23,000 + SGD1500 disbursement + 7% GST</t>
  </si>
  <si>
    <t>LEI application (PPT) = USD65</t>
  </si>
  <si>
    <t>Trustee - One time inception fees per fund= SGD2,500.00+SGD100Disbursement per fund +7% GST</t>
  </si>
  <si>
    <t>GST SGD</t>
  </si>
  <si>
    <t>Accruals</t>
  </si>
  <si>
    <t>Audit Fees</t>
  </si>
  <si>
    <t xml:space="preserve">AFGOPF =SGD13,000+7% GST </t>
  </si>
  <si>
    <r>
      <t xml:space="preserve">Year End Financial Statements </t>
    </r>
    <r>
      <rPr>
        <b/>
        <sz val="9"/>
        <color theme="1"/>
        <rFont val="Arial"/>
        <family val="2"/>
      </rPr>
      <t> </t>
    </r>
  </si>
  <si>
    <t>Year End Financial Statements = USD2,000</t>
  </si>
  <si>
    <t>Fund Administration Fee</t>
  </si>
  <si>
    <t>Daily Fund (Series Accounting)
Higher of the minimum fees or fees calculated using the fund accounting fees rate divided by 12
Minimum Fee: USD4,500.00 7 bps (1st USD100million per fund)
6bps (Next USD100million to USD200million per fund)
3bps ( USD200million onwards)</t>
  </si>
  <si>
    <t>Transfer Agency Fees</t>
  </si>
  <si>
    <t>USD500.00 per reporting data set</t>
  </si>
  <si>
    <t xml:space="preserve">Trustee’s Fees </t>
  </si>
  <si>
    <t>0.025% per annum of the GAV per fund. Subjected to minimum of SGD25,000.00 per annum</t>
  </si>
  <si>
    <t>GST USD</t>
  </si>
  <si>
    <t>Management Fee</t>
  </si>
  <si>
    <t>1.5% Class A only</t>
  </si>
  <si>
    <t>Custody Fee</t>
  </si>
  <si>
    <r>
      <t>Expense off upon payment till further notice</t>
    </r>
    <r>
      <rPr>
        <sz val="9"/>
        <color theme="1"/>
        <rFont val="Arial"/>
        <family val="2"/>
      </rPr>
      <t xml:space="preserve">. </t>
    </r>
  </si>
  <si>
    <t>Expenses</t>
  </si>
  <si>
    <t>Description</t>
  </si>
  <si>
    <t>Fees</t>
  </si>
  <si>
    <t>Comments</t>
  </si>
  <si>
    <t>AFGLOF / AFGOPF</t>
  </si>
  <si>
    <t>Class A and B</t>
  </si>
  <si>
    <t xml:space="preserve">Maximum 2% </t>
  </si>
  <si>
    <r>
      <t>For one time inception fees per fund, please advise the accrual period.</t>
    </r>
    <r>
      <rPr>
        <sz val="9"/>
        <color theme="1"/>
        <rFont val="Arial"/>
        <family val="2"/>
      </rPr>
      <t xml:space="preserve"> 5years (Establishment fees - Preliminary expense)</t>
    </r>
  </si>
  <si>
    <t>0.025% per annum of the GAV per fund</t>
  </si>
  <si>
    <t>Subjected to minimum of SGD25,000.00 per annum</t>
  </si>
  <si>
    <t>SGD2,500.00+SGD100Disbursement per fund +7% GST</t>
  </si>
  <si>
    <t>One time inception fees per fund</t>
  </si>
  <si>
    <t xml:space="preserve">AFGLOF / AFGOPF </t>
  </si>
  <si>
    <r>
      <t>This will be accrued on a daily basis.</t>
    </r>
    <r>
      <rPr>
        <sz val="9"/>
        <color theme="1"/>
        <rFont val="Arial"/>
        <family val="2"/>
      </rPr>
      <t xml:space="preserve"> Noted.</t>
    </r>
  </si>
  <si>
    <t xml:space="preserve">Annual investor maintenance  per  investor/distribution </t>
  </si>
  <si>
    <t>USD100.00 per investor per annum</t>
  </si>
  <si>
    <t>Transaction fees (Subscription/Redemption/Transfer/Switches)</t>
  </si>
  <si>
    <t>USD5.00 per transaction</t>
  </si>
  <si>
    <t xml:space="preserve">Distributions </t>
  </si>
  <si>
    <t>FATCA/CRS reporting</t>
  </si>
  <si>
    <t>Accrue - monthly</t>
  </si>
  <si>
    <t>-Daily Fund (Series Accounting)</t>
  </si>
  <si>
    <r>
      <t>7 bps (1</t>
    </r>
    <r>
      <rPr>
        <vertAlign val="superscript"/>
        <sz val="9"/>
        <color theme="1"/>
        <rFont val="Arial"/>
        <family val="2"/>
      </rPr>
      <t>st</t>
    </r>
    <r>
      <rPr>
        <sz val="9"/>
        <color theme="1"/>
        <rFont val="Arial"/>
        <family val="2"/>
      </rPr>
      <t xml:space="preserve"> USD100million per fund)</t>
    </r>
  </si>
  <si>
    <t>Higher of the minimum fees or fees calculated using the fund accounting fees rate divided by 12</t>
  </si>
  <si>
    <t>6bps (Next USD100million to USD200million per fund)</t>
  </si>
  <si>
    <t>3bps ( USD200million onwards)</t>
  </si>
  <si>
    <t>Minimum Fee: USD4,500.00</t>
  </si>
  <si>
    <t xml:space="preserve">Accrue – Daily </t>
  </si>
  <si>
    <t>Preliminary expenses</t>
  </si>
  <si>
    <r>
      <t>Please advise if preliminary fees are to be allocated equally across the 2 funds</t>
    </r>
    <r>
      <rPr>
        <sz val="9"/>
        <color theme="1"/>
        <rFont val="Arial"/>
        <family val="2"/>
      </rPr>
      <t xml:space="preserve"> </t>
    </r>
    <r>
      <rPr>
        <sz val="9"/>
        <color rgb="FF00B050"/>
        <rFont val="Arial"/>
        <family val="2"/>
      </rPr>
      <t xml:space="preserve">and if they are to be amortised over 5 years. </t>
    </r>
    <r>
      <rPr>
        <sz val="9"/>
        <color theme="1"/>
        <rFont val="Arial"/>
        <family val="2"/>
      </rPr>
      <t>Yes. Allocated equally across 2 funds and amortised over 5 years.</t>
    </r>
  </si>
  <si>
    <t>(for 2 funds)</t>
  </si>
  <si>
    <t>Professional fees (TPC) – Trust Deed and IM</t>
  </si>
  <si>
    <t>SGD51,500 +SGD500 disbursement +7% GST</t>
  </si>
  <si>
    <t>SGD1,800 + 1% admin charge +7% GST</t>
  </si>
  <si>
    <t>Legal (PWC) – FACTA/CRS Transaction form</t>
  </si>
  <si>
    <t>SGD9,000+ SGD4,000 +7% GST</t>
  </si>
  <si>
    <t>Legal (PWC) -Tax Analysis + Documents review</t>
  </si>
  <si>
    <t>SGD23,000 + SGD1500 disbursement + 7% GST</t>
  </si>
  <si>
    <t xml:space="preserve">Professional fees (SLB): </t>
  </si>
  <si>
    <t>USD65</t>
  </si>
  <si>
    <t>LEI application (PPT)</t>
  </si>
  <si>
    <t>AFGLOF</t>
  </si>
  <si>
    <t xml:space="preserve">SGD11,000+7% GST </t>
  </si>
  <si>
    <t>AFGOPF</t>
  </si>
  <si>
    <t>SGD13,000+7% GST</t>
  </si>
  <si>
    <t xml:space="preserve">USD 2,000 per reporting cycle per fund </t>
  </si>
  <si>
    <t xml:space="preserve">1.5 bps </t>
  </si>
  <si>
    <r>
      <t>Expense off upon payment till further notice</t>
    </r>
    <r>
      <rPr>
        <sz val="9"/>
        <color theme="1"/>
        <rFont val="Arial"/>
        <family val="2"/>
      </rPr>
      <t>. yes</t>
    </r>
  </si>
  <si>
    <t>Other expenses</t>
  </si>
  <si>
    <t>To accrue or expense off as advised by client</t>
  </si>
  <si>
    <t>Wed</t>
  </si>
  <si>
    <t>Thu</t>
  </si>
  <si>
    <t>Fri</t>
  </si>
  <si>
    <t>Sat</t>
  </si>
  <si>
    <t>Sun</t>
  </si>
  <si>
    <t>Mon</t>
  </si>
  <si>
    <t>Tue</t>
  </si>
  <si>
    <t>FX</t>
  </si>
  <si>
    <t xml:space="preserve">AFGOPF =SGD11,000+7% GST </t>
  </si>
  <si>
    <t>Fund Services Fee</t>
  </si>
  <si>
    <t>Fund Administration Fee
Daily Fund (Series Accounting)
Higher of the minimum fees or fees calculated using the fund accounting fees rate divided by 12
Minimum Fee: USD4,500.00 7 bps (1st USD100million per fund)
6bps (Next USD100million to USD200million per fund)
3bps ( USD200million onwards)</t>
  </si>
  <si>
    <t>Portfolio Value</t>
  </si>
  <si>
    <t>Adjustment diff with Fund Admin</t>
  </si>
  <si>
    <t>CASH AT BANK (USD)</t>
  </si>
  <si>
    <t>management fee</t>
  </si>
  <si>
    <t>FX fwd P&amp;L</t>
  </si>
  <si>
    <t>Total Subscriptions</t>
  </si>
  <si>
    <t>Total P&amp;L</t>
  </si>
  <si>
    <t>P&amp;L attributed to Class A</t>
  </si>
  <si>
    <t>44459+44456</t>
  </si>
  <si>
    <t>Net P&amp;L</t>
  </si>
  <si>
    <t>P&amp;L only to Class A</t>
  </si>
  <si>
    <t>SGD Class A</t>
  </si>
  <si>
    <t>% at fund level</t>
  </si>
  <si>
    <t>% only in Class A</t>
  </si>
  <si>
    <t>P&amp;L only for Class A</t>
  </si>
  <si>
    <t>INITIAL SERIES CLASS A</t>
  </si>
  <si>
    <t>USD Class A</t>
  </si>
  <si>
    <t>USD Class B</t>
  </si>
  <si>
    <t>INITIAL SERIES CLASS B</t>
  </si>
  <si>
    <t>Final NAV</t>
  </si>
  <si>
    <t>Actual SCB NAV</t>
  </si>
  <si>
    <t>06 JUL 2018 SERIES CLASS B</t>
  </si>
  <si>
    <t>Performance</t>
  </si>
  <si>
    <t xml:space="preserve"> Ending Local NAV </t>
  </si>
  <si>
    <t>note:SC accrued1000 instead of 11000 for audit fees</t>
  </si>
  <si>
    <t>24 JUL SERIES CLASS A</t>
  </si>
  <si>
    <t>25 JUL SERIES CLASS A</t>
  </si>
  <si>
    <t>27 JUL SERIES CLASS A</t>
  </si>
  <si>
    <t>Ending Local NAV</t>
  </si>
  <si>
    <t>INITIAL SERIES CLASS A (SGD Class)</t>
  </si>
  <si>
    <t>Daily</t>
  </si>
  <si>
    <t>Weekly</t>
  </si>
  <si>
    <t>Monthly</t>
  </si>
  <si>
    <t>Max SP</t>
  </si>
  <si>
    <t>Max DD</t>
  </si>
  <si>
    <t>INITIAL SERIES CLASS A (USD Class)</t>
  </si>
  <si>
    <t>INITIAL SERIES CLASS B (USD Class)</t>
  </si>
  <si>
    <t>Portfolio Statistics</t>
  </si>
  <si>
    <t>Total Return</t>
  </si>
  <si>
    <t>A SGD</t>
  </si>
  <si>
    <t>A USD</t>
  </si>
  <si>
    <t>B SGD</t>
  </si>
  <si>
    <t>B USD</t>
  </si>
  <si>
    <t>Annualised Volatility</t>
  </si>
  <si>
    <t>Maximum Drawdown</t>
  </si>
  <si>
    <t>Recovery Period</t>
  </si>
  <si>
    <t>manual calculation!</t>
  </si>
  <si>
    <t>-</t>
  </si>
  <si>
    <t>Annualised Return</t>
  </si>
  <si>
    <t>Class A</t>
  </si>
  <si>
    <t>Class B</t>
  </si>
  <si>
    <t>Libor</t>
  </si>
  <si>
    <t>Sharpe</t>
  </si>
  <si>
    <t>FGO+FGOP AUM</t>
  </si>
  <si>
    <t>1m</t>
  </si>
  <si>
    <t>2m</t>
  </si>
  <si>
    <t>3m</t>
  </si>
  <si>
    <t>.FGO_SGDA DPF:2229 Index</t>
  </si>
  <si>
    <t>.FGO_USDB DPF:222C Index</t>
  </si>
  <si>
    <t xml:space="preserve"> 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</si>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</sst>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(* #,##0.00_);_(* \(#,##0.00\);_(* &quot;-&quot;??_);_(@_)"/>
    <numFmt numFmtId="164" formatCode="_-* #,##0.00_-;\-* #,##0.00_-;_-* &quot;-&quot;??_-;_-@_-"/>
    <numFmt numFmtId="165" formatCode="[$SGD]\ #,##0.00"/>
    <numFmt numFmtId="166" formatCode="[$USD]\ #,##0.00"/>
    <numFmt numFmtId="167" formatCode="_-* #,##0.00000_-;\-* #,##0.00000_-;_-* &quot;-&quot;??_-;_-@_-"/>
    <numFmt numFmtId="168" formatCode="#,##0.000"/>
    <numFmt numFmtId="169" formatCode="0.000"/>
    <numFmt numFmtId="170" formatCode="0.0000"/>
    <numFmt numFmtId="171" formatCode="#,##0.0"/>
    <numFmt numFmtId="172" formatCode="0.00000%"/>
    <numFmt numFmtId="173" formatCode="_(* #,##0.000_);_(* \(#,##0.000\);_(* &quot;-&quot;??_);_(@_)"/>
    <numFmt numFmtId="174" formatCode="#,##0.0000"/>
    <numFmt numFmtId="175" formatCode="0.0%"/>
    <numFmt numFmtId="176" formatCode="0.000%"/>
    <numFmt numFmtId="177" formatCode="_-* #,##0.0000_-;\-* #,##0.0000_-;_-* &quot;-&quot;??_-;_-@_-"/>
    <numFmt numFmtId="178" formatCode="_-* #,##0.000_-;\-* #,##0.000_-;_-* &quot;-&quot;??_-;_-@_-"/>
    <numFmt numFmtId="179" formatCode="#,##0.00000"/>
    <numFmt numFmtId="180" formatCode="#,##0.0000000"/>
    <numFmt numFmtId="181" formatCode="[$-409]d\-mmm\-yy;@"/>
    <numFmt numFmtId="182" formatCode="_-* #,##0.0_-;\-* #,##0.0_-;_-* &quot;-&quot;??_-;_-@_-"/>
  </numFmts>
  <fonts count="48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9"/>
      <color rgb="FF00B050"/>
      <name val="Arial"/>
      <family val="2"/>
    </font>
    <font>
      <vertAlign val="superscript"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rgb="FF00B05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color indexed="9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5700"/>
      <name val="Calibri"/>
      <family val="2"/>
    </font>
    <font>
      <b/>
      <sz val="11"/>
      <color rgb="FF3F3F3F"/>
      <name val="Calibri"/>
      <family val="2"/>
    </font>
    <font>
      <sz val="18"/>
      <color theme="3"/>
      <name val="Calibri Light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5700"/>
      <name val="Arial"/>
      <family val="2"/>
    </font>
    <font>
      <b/>
      <sz val="10"/>
      <color rgb="FF3F3F3F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0.2499465926084170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thick">
        <color theme="4" tint="0.49992370372631001"/>
      </bottom>
      <diagonal/>
    </border>
  </borders>
  <cellStyleXfs count="151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43" fontId="11" fillId="0" borderId="0" applyFill="0" applyBorder="0" applyAlignment="0" applyProtection="0"/>
    <xf numFmtId="0" fontId="14" fillId="17" borderId="0" applyNumberFormat="0" applyBorder="0" applyAlignment="0" applyProtection="0"/>
    <xf numFmtId="0" fontId="18" fillId="0" borderId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38" borderId="0" applyNumberFormat="0" applyBorder="0" applyAlignment="0" applyProtection="0"/>
    <xf numFmtId="0" fontId="11" fillId="39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42" borderId="0" applyNumberFormat="0" applyBorder="0" applyAlignment="0" applyProtection="0"/>
    <xf numFmtId="0" fontId="11" fillId="43" borderId="0" applyNumberFormat="0" applyBorder="0" applyAlignment="0" applyProtection="0"/>
    <xf numFmtId="0" fontId="11" fillId="44" borderId="0" applyNumberFormat="0" applyBorder="0" applyAlignment="0" applyProtection="0"/>
    <xf numFmtId="0" fontId="11" fillId="45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47" borderId="0" applyNumberFormat="0" applyBorder="0" applyAlignment="0" applyProtection="0"/>
    <xf numFmtId="0" fontId="11" fillId="47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3" fillId="52" borderId="10" applyNumberFormat="0" applyAlignment="0" applyProtection="0"/>
    <xf numFmtId="0" fontId="23" fillId="52" borderId="10" applyNumberFormat="0" applyAlignment="0" applyProtection="0"/>
    <xf numFmtId="0" fontId="20" fillId="53" borderId="13" applyNumberFormat="0" applyAlignment="0" applyProtection="0"/>
    <xf numFmtId="0" fontId="20" fillId="53" borderId="13" applyNumberFormat="0" applyAlignment="0" applyProtection="0"/>
    <xf numFmtId="164" fontId="18" fillId="0" borderId="0" applyFont="0" applyFill="0" applyBorder="0" applyAlignment="0" applyProtection="0"/>
    <xf numFmtId="164" fontId="11" fillId="0" borderId="0" applyFill="0" applyBorder="0" applyAlignment="0" applyProtection="0"/>
    <xf numFmtId="164" fontId="11" fillId="0" borderId="0" applyFill="0" applyBorder="0" applyAlignment="0" applyProtection="0"/>
    <xf numFmtId="164" fontId="11" fillId="0" borderId="0" applyFill="0" applyBorder="0" applyAlignment="0" applyProtection="0"/>
    <xf numFmtId="164" fontId="11" fillId="0" borderId="0" applyFill="0" applyBorder="0" applyAlignment="0" applyProtection="0"/>
    <xf numFmtId="164" fontId="18" fillId="0" borderId="0" applyFont="0" applyFill="0" applyBorder="0" applyAlignment="0" applyProtection="0"/>
    <xf numFmtId="164" fontId="11" fillId="0" borderId="0" applyFill="0" applyBorder="0" applyAlignment="0" applyProtection="0"/>
    <xf numFmtId="164" fontId="11" fillId="0" borderId="0" applyFill="0" applyBorder="0" applyAlignment="0" applyProtection="0"/>
    <xf numFmtId="164" fontId="8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7" fillId="0" borderId="16" applyNumberFormat="0" applyFill="0" applyAlignment="0" applyProtection="0"/>
    <xf numFmtId="0" fontId="27" fillId="0" borderId="17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1" borderId="10" applyNumberFormat="0" applyAlignment="0" applyProtection="0"/>
    <xf numFmtId="0" fontId="29" fillId="21" borderId="10" applyNumberFormat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55" borderId="0" applyNumberFormat="0" applyBorder="0" applyAlignment="0" applyProtection="0"/>
    <xf numFmtId="0" fontId="31" fillId="55" borderId="0" applyNumberFormat="0" applyBorder="0" applyAlignment="0" applyProtection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8" fillId="0" borderId="0" applyNumberFormat="0" applyFill="0" applyBorder="0" applyAlignment="0" applyProtection="0"/>
    <xf numFmtId="0" fontId="11" fillId="0" borderId="0"/>
    <xf numFmtId="0" fontId="11" fillId="0" borderId="0"/>
    <xf numFmtId="0" fontId="8" fillId="0" borderId="0"/>
    <xf numFmtId="0" fontId="18" fillId="20" borderId="14" applyNumberFormat="0" applyFont="0" applyAlignment="0" applyProtection="0"/>
    <xf numFmtId="0" fontId="18" fillId="20" borderId="14" applyNumberFormat="0" applyFont="0" applyAlignment="0" applyProtection="0"/>
    <xf numFmtId="0" fontId="32" fillId="52" borderId="11" applyNumberFormat="0" applyAlignment="0" applyProtection="0"/>
    <xf numFmtId="0" fontId="32" fillId="52" borderId="11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0" fillId="0" borderId="15" applyNumberFormat="0" applyFill="0" applyAlignment="0" applyProtection="0"/>
    <xf numFmtId="0" fontId="10" fillId="0" borderId="15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8" fillId="22" borderId="0" applyNumberFormat="0" applyBorder="0" applyAlignment="0" applyProtection="0"/>
    <xf numFmtId="0" fontId="18" fillId="24" borderId="0" applyNumberFormat="0" applyBorder="0" applyAlignment="0" applyProtection="0"/>
    <xf numFmtId="0" fontId="18" fillId="26" borderId="0" applyNumberFormat="0" applyBorder="0" applyAlignment="0" applyProtection="0"/>
    <xf numFmtId="0" fontId="18" fillId="28" borderId="0" applyNumberFormat="0" applyBorder="0" applyAlignment="0" applyProtection="0"/>
    <xf numFmtId="0" fontId="18" fillId="30" borderId="0" applyNumberFormat="0" applyBorder="0" applyAlignment="0" applyProtection="0"/>
    <xf numFmtId="0" fontId="18" fillId="32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40" borderId="0" applyNumberFormat="0" applyBorder="0" applyAlignment="0" applyProtection="0"/>
    <xf numFmtId="0" fontId="18" fillId="42" borderId="0" applyNumberFormat="0" applyBorder="0" applyAlignment="0" applyProtection="0"/>
    <xf numFmtId="0" fontId="18" fillId="44" borderId="0" applyNumberFormat="0" applyBorder="0" applyAlignment="0" applyProtection="0"/>
    <xf numFmtId="0" fontId="18" fillId="46" borderId="0" applyNumberFormat="0" applyBorder="0" applyAlignment="0" applyProtection="0"/>
    <xf numFmtId="0" fontId="18" fillId="14" borderId="0" applyNumberFormat="0" applyBorder="0" applyAlignment="0" applyProtection="0"/>
    <xf numFmtId="0" fontId="18" fillId="4" borderId="0" applyNumberFormat="0" applyBorder="0" applyAlignment="0" applyProtection="0"/>
    <xf numFmtId="0" fontId="18" fillId="13" borderId="0" applyNumberFormat="0" applyBorder="0" applyAlignment="0" applyProtection="0"/>
    <xf numFmtId="0" fontId="18" fillId="47" borderId="0" applyNumberFormat="0" applyBorder="0" applyAlignment="0" applyProtection="0"/>
    <xf numFmtId="0" fontId="18" fillId="19" borderId="0" applyNumberFormat="0" applyBorder="0" applyAlignment="0" applyProtection="0"/>
    <xf numFmtId="0" fontId="14" fillId="7" borderId="0" applyNumberFormat="0" applyBorder="0" applyAlignment="0" applyProtection="0"/>
    <xf numFmtId="0" fontId="14" fillId="48" borderId="0" applyNumberFormat="0" applyBorder="0" applyAlignment="0" applyProtection="0"/>
    <xf numFmtId="0" fontId="14" fillId="2" borderId="0" applyNumberFormat="0" applyBorder="0" applyAlignment="0" applyProtection="0"/>
    <xf numFmtId="0" fontId="14" fillId="49" borderId="0" applyNumberFormat="0" applyBorder="0" applyAlignment="0" applyProtection="0"/>
    <xf numFmtId="0" fontId="14" fillId="50" borderId="0" applyNumberFormat="0" applyBorder="0" applyAlignment="0" applyProtection="0"/>
    <xf numFmtId="0" fontId="37" fillId="51" borderId="0" applyNumberFormat="0" applyBorder="0" applyAlignment="0" applyProtection="0"/>
    <xf numFmtId="0" fontId="38" fillId="52" borderId="10" applyNumberFormat="0" applyAlignment="0" applyProtection="0"/>
    <xf numFmtId="0" fontId="34" fillId="53" borderId="13" applyNumberFormat="0" applyAlignment="0" applyProtection="0"/>
    <xf numFmtId="0" fontId="39" fillId="0" borderId="0" applyNumberFormat="0" applyFill="0" applyBorder="0" applyAlignment="0" applyProtection="0"/>
    <xf numFmtId="0" fontId="40" fillId="54" borderId="0" applyNumberFormat="0" applyBorder="0" applyAlignment="0" applyProtection="0"/>
    <xf numFmtId="0" fontId="41" fillId="0" borderId="8" applyNumberFormat="0" applyFill="0" applyAlignment="0" applyProtection="0"/>
    <xf numFmtId="0" fontId="42" fillId="0" borderId="16" applyNumberFormat="0" applyFill="0" applyAlignment="0" applyProtection="0"/>
    <xf numFmtId="0" fontId="43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44" fillId="21" borderId="10" applyNumberFormat="0" applyAlignment="0" applyProtection="0"/>
    <xf numFmtId="0" fontId="45" fillId="0" borderId="12" applyNumberFormat="0" applyFill="0" applyAlignment="0" applyProtection="0"/>
    <xf numFmtId="0" fontId="46" fillId="55" borderId="0" applyNumberFormat="0" applyBorder="0" applyAlignment="0" applyProtection="0"/>
    <xf numFmtId="0" fontId="47" fillId="52" borderId="11" applyNumberFormat="0" applyAlignment="0" applyProtection="0"/>
    <xf numFmtId="0" fontId="35" fillId="0" borderId="15" applyNumberFormat="0" applyFill="0" applyAlignment="0" applyProtection="0"/>
    <xf numFmtId="0" fontId="36" fillId="0" borderId="0" applyNumberFormat="0" applyFill="0" applyBorder="0" applyAlignment="0" applyProtection="0"/>
    <xf numFmtId="43" fontId="11" fillId="0" borderId="0" applyFill="0" applyBorder="0" applyAlignment="0" applyProtection="0"/>
  </cellStyleXfs>
  <cellXfs count="231">
    <xf numFmtId="0" fontId="0" fillId="0" borderId="0" xfId="0"/>
    <xf numFmtId="16" fontId="0" fillId="0" borderId="0" xfId="0" applyNumberFormat="1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4" fillId="0" borderId="0" xfId="0" applyFont="1"/>
    <xf numFmtId="0" fontId="0" fillId="0" borderId="4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2" fillId="0" borderId="6" xfId="0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65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165" fontId="0" fillId="2" borderId="0" xfId="0" applyNumberFormat="1" applyFill="1" applyAlignment="1">
      <alignment wrapText="1"/>
    </xf>
    <xf numFmtId="165" fontId="0" fillId="2" borderId="0" xfId="0" applyNumberFormat="1" applyFill="1"/>
    <xf numFmtId="0" fontId="2" fillId="2" borderId="0" xfId="0" applyFont="1" applyFill="1" applyAlignment="1">
      <alignment horizontal="justify" vertical="center" wrapText="1"/>
    </xf>
    <xf numFmtId="166" fontId="0" fillId="2" borderId="0" xfId="0" applyNumberForma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165" fontId="0" fillId="3" borderId="0" xfId="0" applyNumberFormat="1" applyFill="1" applyAlignment="1">
      <alignment wrapText="1"/>
    </xf>
    <xf numFmtId="165" fontId="0" fillId="3" borderId="0" xfId="0" applyNumberFormat="1" applyFill="1"/>
    <xf numFmtId="0" fontId="2" fillId="3" borderId="0" xfId="0" applyFont="1" applyFill="1" applyAlignment="1">
      <alignment horizontal="justify" vertical="center" wrapText="1"/>
    </xf>
    <xf numFmtId="166" fontId="0" fillId="3" borderId="0" xfId="0" applyNumberFormat="1" applyFill="1" applyAlignment="1">
      <alignment wrapText="1"/>
    </xf>
    <xf numFmtId="0" fontId="0" fillId="4" borderId="0" xfId="0" applyFill="1"/>
    <xf numFmtId="165" fontId="0" fillId="4" borderId="0" xfId="0" applyNumberFormat="1" applyFill="1" applyAlignment="1">
      <alignment wrapText="1"/>
    </xf>
    <xf numFmtId="165" fontId="0" fillId="4" borderId="0" xfId="0" applyNumberFormat="1" applyFill="1"/>
    <xf numFmtId="0" fontId="2" fillId="4" borderId="0" xfId="0" applyFont="1" applyFill="1" applyAlignment="1">
      <alignment horizontal="justify" vertical="center" wrapText="1"/>
    </xf>
    <xf numFmtId="0" fontId="0" fillId="5" borderId="0" xfId="0" applyFill="1"/>
    <xf numFmtId="0" fontId="0" fillId="5" borderId="0" xfId="0" applyFill="1" applyAlignment="1">
      <alignment wrapText="1"/>
    </xf>
    <xf numFmtId="165" fontId="0" fillId="5" borderId="0" xfId="0" applyNumberFormat="1" applyFill="1" applyAlignment="1">
      <alignment wrapText="1"/>
    </xf>
    <xf numFmtId="165" fontId="0" fillId="5" borderId="0" xfId="0" applyNumberFormat="1" applyFill="1"/>
    <xf numFmtId="0" fontId="2" fillId="5" borderId="0" xfId="0" applyFont="1" applyFill="1" applyAlignment="1">
      <alignment horizontal="justify" vertical="center" wrapText="1"/>
    </xf>
    <xf numFmtId="166" fontId="0" fillId="5" borderId="0" xfId="0" applyNumberFormat="1" applyFill="1" applyAlignment="1">
      <alignment wrapText="1"/>
    </xf>
    <xf numFmtId="164" fontId="0" fillId="0" borderId="0" xfId="1" applyFont="1"/>
    <xf numFmtId="167" fontId="0" fillId="0" borderId="0" xfId="1" applyNumberFormat="1" applyFont="1"/>
    <xf numFmtId="164" fontId="0" fillId="0" borderId="0" xfId="0" applyNumberFormat="1"/>
    <xf numFmtId="167" fontId="0" fillId="5" borderId="0" xfId="1" applyNumberFormat="1" applyFont="1" applyFill="1"/>
    <xf numFmtId="164" fontId="0" fillId="5" borderId="0" xfId="1" applyFont="1" applyFill="1"/>
    <xf numFmtId="164" fontId="0" fillId="5" borderId="0" xfId="0" applyNumberFormat="1" applyFill="1"/>
    <xf numFmtId="166" fontId="0" fillId="6" borderId="0" xfId="0" applyNumberFormat="1" applyFill="1" applyAlignment="1">
      <alignment wrapText="1"/>
    </xf>
    <xf numFmtId="0" fontId="2" fillId="6" borderId="0" xfId="0" applyFont="1" applyFill="1"/>
    <xf numFmtId="0" fontId="0" fillId="6" borderId="0" xfId="0" applyFill="1"/>
    <xf numFmtId="0" fontId="0" fillId="6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Font="1" applyFill="1"/>
    <xf numFmtId="167" fontId="0" fillId="3" borderId="0" xfId="1" applyNumberFormat="1" applyFont="1" applyFill="1"/>
    <xf numFmtId="164" fontId="0" fillId="3" borderId="0" xfId="1" applyFont="1" applyFill="1"/>
    <xf numFmtId="164" fontId="0" fillId="3" borderId="0" xfId="0" applyNumberFormat="1" applyFill="1"/>
    <xf numFmtId="0" fontId="2" fillId="3" borderId="0" xfId="0" applyFont="1" applyFill="1" applyAlignment="1">
      <alignment horizontal="justify" vertical="center"/>
    </xf>
    <xf numFmtId="165" fontId="0" fillId="7" borderId="0" xfId="0" applyNumberFormat="1" applyFill="1" applyAlignment="1">
      <alignment wrapText="1"/>
    </xf>
    <xf numFmtId="166" fontId="0" fillId="7" borderId="0" xfId="0" applyNumberFormat="1" applyFill="1" applyAlignment="1">
      <alignment wrapText="1"/>
    </xf>
    <xf numFmtId="15" fontId="0" fillId="0" borderId="0" xfId="0" applyNumberFormat="1"/>
    <xf numFmtId="165" fontId="0" fillId="6" borderId="0" xfId="0" applyNumberFormat="1" applyFill="1"/>
    <xf numFmtId="0" fontId="4" fillId="6" borderId="0" xfId="0" applyFont="1" applyFill="1"/>
    <xf numFmtId="4" fontId="0" fillId="0" borderId="0" xfId="0" applyNumberFormat="1"/>
    <xf numFmtId="0" fontId="0" fillId="8" borderId="0" xfId="0" applyFill="1"/>
    <xf numFmtId="0" fontId="0" fillId="8" borderId="0" xfId="0" applyFill="1" applyAlignment="1">
      <alignment wrapText="1"/>
    </xf>
    <xf numFmtId="166" fontId="0" fillId="8" borderId="0" xfId="0" applyNumberFormat="1" applyFill="1" applyAlignment="1">
      <alignment wrapText="1"/>
    </xf>
    <xf numFmtId="0" fontId="0" fillId="9" borderId="0" xfId="0" applyFill="1"/>
    <xf numFmtId="166" fontId="0" fillId="9" borderId="0" xfId="0" applyNumberFormat="1" applyFill="1" applyAlignment="1">
      <alignment wrapText="1"/>
    </xf>
    <xf numFmtId="165" fontId="0" fillId="6" borderId="0" xfId="0" applyNumberFormat="1" applyFill="1" applyAlignment="1">
      <alignment wrapText="1"/>
    </xf>
    <xf numFmtId="166" fontId="0" fillId="12" borderId="0" xfId="0" applyNumberFormat="1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2" fillId="14" borderId="0" xfId="0" applyFont="1" applyFill="1"/>
    <xf numFmtId="0" fontId="2" fillId="14" borderId="0" xfId="0" applyFont="1" applyFill="1" applyAlignment="1">
      <alignment wrapText="1"/>
    </xf>
    <xf numFmtId="0" fontId="2" fillId="8" borderId="0" xfId="0" applyFont="1" applyFill="1"/>
    <xf numFmtId="165" fontId="0" fillId="12" borderId="0" xfId="0" applyNumberFormat="1" applyFill="1" applyAlignment="1">
      <alignment wrapText="1"/>
    </xf>
    <xf numFmtId="165" fontId="0" fillId="12" borderId="0" xfId="0" applyNumberFormat="1" applyFill="1"/>
    <xf numFmtId="0" fontId="7" fillId="0" borderId="0" xfId="0" applyFont="1" applyAlignment="1">
      <alignment horizontal="left" vertical="center"/>
    </xf>
    <xf numFmtId="4" fontId="7" fillId="4" borderId="0" xfId="0" applyNumberFormat="1" applyFont="1" applyFill="1"/>
    <xf numFmtId="4" fontId="7" fillId="6" borderId="0" xfId="0" applyNumberFormat="1" applyFont="1" applyFill="1"/>
    <xf numFmtId="4" fontId="7" fillId="11" borderId="0" xfId="0" applyNumberFormat="1" applyFont="1" applyFill="1"/>
    <xf numFmtId="4" fontId="7" fillId="8" borderId="0" xfId="0" applyNumberFormat="1" applyFont="1" applyFill="1"/>
    <xf numFmtId="0" fontId="0" fillId="14" borderId="0" xfId="0" applyFill="1"/>
    <xf numFmtId="165" fontId="0" fillId="14" borderId="0" xfId="0" applyNumberFormat="1" applyFill="1" applyAlignment="1">
      <alignment wrapText="1"/>
    </xf>
    <xf numFmtId="4" fontId="7" fillId="14" borderId="0" xfId="0" applyNumberFormat="1" applyFont="1" applyFill="1"/>
    <xf numFmtId="0" fontId="1" fillId="4" borderId="0" xfId="0" applyFont="1" applyFill="1" applyAlignment="1">
      <alignment horizontal="left" vertical="center"/>
    </xf>
    <xf numFmtId="4" fontId="7" fillId="9" borderId="0" xfId="0" applyNumberFormat="1" applyFont="1" applyFill="1"/>
    <xf numFmtId="165" fontId="7" fillId="14" borderId="0" xfId="0" applyNumberFormat="1" applyFont="1" applyFill="1"/>
    <xf numFmtId="0" fontId="0" fillId="13" borderId="0" xfId="0" applyFill="1"/>
    <xf numFmtId="0" fontId="7" fillId="13" borderId="0" xfId="0" applyFont="1" applyFill="1" applyAlignment="1">
      <alignment horizontal="left" vertical="center"/>
    </xf>
    <xf numFmtId="0" fontId="0" fillId="12" borderId="0" xfId="0" applyFill="1"/>
    <xf numFmtId="0" fontId="7" fillId="12" borderId="0" xfId="0" applyFont="1" applyFill="1" applyAlignment="1">
      <alignment vertical="center"/>
    </xf>
    <xf numFmtId="0" fontId="7" fillId="12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2" fillId="9" borderId="0" xfId="0" applyFont="1" applyFill="1" applyAlignment="1">
      <alignment horizontal="justify" vertical="center" wrapText="1"/>
    </xf>
    <xf numFmtId="0" fontId="2" fillId="9" borderId="0" xfId="0" applyFont="1" applyFill="1" applyAlignment="1">
      <alignment horizontal="justify" vertical="center"/>
    </xf>
    <xf numFmtId="0" fontId="0" fillId="15" borderId="0" xfId="0" applyFill="1"/>
    <xf numFmtId="164" fontId="7" fillId="15" borderId="0" xfId="1" applyFont="1" applyFill="1"/>
    <xf numFmtId="0" fontId="7" fillId="15" borderId="0" xfId="0" applyFont="1" applyFill="1"/>
    <xf numFmtId="0" fontId="7" fillId="0" borderId="0" xfId="0" applyFont="1"/>
    <xf numFmtId="4" fontId="7" fillId="12" borderId="0" xfId="0" applyNumberFormat="1" applyFont="1" applyFill="1"/>
    <xf numFmtId="4" fontId="7" fillId="15" borderId="0" xfId="0" applyNumberFormat="1" applyFont="1" applyFill="1"/>
    <xf numFmtId="4" fontId="7" fillId="0" borderId="0" xfId="0" applyNumberFormat="1" applyFont="1" applyAlignment="1">
      <alignment horizontal="left" vertical="center"/>
    </xf>
    <xf numFmtId="10" fontId="0" fillId="0" borderId="0" xfId="2" applyNumberFormat="1" applyFont="1" applyAlignment="1">
      <alignment wrapText="1"/>
    </xf>
    <xf numFmtId="0" fontId="1" fillId="10" borderId="0" xfId="0" applyFont="1" applyFill="1" applyAlignment="1">
      <alignment horizontal="left" vertical="center"/>
    </xf>
    <xf numFmtId="0" fontId="7" fillId="10" borderId="0" xfId="0" applyFont="1" applyFill="1"/>
    <xf numFmtId="0" fontId="9" fillId="10" borderId="0" xfId="0" applyFont="1" applyFill="1" applyAlignment="1">
      <alignment wrapText="1"/>
    </xf>
    <xf numFmtId="0" fontId="9" fillId="10" borderId="0" xfId="0" applyFont="1" applyFill="1"/>
    <xf numFmtId="4" fontId="7" fillId="10" borderId="0" xfId="0" applyNumberFormat="1" applyFont="1" applyFill="1"/>
    <xf numFmtId="168" fontId="0" fillId="0" borderId="0" xfId="0" applyNumberFormat="1"/>
    <xf numFmtId="0" fontId="0" fillId="16" borderId="0" xfId="0" applyFill="1"/>
    <xf numFmtId="0" fontId="7" fillId="16" borderId="0" xfId="0" applyFont="1" applyFill="1" applyAlignment="1">
      <alignment horizontal="left" vertical="center"/>
    </xf>
    <xf numFmtId="0" fontId="0" fillId="16" borderId="0" xfId="0" applyFill="1" applyAlignment="1">
      <alignment wrapText="1"/>
    </xf>
    <xf numFmtId="0" fontId="0" fillId="15" borderId="0" xfId="0" applyFill="1" applyAlignment="1">
      <alignment wrapText="1"/>
    </xf>
    <xf numFmtId="164" fontId="7" fillId="16" borderId="0" xfId="1" applyFont="1" applyFill="1"/>
    <xf numFmtId="169" fontId="7" fillId="0" borderId="0" xfId="0" applyNumberFormat="1" applyFont="1"/>
    <xf numFmtId="10" fontId="0" fillId="0" borderId="0" xfId="2" applyNumberFormat="1" applyFont="1"/>
    <xf numFmtId="164" fontId="7" fillId="13" borderId="0" xfId="1" applyFont="1" applyFill="1"/>
    <xf numFmtId="170" fontId="0" fillId="0" borderId="0" xfId="0" applyNumberFormat="1"/>
    <xf numFmtId="4" fontId="7" fillId="15" borderId="0" xfId="0" applyNumberFormat="1" applyFont="1" applyFill="1" applyAlignment="1">
      <alignment horizontal="left" vertical="center"/>
    </xf>
    <xf numFmtId="10" fontId="0" fillId="15" borderId="0" xfId="2" applyNumberFormat="1" applyFont="1" applyFill="1" applyAlignment="1">
      <alignment wrapText="1"/>
    </xf>
    <xf numFmtId="10" fontId="7" fillId="15" borderId="0" xfId="2" applyNumberFormat="1" applyFont="1" applyFill="1" applyAlignment="1">
      <alignment wrapText="1"/>
    </xf>
    <xf numFmtId="0" fontId="7" fillId="15" borderId="0" xfId="0" applyFont="1" applyFill="1" applyAlignment="1">
      <alignment wrapText="1"/>
    </xf>
    <xf numFmtId="168" fontId="7" fillId="15" borderId="0" xfId="0" applyNumberFormat="1" applyFont="1" applyFill="1"/>
    <xf numFmtId="171" fontId="7" fillId="15" borderId="0" xfId="0" applyNumberFormat="1" applyFont="1" applyFill="1"/>
    <xf numFmtId="0" fontId="10" fillId="0" borderId="0" xfId="0" applyFont="1" applyProtection="1">
      <protection locked="0"/>
    </xf>
    <xf numFmtId="168" fontId="7" fillId="0" borderId="0" xfId="0" applyNumberFormat="1" applyFont="1"/>
    <xf numFmtId="0" fontId="0" fillId="16" borderId="0" xfId="0" applyFill="1" applyAlignment="1">
      <alignment horizontal="center"/>
    </xf>
    <xf numFmtId="168" fontId="7" fillId="16" borderId="0" xfId="0" applyNumberFormat="1" applyFont="1" applyFill="1"/>
    <xf numFmtId="4" fontId="0" fillId="16" borderId="0" xfId="0" applyNumberFormat="1" applyFill="1"/>
    <xf numFmtId="2" fontId="7" fillId="16" borderId="0" xfId="0" applyNumberFormat="1" applyFont="1" applyFill="1"/>
    <xf numFmtId="164" fontId="7" fillId="0" borderId="0" xfId="1" applyFont="1"/>
    <xf numFmtId="164" fontId="7" fillId="2" borderId="0" xfId="1" applyFont="1" applyFill="1"/>
    <xf numFmtId="164" fontId="0" fillId="2" borderId="0" xfId="1" applyFont="1" applyFill="1"/>
    <xf numFmtId="172" fontId="7" fillId="2" borderId="0" xfId="2" applyNumberFormat="1" applyFont="1" applyFill="1"/>
    <xf numFmtId="0" fontId="1" fillId="7" borderId="0" xfId="0" applyFont="1" applyFill="1" applyAlignment="1">
      <alignment horizontal="left" vertical="center"/>
    </xf>
    <xf numFmtId="0" fontId="2" fillId="7" borderId="0" xfId="0" applyFont="1" applyFill="1" applyAlignment="1">
      <alignment wrapText="1"/>
    </xf>
    <xf numFmtId="0" fontId="2" fillId="4" borderId="0" xfId="0" applyFont="1" applyFill="1" applyAlignment="1">
      <alignment horizontal="justify" vertical="center"/>
    </xf>
    <xf numFmtId="4" fontId="7" fillId="2" borderId="0" xfId="0" applyNumberFormat="1" applyFont="1" applyFill="1"/>
    <xf numFmtId="166" fontId="0" fillId="10" borderId="0" xfId="0" applyNumberFormat="1" applyFill="1" applyAlignment="1">
      <alignment wrapText="1"/>
    </xf>
    <xf numFmtId="15" fontId="0" fillId="6" borderId="0" xfId="0" applyNumberFormat="1" applyFill="1"/>
    <xf numFmtId="43" fontId="10" fillId="0" borderId="0" xfId="5" applyFont="1" applyProtection="1">
      <protection locked="0"/>
    </xf>
    <xf numFmtId="0" fontId="0" fillId="0" borderId="0" xfId="0" applyAlignment="1">
      <alignment vertical="top"/>
    </xf>
    <xf numFmtId="10" fontId="0" fillId="0" borderId="0" xfId="2" applyNumberFormat="1" applyFont="1" applyAlignment="1">
      <alignment horizontal="center"/>
    </xf>
    <xf numFmtId="4" fontId="0" fillId="6" borderId="0" xfId="0" applyNumberFormat="1" applyFill="1"/>
    <xf numFmtId="0" fontId="0" fillId="0" borderId="0" xfId="0" applyProtection="1">
      <protection locked="0"/>
    </xf>
    <xf numFmtId="173" fontId="11" fillId="0" borderId="0" xfId="1" applyNumberFormat="1" applyFont="1"/>
    <xf numFmtId="173" fontId="12" fillId="0" borderId="0" xfId="1" applyNumberFormat="1" applyFont="1"/>
    <xf numFmtId="164" fontId="13" fillId="0" borderId="0" xfId="1" applyFont="1"/>
    <xf numFmtId="164" fontId="12" fillId="0" borderId="0" xfId="1" applyFont="1"/>
    <xf numFmtId="164" fontId="11" fillId="0" borderId="0" xfId="1" applyFont="1"/>
    <xf numFmtId="15" fontId="0" fillId="17" borderId="0" xfId="0" applyNumberFormat="1" applyFill="1"/>
    <xf numFmtId="0" fontId="0" fillId="7" borderId="0" xfId="0" applyFill="1"/>
    <xf numFmtId="0" fontId="7" fillId="7" borderId="0" xfId="0" applyFont="1" applyFill="1" applyAlignment="1">
      <alignment horizontal="left" vertical="center"/>
    </xf>
    <xf numFmtId="0" fontId="0" fillId="7" borderId="0" xfId="0" applyFill="1" applyAlignment="1">
      <alignment wrapText="1"/>
    </xf>
    <xf numFmtId="165" fontId="0" fillId="7" borderId="0" xfId="0" applyNumberFormat="1" applyFill="1"/>
    <xf numFmtId="4" fontId="7" fillId="7" borderId="0" xfId="0" applyNumberFormat="1" applyFont="1" applyFill="1"/>
    <xf numFmtId="174" fontId="7" fillId="16" borderId="0" xfId="0" applyNumberFormat="1" applyFont="1" applyFill="1"/>
    <xf numFmtId="176" fontId="0" fillId="0" borderId="0" xfId="2" applyNumberFormat="1" applyFont="1"/>
    <xf numFmtId="177" fontId="0" fillId="0" borderId="0" xfId="1" applyNumberFormat="1" applyFont="1"/>
    <xf numFmtId="174" fontId="0" fillId="0" borderId="0" xfId="0" applyNumberFormat="1"/>
    <xf numFmtId="9" fontId="0" fillId="0" borderId="0" xfId="1" applyNumberFormat="1" applyFont="1"/>
    <xf numFmtId="178" fontId="0" fillId="0" borderId="0" xfId="1" applyNumberFormat="1" applyFont="1"/>
    <xf numFmtId="179" fontId="7" fillId="16" borderId="0" xfId="0" applyNumberFormat="1" applyFont="1" applyFill="1"/>
    <xf numFmtId="177" fontId="7" fillId="15" borderId="0" xfId="1" applyNumberFormat="1" applyFont="1" applyFill="1"/>
    <xf numFmtId="172" fontId="0" fillId="0" borderId="0" xfId="2" applyNumberFormat="1" applyFont="1"/>
    <xf numFmtId="0" fontId="7" fillId="0" borderId="0" xfId="0" applyFont="1" applyAlignment="1">
      <alignment wrapText="1"/>
    </xf>
    <xf numFmtId="164" fontId="0" fillId="0" borderId="0" xfId="1" applyFont="1" applyAlignment="1">
      <alignment wrapText="1"/>
    </xf>
    <xf numFmtId="0" fontId="0" fillId="7" borderId="0" xfId="0" applyFill="1" applyAlignment="1">
      <alignment horizontal="center"/>
    </xf>
    <xf numFmtId="2" fontId="7" fillId="7" borderId="0" xfId="0" applyNumberFormat="1" applyFont="1" applyFill="1"/>
    <xf numFmtId="4" fontId="0" fillId="7" borderId="0" xfId="0" applyNumberFormat="1" applyFill="1"/>
    <xf numFmtId="168" fontId="7" fillId="7" borderId="0" xfId="0" applyNumberFormat="1" applyFont="1" applyFill="1"/>
    <xf numFmtId="174" fontId="7" fillId="7" borderId="0" xfId="0" applyNumberFormat="1" applyFont="1" applyFill="1"/>
    <xf numFmtId="174" fontId="7" fillId="6" borderId="0" xfId="0" applyNumberFormat="1" applyFont="1" applyFill="1"/>
    <xf numFmtId="168" fontId="7" fillId="6" borderId="0" xfId="0" applyNumberFormat="1" applyFont="1" applyFill="1"/>
    <xf numFmtId="179" fontId="7" fillId="6" borderId="0" xfId="0" applyNumberFormat="1" applyFont="1" applyFill="1"/>
    <xf numFmtId="167" fontId="7" fillId="15" borderId="0" xfId="1" applyNumberFormat="1" applyFont="1" applyFill="1"/>
    <xf numFmtId="0" fontId="15" fillId="0" borderId="0" xfId="0" applyFont="1"/>
    <xf numFmtId="176" fontId="16" fillId="6" borderId="0" xfId="2" applyNumberFormat="1" applyFont="1" applyFill="1"/>
    <xf numFmtId="175" fontId="16" fillId="6" borderId="0" xfId="2" applyNumberFormat="1" applyFont="1" applyFill="1"/>
    <xf numFmtId="164" fontId="17" fillId="6" borderId="0" xfId="1" applyFont="1" applyFill="1"/>
    <xf numFmtId="10" fontId="17" fillId="6" borderId="0" xfId="2" applyNumberFormat="1" applyFont="1" applyFill="1"/>
    <xf numFmtId="173" fontId="0" fillId="0" borderId="0" xfId="0" applyNumberFormat="1"/>
    <xf numFmtId="0" fontId="0" fillId="18" borderId="0" xfId="0" applyFill="1" applyAlignment="1">
      <alignment wrapText="1"/>
    </xf>
    <xf numFmtId="0" fontId="0" fillId="18" borderId="0" xfId="0" applyFill="1"/>
    <xf numFmtId="10" fontId="0" fillId="18" borderId="0" xfId="2" applyNumberFormat="1" applyFont="1" applyFill="1"/>
    <xf numFmtId="0" fontId="0" fillId="0" borderId="0" xfId="0" applyAlignment="1">
      <alignment horizontal="right"/>
    </xf>
    <xf numFmtId="0" fontId="7" fillId="18" borderId="0" xfId="0" applyFont="1" applyFill="1" applyAlignment="1">
      <alignment horizontal="left" vertical="center"/>
    </xf>
    <xf numFmtId="180" fontId="0" fillId="0" borderId="0" xfId="0" applyNumberFormat="1"/>
    <xf numFmtId="0" fontId="0" fillId="19" borderId="0" xfId="0" applyFill="1"/>
    <xf numFmtId="164" fontId="0" fillId="19" borderId="0" xfId="1" applyFont="1" applyFill="1"/>
    <xf numFmtId="0" fontId="15" fillId="19" borderId="0" xfId="0" applyFont="1" applyFill="1"/>
    <xf numFmtId="10" fontId="0" fillId="0" borderId="0" xfId="0" applyNumberFormat="1"/>
    <xf numFmtId="164" fontId="7" fillId="0" borderId="0" xfId="1" applyFont="1" applyAlignment="1">
      <alignment horizontal="left" vertical="center"/>
    </xf>
    <xf numFmtId="173" fontId="12" fillId="0" borderId="0" xfId="67" applyNumberFormat="1" applyFont="1"/>
    <xf numFmtId="164" fontId="12" fillId="0" borderId="0" xfId="67" applyFont="1"/>
    <xf numFmtId="10" fontId="7" fillId="0" borderId="0" xfId="0" applyNumberFormat="1" applyFont="1" applyAlignment="1">
      <alignment horizontal="left" vertical="center"/>
    </xf>
    <xf numFmtId="0" fontId="2" fillId="0" borderId="4" xfId="0" applyFont="1" applyBorder="1" applyAlignment="1">
      <alignment horizontal="justify" vertical="center" wrapText="1"/>
    </xf>
    <xf numFmtId="0" fontId="7" fillId="1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8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43" fontId="12" fillId="56" borderId="0" xfId="150" applyFont="1" applyFill="1"/>
    <xf numFmtId="173" fontId="12" fillId="56" borderId="0" xfId="150" applyNumberFormat="1" applyFont="1" applyFill="1"/>
    <xf numFmtId="43" fontId="12" fillId="0" borderId="0" xfId="150" applyFont="1"/>
    <xf numFmtId="181" fontId="0" fillId="6" borderId="0" xfId="0" applyNumberFormat="1" applyFill="1"/>
    <xf numFmtId="181" fontId="0" fillId="7" borderId="0" xfId="0" applyNumberFormat="1" applyFill="1"/>
    <xf numFmtId="181" fontId="0" fillId="19" borderId="0" xfId="0" applyNumberFormat="1" applyFill="1"/>
    <xf numFmtId="181" fontId="10" fillId="6" borderId="0" xfId="0" applyNumberFormat="1" applyFont="1" applyFill="1" applyAlignment="1" applyProtection="1">
      <alignment wrapText="1"/>
      <protection locked="0"/>
    </xf>
    <xf numFmtId="181" fontId="0" fillId="0" borderId="0" xfId="0" applyNumberFormat="1"/>
    <xf numFmtId="182" fontId="0" fillId="0" borderId="0" xfId="1" applyNumberFormat="1" applyFont="1"/>
    <xf numFmtId="0" fontId="0" fillId="0" borderId="0" xfId="0" applyFill="1"/>
    <xf numFmtId="10" fontId="0" fillId="0" borderId="0" xfId="2" applyNumberFormat="1" applyFont="1" applyFill="1"/>
    <xf numFmtId="164" fontId="0" fillId="0" borderId="0" xfId="1" applyFont="1" applyFill="1"/>
    <xf numFmtId="173" fontId="12" fillId="0" borderId="0" xfId="150" applyNumberFormat="1" applyFont="1" applyFill="1"/>
    <xf numFmtId="43" fontId="12" fillId="0" borderId="0" xfId="150" applyFont="1" applyFill="1"/>
    <xf numFmtId="43" fontId="0" fillId="0" borderId="0" xfId="0" applyNumberFormat="1"/>
    <xf numFmtId="164" fontId="10" fillId="0" borderId="0" xfId="1" applyFont="1"/>
    <xf numFmtId="0" fontId="2" fillId="0" borderId="7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7" fillId="10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8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</cellXfs>
  <cellStyles count="151">
    <cellStyle name="20% - Accent1 2" xfId="9" xr:uid="{00000000-0005-0000-0000-000034000000}"/>
    <cellStyle name="20% - Accent1 3" xfId="8" xr:uid="{00000000-0005-0000-0000-000033000000}"/>
    <cellStyle name="20% - Accent1 4" xfId="112" xr:uid="{00000000-0005-0000-0000-00009C000000}"/>
    <cellStyle name="20% - Accent2 2" xfId="11" xr:uid="{00000000-0005-0000-0000-000036000000}"/>
    <cellStyle name="20% - Accent2 3" xfId="10" xr:uid="{00000000-0005-0000-0000-000035000000}"/>
    <cellStyle name="20% - Accent2 4" xfId="113" xr:uid="{00000000-0005-0000-0000-00009D000000}"/>
    <cellStyle name="20% - Accent3 2" xfId="13" xr:uid="{00000000-0005-0000-0000-000038000000}"/>
    <cellStyle name="20% - Accent3 3" xfId="12" xr:uid="{00000000-0005-0000-0000-000037000000}"/>
    <cellStyle name="20% - Accent3 4" xfId="114" xr:uid="{00000000-0005-0000-0000-00009E000000}"/>
    <cellStyle name="20% - Accent4 2" xfId="15" xr:uid="{00000000-0005-0000-0000-00003A000000}"/>
    <cellStyle name="20% - Accent4 3" xfId="14" xr:uid="{00000000-0005-0000-0000-000039000000}"/>
    <cellStyle name="20% - Accent4 4" xfId="115" xr:uid="{00000000-0005-0000-0000-00009F000000}"/>
    <cellStyle name="20% - Accent5 2" xfId="17" xr:uid="{00000000-0005-0000-0000-00003C000000}"/>
    <cellStyle name="20% - Accent5 3" xfId="16" xr:uid="{00000000-0005-0000-0000-00003B000000}"/>
    <cellStyle name="20% - Accent5 4" xfId="116" xr:uid="{00000000-0005-0000-0000-0000A0000000}"/>
    <cellStyle name="20% - Accent6 2" xfId="19" xr:uid="{00000000-0005-0000-0000-00003E000000}"/>
    <cellStyle name="20% - Accent6 3" xfId="18" xr:uid="{00000000-0005-0000-0000-00003D000000}"/>
    <cellStyle name="20% - Accent6 4" xfId="117" xr:uid="{00000000-0005-0000-0000-0000A1000000}"/>
    <cellStyle name="40% - Accent1 2" xfId="21" xr:uid="{00000000-0005-0000-0000-000040000000}"/>
    <cellStyle name="40% - Accent1 3" xfId="20" xr:uid="{00000000-0005-0000-0000-00003F000000}"/>
    <cellStyle name="40% - Accent1 4" xfId="118" xr:uid="{00000000-0005-0000-0000-0000A2000000}"/>
    <cellStyle name="40% - Accent2 2" xfId="23" xr:uid="{00000000-0005-0000-0000-000042000000}"/>
    <cellStyle name="40% - Accent2 3" xfId="22" xr:uid="{00000000-0005-0000-0000-000041000000}"/>
    <cellStyle name="40% - Accent2 4" xfId="119" xr:uid="{00000000-0005-0000-0000-0000A3000000}"/>
    <cellStyle name="40% - Accent3 2" xfId="25" xr:uid="{00000000-0005-0000-0000-000044000000}"/>
    <cellStyle name="40% - Accent3 3" xfId="24" xr:uid="{00000000-0005-0000-0000-000043000000}"/>
    <cellStyle name="40% - Accent3 4" xfId="120" xr:uid="{00000000-0005-0000-0000-0000A4000000}"/>
    <cellStyle name="40% - Accent4 2" xfId="27" xr:uid="{00000000-0005-0000-0000-000046000000}"/>
    <cellStyle name="40% - Accent4 3" xfId="26" xr:uid="{00000000-0005-0000-0000-000045000000}"/>
    <cellStyle name="40% - Accent4 4" xfId="121" xr:uid="{00000000-0005-0000-0000-0000A5000000}"/>
    <cellStyle name="40% - Accent5 2" xfId="29" xr:uid="{00000000-0005-0000-0000-000048000000}"/>
    <cellStyle name="40% - Accent5 3" xfId="28" xr:uid="{00000000-0005-0000-0000-000047000000}"/>
    <cellStyle name="40% - Accent5 4" xfId="122" xr:uid="{00000000-0005-0000-0000-0000A6000000}"/>
    <cellStyle name="40% - Accent6 2" xfId="31" xr:uid="{00000000-0005-0000-0000-00004A000000}"/>
    <cellStyle name="40% - Accent6 3" xfId="30" xr:uid="{00000000-0005-0000-0000-000049000000}"/>
    <cellStyle name="40% - Accent6 4" xfId="123" xr:uid="{00000000-0005-0000-0000-0000A7000000}"/>
    <cellStyle name="60% - Accent1 2" xfId="33" xr:uid="{00000000-0005-0000-0000-00004C000000}"/>
    <cellStyle name="60% - Accent1 3" xfId="32" xr:uid="{00000000-0005-0000-0000-00004B000000}"/>
    <cellStyle name="60% - Accent1 4" xfId="124" xr:uid="{00000000-0005-0000-0000-0000A8000000}"/>
    <cellStyle name="60% - Accent2 2" xfId="35" xr:uid="{00000000-0005-0000-0000-00004E000000}"/>
    <cellStyle name="60% - Accent2 3" xfId="34" xr:uid="{00000000-0005-0000-0000-00004D000000}"/>
    <cellStyle name="60% - Accent2 4" xfId="125" xr:uid="{00000000-0005-0000-0000-0000A9000000}"/>
    <cellStyle name="60% - Accent3 2" xfId="37" xr:uid="{00000000-0005-0000-0000-000050000000}"/>
    <cellStyle name="60% - Accent3 3" xfId="36" xr:uid="{00000000-0005-0000-0000-00004F000000}"/>
    <cellStyle name="60% - Accent3 4" xfId="126" xr:uid="{00000000-0005-0000-0000-0000AA000000}"/>
    <cellStyle name="60% - Accent4 2" xfId="39" xr:uid="{00000000-0005-0000-0000-000052000000}"/>
    <cellStyle name="60% - Accent4 3" xfId="38" xr:uid="{00000000-0005-0000-0000-000051000000}"/>
    <cellStyle name="60% - Accent4 4" xfId="127" xr:uid="{00000000-0005-0000-0000-0000AB000000}"/>
    <cellStyle name="60% - Accent5 2" xfId="41" xr:uid="{00000000-0005-0000-0000-000054000000}"/>
    <cellStyle name="60% - Accent5 3" xfId="40" xr:uid="{00000000-0005-0000-0000-000053000000}"/>
    <cellStyle name="60% - Accent5 4" xfId="128" xr:uid="{00000000-0005-0000-0000-0000AC000000}"/>
    <cellStyle name="60% - Accent6 2" xfId="43" xr:uid="{00000000-0005-0000-0000-000056000000}"/>
    <cellStyle name="60% - Accent6 3" xfId="42" xr:uid="{00000000-0005-0000-0000-000055000000}"/>
    <cellStyle name="60% - Accent6 4" xfId="129" xr:uid="{00000000-0005-0000-0000-0000AD000000}"/>
    <cellStyle name="Accent1 2" xfId="6" xr:uid="{303C8EFA-AD05-41DB-85F2-E41B59C337E9}"/>
    <cellStyle name="Accent1 2 2" xfId="45" xr:uid="{00000000-0005-0000-0000-000058000000}"/>
    <cellStyle name="Accent1 3" xfId="44" xr:uid="{00000000-0005-0000-0000-000057000000}"/>
    <cellStyle name="Accent2 2" xfId="47" xr:uid="{00000000-0005-0000-0000-00005A000000}"/>
    <cellStyle name="Accent2 3" xfId="46" xr:uid="{00000000-0005-0000-0000-000059000000}"/>
    <cellStyle name="Accent2 4" xfId="130" xr:uid="{00000000-0005-0000-0000-0000AE000000}"/>
    <cellStyle name="Accent3 2" xfId="49" xr:uid="{00000000-0005-0000-0000-00005C000000}"/>
    <cellStyle name="Accent3 3" xfId="48" xr:uid="{00000000-0005-0000-0000-00005B000000}"/>
    <cellStyle name="Accent3 4" xfId="131" xr:uid="{00000000-0005-0000-0000-0000AF000000}"/>
    <cellStyle name="Accent4 2" xfId="51" xr:uid="{00000000-0005-0000-0000-00005E000000}"/>
    <cellStyle name="Accent4 3" xfId="50" xr:uid="{00000000-0005-0000-0000-00005D000000}"/>
    <cellStyle name="Accent4 4" xfId="132" xr:uid="{00000000-0005-0000-0000-0000B0000000}"/>
    <cellStyle name="Accent5 2" xfId="53" xr:uid="{00000000-0005-0000-0000-000060000000}"/>
    <cellStyle name="Accent5 3" xfId="52" xr:uid="{00000000-0005-0000-0000-00005F000000}"/>
    <cellStyle name="Accent5 4" xfId="133" xr:uid="{00000000-0005-0000-0000-0000B1000000}"/>
    <cellStyle name="Accent6 2" xfId="55" xr:uid="{00000000-0005-0000-0000-000062000000}"/>
    <cellStyle name="Accent6 3" xfId="54" xr:uid="{00000000-0005-0000-0000-000061000000}"/>
    <cellStyle name="Accent6 4" xfId="134" xr:uid="{00000000-0005-0000-0000-0000B2000000}"/>
    <cellStyle name="Bad 2" xfId="57" xr:uid="{00000000-0005-0000-0000-000064000000}"/>
    <cellStyle name="Bad 3" xfId="56" xr:uid="{00000000-0005-0000-0000-000063000000}"/>
    <cellStyle name="Bad 4" xfId="135" xr:uid="{00000000-0005-0000-0000-0000B3000000}"/>
    <cellStyle name="Calculation 2" xfId="59" xr:uid="{00000000-0005-0000-0000-000066000000}"/>
    <cellStyle name="Calculation 3" xfId="58" xr:uid="{00000000-0005-0000-0000-000065000000}"/>
    <cellStyle name="Calculation 4" xfId="136" xr:uid="{00000000-0005-0000-0000-0000B4000000}"/>
    <cellStyle name="Check Cell 2" xfId="61" xr:uid="{00000000-0005-0000-0000-000068000000}"/>
    <cellStyle name="Check Cell 3" xfId="60" xr:uid="{00000000-0005-0000-0000-000067000000}"/>
    <cellStyle name="Check Cell 4" xfId="137" xr:uid="{00000000-0005-0000-0000-0000B5000000}"/>
    <cellStyle name="Comma" xfId="1" builtinId="3"/>
    <cellStyle name="Comma 2" xfId="4" xr:uid="{00000000-0005-0000-0000-000001000000}"/>
    <cellStyle name="Comma 2 2" xfId="64" xr:uid="{00000000-0005-0000-0000-00006B000000}"/>
    <cellStyle name="Comma 2 2 2" xfId="65" xr:uid="{00000000-0005-0000-0000-00006C000000}"/>
    <cellStyle name="Comma 2 3" xfId="66" xr:uid="{00000000-0005-0000-0000-00006D000000}"/>
    <cellStyle name="Comma 2 4" xfId="63" xr:uid="{00000000-0005-0000-0000-00006A000000}"/>
    <cellStyle name="Comma 3" xfId="67" xr:uid="{00000000-0005-0000-0000-00006E000000}"/>
    <cellStyle name="Comma 4" xfId="62" xr:uid="{00000000-0005-0000-0000-000069000000}"/>
    <cellStyle name="Comma 5" xfId="5" xr:uid="{00000000-0005-0000-0000-000002000000}"/>
    <cellStyle name="Comma 5 10" xfId="150" xr:uid="{133BA7AA-6AA7-4268-933C-795C624DFCE3}"/>
    <cellStyle name="Comma 5 2" xfId="69" xr:uid="{00000000-0005-0000-0000-000070000000}"/>
    <cellStyle name="Comma 5 3" xfId="68" xr:uid="{00000000-0005-0000-0000-00006F000000}"/>
    <cellStyle name="Comma 7" xfId="70" xr:uid="{00000000-0005-0000-0000-000071000000}"/>
    <cellStyle name="Explanatory Text 2" xfId="72" xr:uid="{00000000-0005-0000-0000-000073000000}"/>
    <cellStyle name="Explanatory Text 3" xfId="71" xr:uid="{00000000-0005-0000-0000-000072000000}"/>
    <cellStyle name="Explanatory Text 4" xfId="138" xr:uid="{00000000-0005-0000-0000-0000B6000000}"/>
    <cellStyle name="Good 2" xfId="74" xr:uid="{00000000-0005-0000-0000-000075000000}"/>
    <cellStyle name="Good 3" xfId="73" xr:uid="{00000000-0005-0000-0000-000074000000}"/>
    <cellStyle name="Good 4" xfId="139" xr:uid="{00000000-0005-0000-0000-0000B7000000}"/>
    <cellStyle name="Heading 1 2" xfId="76" xr:uid="{00000000-0005-0000-0000-000077000000}"/>
    <cellStyle name="Heading 1 3" xfId="75" xr:uid="{00000000-0005-0000-0000-000076000000}"/>
    <cellStyle name="Heading 1 4" xfId="140" xr:uid="{00000000-0005-0000-0000-0000B8000000}"/>
    <cellStyle name="Heading 2 2" xfId="78" xr:uid="{00000000-0005-0000-0000-000079000000}"/>
    <cellStyle name="Heading 2 3" xfId="77" xr:uid="{00000000-0005-0000-0000-000078000000}"/>
    <cellStyle name="Heading 2 4" xfId="141" xr:uid="{00000000-0005-0000-0000-0000B9000000}"/>
    <cellStyle name="Heading 3 2" xfId="80" xr:uid="{00000000-0005-0000-0000-00007B000000}"/>
    <cellStyle name="Heading 3 3" xfId="79" xr:uid="{00000000-0005-0000-0000-00007A000000}"/>
    <cellStyle name="Heading 3 4" xfId="142" xr:uid="{00000000-0005-0000-0000-0000BA000000}"/>
    <cellStyle name="Heading 4 2" xfId="82" xr:uid="{00000000-0005-0000-0000-00007D000000}"/>
    <cellStyle name="Heading 4 3" xfId="81" xr:uid="{00000000-0005-0000-0000-00007C000000}"/>
    <cellStyle name="Heading 4 4" xfId="143" xr:uid="{00000000-0005-0000-0000-0000BB000000}"/>
    <cellStyle name="Input 2" xfId="84" xr:uid="{00000000-0005-0000-0000-00007F000000}"/>
    <cellStyle name="Input 3" xfId="83" xr:uid="{00000000-0005-0000-0000-00007E000000}"/>
    <cellStyle name="Input 4" xfId="144" xr:uid="{00000000-0005-0000-0000-0000BC000000}"/>
    <cellStyle name="Linked Cell 2" xfId="86" xr:uid="{00000000-0005-0000-0000-000081000000}"/>
    <cellStyle name="Linked Cell 3" xfId="85" xr:uid="{00000000-0005-0000-0000-000080000000}"/>
    <cellStyle name="Linked Cell 4" xfId="145" xr:uid="{00000000-0005-0000-0000-0000BD000000}"/>
    <cellStyle name="Neutral 2" xfId="88" xr:uid="{00000000-0005-0000-0000-000083000000}"/>
    <cellStyle name="Neutral 3" xfId="87" xr:uid="{00000000-0005-0000-0000-000082000000}"/>
    <cellStyle name="Neutral 4" xfId="146" xr:uid="{00000000-0005-0000-0000-0000BE000000}"/>
    <cellStyle name="Normal" xfId="0" builtinId="0"/>
    <cellStyle name="Normal 2" xfId="3" xr:uid="{00000000-0005-0000-0000-000004000000}"/>
    <cellStyle name="Normal 2 2" xfId="90" xr:uid="{00000000-0005-0000-0000-000086000000}"/>
    <cellStyle name="Normal 2 3" xfId="91" xr:uid="{00000000-0005-0000-0000-000087000000}"/>
    <cellStyle name="Normal 2 3 2" xfId="92" xr:uid="{00000000-0005-0000-0000-000088000000}"/>
    <cellStyle name="Normal 2 4" xfId="93" xr:uid="{00000000-0005-0000-0000-000089000000}"/>
    <cellStyle name="Normal 2 5" xfId="89" xr:uid="{00000000-0005-0000-0000-000085000000}"/>
    <cellStyle name="Normal 3" xfId="94" xr:uid="{00000000-0005-0000-0000-00008A000000}"/>
    <cellStyle name="Normal 4" xfId="95" xr:uid="{00000000-0005-0000-0000-00008B000000}"/>
    <cellStyle name="Normal 5" xfId="96" xr:uid="{00000000-0005-0000-0000-00008C000000}"/>
    <cellStyle name="Normal 5 2" xfId="97" xr:uid="{00000000-0005-0000-0000-00008D000000}"/>
    <cellStyle name="Normal 6" xfId="7" xr:uid="{00000000-0005-0000-0000-000084000000}"/>
    <cellStyle name="Normal 8" xfId="98" xr:uid="{00000000-0005-0000-0000-00008E000000}"/>
    <cellStyle name="Note 2" xfId="100" xr:uid="{00000000-0005-0000-0000-000090000000}"/>
    <cellStyle name="Note 3" xfId="99" xr:uid="{00000000-0005-0000-0000-00008F000000}"/>
    <cellStyle name="Output 2" xfId="102" xr:uid="{00000000-0005-0000-0000-000092000000}"/>
    <cellStyle name="Output 3" xfId="101" xr:uid="{00000000-0005-0000-0000-000091000000}"/>
    <cellStyle name="Output 4" xfId="147" xr:uid="{00000000-0005-0000-0000-0000BF000000}"/>
    <cellStyle name="Percent" xfId="2" builtinId="5"/>
    <cellStyle name="Percent 2" xfId="104" xr:uid="{00000000-0005-0000-0000-000094000000}"/>
    <cellStyle name="Percent 3" xfId="103" xr:uid="{00000000-0005-0000-0000-000093000000}"/>
    <cellStyle name="Style 1 2" xfId="105" xr:uid="{00000000-0005-0000-0000-000095000000}"/>
    <cellStyle name="Title 2" xfId="107" xr:uid="{00000000-0005-0000-0000-000097000000}"/>
    <cellStyle name="Title 3" xfId="106" xr:uid="{00000000-0005-0000-0000-000096000000}"/>
    <cellStyle name="Total 2" xfId="109" xr:uid="{00000000-0005-0000-0000-000099000000}"/>
    <cellStyle name="Total 3" xfId="108" xr:uid="{00000000-0005-0000-0000-000098000000}"/>
    <cellStyle name="Total 4" xfId="148" xr:uid="{00000000-0005-0000-0000-0000C0000000}"/>
    <cellStyle name="Warning Text 2" xfId="111" xr:uid="{00000000-0005-0000-0000-00009B000000}"/>
    <cellStyle name="Warning Text 3" xfId="110" xr:uid="{00000000-0005-0000-0000-00009A000000}"/>
    <cellStyle name="Warning Text 4" xfId="149" xr:uid="{00000000-0005-0000-0000-0000C1000000}"/>
  </cellStyles>
  <dxfs count="0"/>
  <tableStyles count="0" defaultTableStyle="TableStyleMedium2" defaultPivotStyle="PivotStyleLight16"/>
  <colors>
    <mruColors>
      <color rgb="FF9999FF"/>
      <color rgb="FFFF66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514350</xdr:colOff>
      <xdr:row>0</xdr:row>
      <xdr:rowOff>66675</xdr:rowOff>
    </xdr:from>
    <xdr:to>
      <xdr:col>17</xdr:col>
      <xdr:colOff>152400</xdr:colOff>
      <xdr:row>21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4104DC-3C8A-4F65-8F40-308CC8DA9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0" y="66675"/>
          <a:ext cx="5734050" cy="876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nexisam2017.sharepoint.com/Users/AlvinGoh/finexis%20Asset%20Management/FAM%20GO%20-%20Documents/Operations/SCB/Fund%20Administration/FGO%20PLUS/FGOPLUS%20NAV%20chec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s"/>
      <sheetName val="accruals"/>
      <sheetName val="Sheet1 (2)"/>
      <sheetName val="NAV Check"/>
      <sheetName val="DAILY NAV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3">
          <cell r="F33">
            <v>4436847.3699999992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8"/>
  <sheetViews>
    <sheetView topLeftCell="D1" workbookViewId="0">
      <selection activeCell="E11" sqref="E11"/>
    </sheetView>
  </sheetViews>
  <sheetFormatPr defaultRowHeight="14.4" x14ac:dyDescent="0.3"/>
  <cols>
    <col min="1" max="1" width="16" bestFit="1" customWidth="1"/>
    <col min="2" max="2" width="28.5546875" customWidth="1"/>
    <col min="3" max="3" width="39.44140625" style="15" customWidth="1"/>
    <col min="4" max="5" width="28.5546875" style="15" customWidth="1"/>
    <col min="6" max="6" width="28.5546875" customWidth="1"/>
    <col min="7" max="7" width="28.5546875" style="51" customWidth="1"/>
    <col min="8" max="8" width="28.5546875" customWidth="1"/>
    <col min="9" max="9" width="9.5546875" bestFit="1" customWidth="1"/>
  </cols>
  <sheetData>
    <row r="1" spans="1:10" x14ac:dyDescent="0.3">
      <c r="E1" s="15" t="s">
        <v>0</v>
      </c>
      <c r="H1" t="s">
        <v>1</v>
      </c>
      <c r="I1" s="1">
        <v>43284</v>
      </c>
    </row>
    <row r="2" spans="1:10" x14ac:dyDescent="0.3">
      <c r="I2" s="1"/>
    </row>
    <row r="3" spans="1:10" ht="28.8" x14ac:dyDescent="0.3">
      <c r="A3" t="s">
        <v>2</v>
      </c>
      <c r="B3" s="37" t="s">
        <v>3</v>
      </c>
      <c r="C3" s="38" t="s">
        <v>4</v>
      </c>
      <c r="D3" s="39">
        <f>(51500+500)/2</f>
        <v>26000</v>
      </c>
      <c r="E3" s="39">
        <f>+D3*7%</f>
        <v>1820.0000000000002</v>
      </c>
      <c r="F3" s="37">
        <f>365*5</f>
        <v>1825</v>
      </c>
      <c r="G3" s="62">
        <f>D3/F3</f>
        <v>14.246575342465754</v>
      </c>
      <c r="H3" s="46">
        <v>1.366895884591929</v>
      </c>
      <c r="I3" s="47">
        <f>G3/H3</f>
        <v>10.422575342465754</v>
      </c>
      <c r="J3" s="37"/>
    </row>
    <row r="4" spans="1:10" ht="22.8" x14ac:dyDescent="0.3">
      <c r="A4" t="s">
        <v>2</v>
      </c>
      <c r="B4" s="37" t="s">
        <v>3</v>
      </c>
      <c r="C4" s="41" t="s">
        <v>5</v>
      </c>
      <c r="D4" s="39">
        <f>1818/2</f>
        <v>909</v>
      </c>
      <c r="E4" s="39">
        <f>+D4*0.07</f>
        <v>63.63</v>
      </c>
      <c r="F4" s="37">
        <f t="shared" ref="F4:F9" si="0">365*5</f>
        <v>1825</v>
      </c>
      <c r="G4" s="62">
        <f t="shared" ref="G4:G14" si="1">D4/F4</f>
        <v>0.49808219178082191</v>
      </c>
      <c r="H4" s="46">
        <v>1.366895884591929</v>
      </c>
      <c r="I4" s="47">
        <f t="shared" ref="I4:I16" si="2">G4/H4</f>
        <v>0.36438926870389882</v>
      </c>
      <c r="J4" s="37"/>
    </row>
    <row r="5" spans="1:10" ht="22.8" x14ac:dyDescent="0.3">
      <c r="A5" t="s">
        <v>2</v>
      </c>
      <c r="B5" s="37" t="s">
        <v>3</v>
      </c>
      <c r="C5" s="41" t="s">
        <v>6</v>
      </c>
      <c r="D5" s="39">
        <f>(9000+4000)/2</f>
        <v>6500</v>
      </c>
      <c r="E5" s="39">
        <f>+D5*0.07</f>
        <v>455.00000000000006</v>
      </c>
      <c r="F5" s="37">
        <f t="shared" si="0"/>
        <v>1825</v>
      </c>
      <c r="G5" s="62">
        <f t="shared" si="1"/>
        <v>3.5616438356164384</v>
      </c>
      <c r="H5" s="46">
        <v>1.366895884591929</v>
      </c>
      <c r="I5" s="47">
        <f t="shared" si="2"/>
        <v>2.6056438356164384</v>
      </c>
      <c r="J5" s="37"/>
    </row>
    <row r="6" spans="1:10" ht="22.8" x14ac:dyDescent="0.3">
      <c r="A6" t="s">
        <v>2</v>
      </c>
      <c r="B6" s="37" t="s">
        <v>3</v>
      </c>
      <c r="C6" s="41" t="s">
        <v>7</v>
      </c>
      <c r="D6" s="39">
        <f>24500/2</f>
        <v>12250</v>
      </c>
      <c r="E6" s="39">
        <f>+D6*0.07</f>
        <v>857.50000000000011</v>
      </c>
      <c r="F6" s="37">
        <f t="shared" si="0"/>
        <v>1825</v>
      </c>
      <c r="G6" s="62">
        <f t="shared" si="1"/>
        <v>6.7123287671232879</v>
      </c>
      <c r="H6" s="46">
        <v>1.366895884591929</v>
      </c>
      <c r="I6" s="47">
        <f t="shared" si="2"/>
        <v>4.9106364594309797</v>
      </c>
      <c r="J6" s="37"/>
    </row>
    <row r="7" spans="1:10" x14ac:dyDescent="0.3">
      <c r="A7" t="s">
        <v>2</v>
      </c>
      <c r="B7" s="37" t="s">
        <v>3</v>
      </c>
      <c r="C7" s="41" t="s">
        <v>8</v>
      </c>
      <c r="D7" s="42">
        <v>65</v>
      </c>
      <c r="E7" s="42"/>
      <c r="F7" s="37">
        <f t="shared" si="0"/>
        <v>1825</v>
      </c>
      <c r="G7" s="62">
        <f t="shared" si="1"/>
        <v>3.5616438356164383E-2</v>
      </c>
      <c r="H7" s="46">
        <v>1.366895884591929</v>
      </c>
      <c r="I7" s="47">
        <f t="shared" si="2"/>
        <v>2.6056438356164384E-2</v>
      </c>
      <c r="J7" s="37"/>
    </row>
    <row r="8" spans="1:10" ht="34.200000000000003" x14ac:dyDescent="0.3">
      <c r="A8" t="s">
        <v>2</v>
      </c>
      <c r="B8" s="37" t="s">
        <v>3</v>
      </c>
      <c r="C8" s="41" t="s">
        <v>9</v>
      </c>
      <c r="D8" s="39">
        <f>2500+100</f>
        <v>2600</v>
      </c>
      <c r="E8" s="39">
        <f>+D8*0.07</f>
        <v>182.00000000000003</v>
      </c>
      <c r="F8" s="37">
        <f t="shared" si="0"/>
        <v>1825</v>
      </c>
      <c r="G8" s="62">
        <f t="shared" si="1"/>
        <v>1.4246575342465753</v>
      </c>
      <c r="H8" s="46">
        <v>1.366895884591929</v>
      </c>
      <c r="I8" s="47">
        <f t="shared" si="2"/>
        <v>1.0422575342465752</v>
      </c>
      <c r="J8" s="48">
        <f>SUM(I3:I8)</f>
        <v>19.371558878819812</v>
      </c>
    </row>
    <row r="9" spans="1:10" x14ac:dyDescent="0.3">
      <c r="B9" s="15" t="s">
        <v>10</v>
      </c>
      <c r="C9" s="41"/>
      <c r="D9" s="39">
        <v>3378.1300000000006</v>
      </c>
      <c r="E9" s="39">
        <f>+E3+E4+E5+E6+E8</f>
        <v>3378.1300000000006</v>
      </c>
      <c r="F9" s="37">
        <f t="shared" si="0"/>
        <v>1825</v>
      </c>
      <c r="G9" s="62">
        <f>D9/F9</f>
        <v>1.8510301369863016</v>
      </c>
      <c r="H9" s="46">
        <v>1.366895884591929</v>
      </c>
      <c r="I9" s="47">
        <f>G9/H9</f>
        <v>1.3541851708324553</v>
      </c>
      <c r="J9" s="48"/>
    </row>
    <row r="10" spans="1:10" x14ac:dyDescent="0.3">
      <c r="A10" s="27" t="s">
        <v>11</v>
      </c>
      <c r="B10" s="54" t="s">
        <v>12</v>
      </c>
      <c r="C10" s="53" t="s">
        <v>13</v>
      </c>
      <c r="D10" s="29">
        <v>13000</v>
      </c>
      <c r="E10" s="29">
        <f>+D10*0.07</f>
        <v>910.00000000000011</v>
      </c>
      <c r="F10" s="54">
        <v>363</v>
      </c>
      <c r="G10" s="62">
        <f t="shared" si="1"/>
        <v>35.812672176308538</v>
      </c>
      <c r="H10" s="55">
        <f>G10/26.2</f>
        <v>1.366895884591929</v>
      </c>
      <c r="I10" s="56">
        <f t="shared" si="2"/>
        <v>26.2</v>
      </c>
      <c r="J10" s="27"/>
    </row>
    <row r="11" spans="1:10" x14ac:dyDescent="0.3">
      <c r="A11" s="27" t="s">
        <v>11</v>
      </c>
      <c r="B11" s="54" t="s">
        <v>14</v>
      </c>
      <c r="C11" s="53" t="s">
        <v>15</v>
      </c>
      <c r="D11" s="32">
        <v>2000</v>
      </c>
      <c r="E11" s="60">
        <f>+D11*0.07</f>
        <v>140</v>
      </c>
      <c r="F11" s="54">
        <v>365</v>
      </c>
      <c r="G11" s="49">
        <f t="shared" si="1"/>
        <v>5.4794520547945202</v>
      </c>
      <c r="H11" s="55">
        <v>1</v>
      </c>
      <c r="I11" s="56">
        <f t="shared" si="2"/>
        <v>5.4794520547945202</v>
      </c>
      <c r="J11" s="27"/>
    </row>
    <row r="12" spans="1:10" ht="144" x14ac:dyDescent="0.3">
      <c r="A12" s="27"/>
      <c r="B12" s="54" t="s">
        <v>16</v>
      </c>
      <c r="C12" s="28" t="s">
        <v>17</v>
      </c>
      <c r="D12" s="32">
        <f>4500*12</f>
        <v>54000</v>
      </c>
      <c r="E12" s="60">
        <f>D12*0.07</f>
        <v>3780.0000000000005</v>
      </c>
      <c r="F12" s="28">
        <v>365</v>
      </c>
      <c r="G12" s="49">
        <f>D12/F12</f>
        <v>147.94520547945206</v>
      </c>
      <c r="H12" s="55">
        <v>1</v>
      </c>
      <c r="I12" s="56">
        <f>G12/H12</f>
        <v>147.94520547945206</v>
      </c>
      <c r="J12" s="57">
        <f>+I12+I11</f>
        <v>153.42465753424656</v>
      </c>
    </row>
    <row r="13" spans="1:10" x14ac:dyDescent="0.3">
      <c r="A13" s="27"/>
      <c r="B13" s="58" t="s">
        <v>18</v>
      </c>
      <c r="C13" s="31" t="s">
        <v>19</v>
      </c>
      <c r="D13" s="32">
        <v>800</v>
      </c>
      <c r="E13" s="60">
        <f>+D13*0.07</f>
        <v>56.000000000000007</v>
      </c>
      <c r="F13" s="58">
        <v>365</v>
      </c>
      <c r="G13" s="49">
        <f t="shared" si="1"/>
        <v>2.1917808219178081</v>
      </c>
      <c r="H13" s="55">
        <v>1</v>
      </c>
      <c r="I13" s="56">
        <f t="shared" si="2"/>
        <v>2.1917808219178081</v>
      </c>
      <c r="J13" s="27"/>
    </row>
    <row r="14" spans="1:10" ht="22.8" x14ac:dyDescent="0.3">
      <c r="A14" s="27"/>
      <c r="B14" s="54" t="s">
        <v>20</v>
      </c>
      <c r="C14" s="31" t="s">
        <v>21</v>
      </c>
      <c r="D14" s="29">
        <v>25000</v>
      </c>
      <c r="E14" s="59">
        <f>+D14*0.07</f>
        <v>1750.0000000000002</v>
      </c>
      <c r="F14" s="58">
        <v>365</v>
      </c>
      <c r="G14" s="62">
        <f t="shared" si="1"/>
        <v>68.493150684931507</v>
      </c>
      <c r="H14" s="55">
        <v>1.366895884591929</v>
      </c>
      <c r="I14" s="56">
        <f>G14/H14</f>
        <v>50.10853530031612</v>
      </c>
      <c r="J14" s="27"/>
    </row>
    <row r="15" spans="1:10" x14ac:dyDescent="0.3">
      <c r="C15" s="15" t="s">
        <v>22</v>
      </c>
      <c r="D15" s="19">
        <f>+E11+E12+E13</f>
        <v>3976.0000000000005</v>
      </c>
      <c r="F15">
        <v>365</v>
      </c>
      <c r="G15" s="49">
        <f>D15/F15</f>
        <v>10.893150684931507</v>
      </c>
      <c r="H15" s="44">
        <v>1</v>
      </c>
      <c r="I15" s="43">
        <f>G15/H15</f>
        <v>10.893150684931507</v>
      </c>
    </row>
    <row r="16" spans="1:10" x14ac:dyDescent="0.3">
      <c r="C16" s="15" t="s">
        <v>10</v>
      </c>
      <c r="D16" s="18">
        <f>E10</f>
        <v>910.00000000000011</v>
      </c>
      <c r="F16">
        <v>365</v>
      </c>
      <c r="G16" s="62">
        <f>D16/F16</f>
        <v>2.493150684931507</v>
      </c>
      <c r="H16" s="44">
        <v>1.366895884591929</v>
      </c>
      <c r="I16" s="43">
        <f t="shared" si="2"/>
        <v>1.823950684931507</v>
      </c>
      <c r="J16" s="20">
        <f>+I16+I9</f>
        <v>3.1781358557639621</v>
      </c>
    </row>
    <row r="17" spans="2:10" x14ac:dyDescent="0.3">
      <c r="B17" s="14" t="s">
        <v>23</v>
      </c>
      <c r="C17" s="16" t="s">
        <v>24</v>
      </c>
      <c r="D17" s="16"/>
      <c r="E17" s="16"/>
      <c r="F17" s="14"/>
      <c r="G17" s="50"/>
      <c r="H17" s="14"/>
      <c r="J17" s="45">
        <f>+I15+J16</f>
        <v>14.071286540695469</v>
      </c>
    </row>
    <row r="18" spans="2:10" x14ac:dyDescent="0.3">
      <c r="B18" s="14" t="s">
        <v>25</v>
      </c>
      <c r="C18" s="17" t="s">
        <v>26</v>
      </c>
      <c r="D18" s="17"/>
      <c r="E18" s="17"/>
      <c r="F18" s="9"/>
      <c r="G18" s="63"/>
      <c r="H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E65"/>
  <sheetViews>
    <sheetView workbookViewId="0">
      <selection activeCell="C13" sqref="C13"/>
    </sheetView>
  </sheetViews>
  <sheetFormatPr defaultRowHeight="14.4" x14ac:dyDescent="0.3"/>
  <cols>
    <col min="2" max="2" width="15.5546875" bestFit="1" customWidth="1"/>
    <col min="3" max="3" width="31.5546875" customWidth="1"/>
    <col min="4" max="4" width="19.44140625" bestFit="1" customWidth="1"/>
    <col min="5" max="5" width="53.5546875" bestFit="1" customWidth="1"/>
  </cols>
  <sheetData>
    <row r="1" spans="2:5" ht="15" thickBot="1" x14ac:dyDescent="0.35"/>
    <row r="2" spans="2:5" ht="15" thickBot="1" x14ac:dyDescent="0.35">
      <c r="B2" s="2" t="s">
        <v>27</v>
      </c>
      <c r="C2" s="3" t="s">
        <v>28</v>
      </c>
      <c r="D2" s="3" t="s">
        <v>29</v>
      </c>
      <c r="E2" s="3" t="s">
        <v>30</v>
      </c>
    </row>
    <row r="3" spans="2:5" x14ac:dyDescent="0.3">
      <c r="B3" s="220" t="s">
        <v>23</v>
      </c>
      <c r="C3" s="4" t="s">
        <v>31</v>
      </c>
      <c r="D3" s="220" t="s">
        <v>24</v>
      </c>
      <c r="E3" s="220"/>
    </row>
    <row r="4" spans="2:5" x14ac:dyDescent="0.3">
      <c r="B4" s="224"/>
      <c r="C4" s="5"/>
      <c r="D4" s="224"/>
      <c r="E4" s="224"/>
    </row>
    <row r="5" spans="2:5" x14ac:dyDescent="0.3">
      <c r="B5" s="224"/>
      <c r="C5" s="5" t="s">
        <v>32</v>
      </c>
      <c r="D5" s="224"/>
      <c r="E5" s="224"/>
    </row>
    <row r="6" spans="2:5" x14ac:dyDescent="0.3">
      <c r="B6" s="224"/>
      <c r="C6" s="5"/>
      <c r="D6" s="224"/>
      <c r="E6" s="224"/>
    </row>
    <row r="7" spans="2:5" x14ac:dyDescent="0.3">
      <c r="B7" s="224"/>
      <c r="C7" s="5" t="s">
        <v>33</v>
      </c>
      <c r="D7" s="224"/>
      <c r="E7" s="224"/>
    </row>
    <row r="8" spans="2:5" ht="15" thickBot="1" x14ac:dyDescent="0.35">
      <c r="B8" s="221"/>
      <c r="C8" s="6"/>
      <c r="D8" s="221"/>
      <c r="E8" s="221"/>
    </row>
    <row r="9" spans="2:5" x14ac:dyDescent="0.3">
      <c r="B9" s="220" t="s">
        <v>20</v>
      </c>
      <c r="C9" s="4" t="s">
        <v>31</v>
      </c>
      <c r="D9" s="5"/>
      <c r="E9" s="222" t="s">
        <v>34</v>
      </c>
    </row>
    <row r="10" spans="2:5" x14ac:dyDescent="0.3">
      <c r="B10" s="224"/>
      <c r="C10" s="7"/>
      <c r="D10" s="5"/>
      <c r="E10" s="225"/>
    </row>
    <row r="11" spans="2:5" ht="34.200000000000003" x14ac:dyDescent="0.3">
      <c r="B11" s="224"/>
      <c r="C11" s="4" t="s">
        <v>35</v>
      </c>
      <c r="D11" s="5" t="s">
        <v>36</v>
      </c>
      <c r="E11" s="225"/>
    </row>
    <row r="12" spans="2:5" x14ac:dyDescent="0.3">
      <c r="B12" s="224"/>
      <c r="C12" s="7"/>
      <c r="D12" s="5"/>
      <c r="E12" s="225"/>
    </row>
    <row r="13" spans="2:5" ht="34.200000000000003" x14ac:dyDescent="0.3">
      <c r="B13" s="224"/>
      <c r="C13" s="7"/>
      <c r="D13" s="5" t="s">
        <v>37</v>
      </c>
      <c r="E13" s="225"/>
    </row>
    <row r="14" spans="2:5" ht="15" thickBot="1" x14ac:dyDescent="0.35">
      <c r="B14" s="221"/>
      <c r="C14" s="8" t="s">
        <v>38</v>
      </c>
      <c r="D14" s="6"/>
      <c r="E14" s="223"/>
    </row>
    <row r="15" spans="2:5" x14ac:dyDescent="0.3">
      <c r="B15" s="220" t="s">
        <v>18</v>
      </c>
      <c r="C15" s="4" t="s">
        <v>39</v>
      </c>
      <c r="D15" s="5"/>
      <c r="E15" s="222" t="s">
        <v>40</v>
      </c>
    </row>
    <row r="16" spans="2:5" x14ac:dyDescent="0.3">
      <c r="B16" s="224"/>
      <c r="C16" s="5"/>
      <c r="D16" s="5"/>
      <c r="E16" s="225"/>
    </row>
    <row r="17" spans="2:5" x14ac:dyDescent="0.3">
      <c r="B17" s="224"/>
      <c r="C17" s="5"/>
      <c r="D17" s="5"/>
      <c r="E17" s="225"/>
    </row>
    <row r="18" spans="2:5" ht="22.8" x14ac:dyDescent="0.3">
      <c r="B18" s="224"/>
      <c r="C18" s="5" t="s">
        <v>41</v>
      </c>
      <c r="D18" s="5" t="s">
        <v>42</v>
      </c>
      <c r="E18" s="225"/>
    </row>
    <row r="19" spans="2:5" x14ac:dyDescent="0.3">
      <c r="B19" s="224"/>
      <c r="C19" s="12"/>
      <c r="D19" s="5"/>
      <c r="E19" s="225"/>
    </row>
    <row r="20" spans="2:5" ht="34.200000000000003" x14ac:dyDescent="0.3">
      <c r="B20" s="224"/>
      <c r="C20" s="12" t="s">
        <v>43</v>
      </c>
      <c r="D20" s="5"/>
      <c r="E20" s="225"/>
    </row>
    <row r="21" spans="2:5" x14ac:dyDescent="0.3">
      <c r="B21" s="224"/>
      <c r="C21" s="5"/>
      <c r="D21" s="5" t="s">
        <v>44</v>
      </c>
      <c r="E21" s="225"/>
    </row>
    <row r="22" spans="2:5" x14ac:dyDescent="0.3">
      <c r="B22" s="224"/>
      <c r="C22" s="5" t="s">
        <v>45</v>
      </c>
      <c r="D22" s="5"/>
      <c r="E22" s="225"/>
    </row>
    <row r="23" spans="2:5" x14ac:dyDescent="0.3">
      <c r="B23" s="224"/>
      <c r="C23" s="5"/>
      <c r="D23" s="5" t="s">
        <v>44</v>
      </c>
      <c r="E23" s="225"/>
    </row>
    <row r="24" spans="2:5" x14ac:dyDescent="0.3">
      <c r="B24" s="224"/>
      <c r="C24" s="5" t="s">
        <v>46</v>
      </c>
      <c r="D24" s="5"/>
      <c r="E24" s="225"/>
    </row>
    <row r="25" spans="2:5" ht="22.8" x14ac:dyDescent="0.3">
      <c r="B25" s="224"/>
      <c r="C25" s="5" t="s">
        <v>47</v>
      </c>
      <c r="D25" s="5" t="s">
        <v>19</v>
      </c>
      <c r="E25" s="225"/>
    </row>
    <row r="26" spans="2:5" x14ac:dyDescent="0.3">
      <c r="B26" s="224"/>
      <c r="C26" s="5"/>
      <c r="D26" s="5"/>
      <c r="E26" s="225"/>
    </row>
    <row r="27" spans="2:5" x14ac:dyDescent="0.3">
      <c r="B27" s="224"/>
      <c r="C27" s="5"/>
      <c r="D27" s="5"/>
      <c r="E27" s="225"/>
    </row>
    <row r="28" spans="2:5" ht="15" thickBot="1" x14ac:dyDescent="0.35">
      <c r="B28" s="221"/>
      <c r="C28" s="6"/>
      <c r="D28" s="13"/>
      <c r="E28" s="223"/>
    </row>
    <row r="29" spans="2:5" x14ac:dyDescent="0.3">
      <c r="B29" s="220" t="s">
        <v>16</v>
      </c>
      <c r="C29" s="4" t="s">
        <v>39</v>
      </c>
      <c r="D29" s="5"/>
      <c r="E29" s="220"/>
    </row>
    <row r="30" spans="2:5" x14ac:dyDescent="0.3">
      <c r="B30" s="224"/>
      <c r="C30" s="5"/>
      <c r="D30" s="5"/>
      <c r="E30" s="224"/>
    </row>
    <row r="31" spans="2:5" ht="24.6" x14ac:dyDescent="0.3">
      <c r="B31" s="224"/>
      <c r="C31" s="5" t="s">
        <v>48</v>
      </c>
      <c r="D31" s="5" t="s">
        <v>49</v>
      </c>
      <c r="E31" s="224"/>
    </row>
    <row r="32" spans="2:5" ht="34.200000000000003" x14ac:dyDescent="0.3">
      <c r="B32" s="224"/>
      <c r="C32" s="12" t="s">
        <v>50</v>
      </c>
      <c r="D32" s="5" t="s">
        <v>51</v>
      </c>
      <c r="E32" s="224"/>
    </row>
    <row r="33" spans="2:5" ht="22.8" x14ac:dyDescent="0.3">
      <c r="B33" s="224"/>
      <c r="C33" s="12"/>
      <c r="D33" s="5" t="s">
        <v>52</v>
      </c>
      <c r="E33" s="224"/>
    </row>
    <row r="34" spans="2:5" x14ac:dyDescent="0.3">
      <c r="B34" s="224"/>
      <c r="C34" s="12" t="s">
        <v>53</v>
      </c>
      <c r="D34" s="5"/>
      <c r="E34" s="224"/>
    </row>
    <row r="35" spans="2:5" x14ac:dyDescent="0.3">
      <c r="B35" s="224"/>
      <c r="C35" s="5"/>
      <c r="D35" s="5"/>
      <c r="E35" s="224"/>
    </row>
    <row r="36" spans="2:5" x14ac:dyDescent="0.3">
      <c r="B36" s="224"/>
      <c r="C36" s="5"/>
      <c r="D36" s="5"/>
      <c r="E36" s="224"/>
    </row>
    <row r="37" spans="2:5" x14ac:dyDescent="0.3">
      <c r="B37" s="224"/>
      <c r="C37" s="5" t="s">
        <v>54</v>
      </c>
      <c r="D37" s="5"/>
      <c r="E37" s="224"/>
    </row>
    <row r="38" spans="2:5" x14ac:dyDescent="0.3">
      <c r="B38" s="224"/>
      <c r="C38" s="5"/>
      <c r="D38" s="5"/>
      <c r="E38" s="224"/>
    </row>
    <row r="39" spans="2:5" x14ac:dyDescent="0.3">
      <c r="B39" s="224"/>
      <c r="C39" s="5"/>
      <c r="D39" s="5"/>
      <c r="E39" s="224"/>
    </row>
    <row r="40" spans="2:5" ht="15" thickBot="1" x14ac:dyDescent="0.35">
      <c r="B40" s="221"/>
      <c r="C40" s="13"/>
      <c r="D40" s="6"/>
      <c r="E40" s="221"/>
    </row>
    <row r="41" spans="2:5" ht="22.8" x14ac:dyDescent="0.3">
      <c r="B41" s="199" t="s">
        <v>55</v>
      </c>
      <c r="C41" s="4" t="s">
        <v>39</v>
      </c>
      <c r="D41" s="5"/>
      <c r="E41" s="222" t="s">
        <v>56</v>
      </c>
    </row>
    <row r="42" spans="2:5" x14ac:dyDescent="0.3">
      <c r="B42" s="199"/>
      <c r="C42" s="5"/>
      <c r="D42" s="5"/>
      <c r="E42" s="225"/>
    </row>
    <row r="43" spans="2:5" x14ac:dyDescent="0.3">
      <c r="B43" s="199" t="s">
        <v>57</v>
      </c>
      <c r="C43" s="5"/>
      <c r="D43" s="5"/>
      <c r="E43" s="225"/>
    </row>
    <row r="44" spans="2:5" ht="22.8" x14ac:dyDescent="0.3">
      <c r="B44" s="199"/>
      <c r="C44" s="5" t="s">
        <v>58</v>
      </c>
      <c r="D44" s="5" t="s">
        <v>59</v>
      </c>
      <c r="E44" s="225"/>
    </row>
    <row r="45" spans="2:5" x14ac:dyDescent="0.3">
      <c r="B45" s="10"/>
      <c r="C45" s="5"/>
      <c r="D45" s="5"/>
      <c r="E45" s="225"/>
    </row>
    <row r="46" spans="2:5" ht="22.8" x14ac:dyDescent="0.3">
      <c r="B46" s="10"/>
      <c r="C46" s="5"/>
      <c r="D46" s="5" t="s">
        <v>60</v>
      </c>
      <c r="E46" s="225"/>
    </row>
    <row r="47" spans="2:5" ht="22.8" x14ac:dyDescent="0.3">
      <c r="B47" s="10"/>
      <c r="C47" s="5" t="s">
        <v>61</v>
      </c>
      <c r="D47" s="5"/>
      <c r="E47" s="225"/>
    </row>
    <row r="48" spans="2:5" ht="22.8" x14ac:dyDescent="0.3">
      <c r="B48" s="10"/>
      <c r="C48" s="5"/>
      <c r="D48" s="5" t="s">
        <v>62</v>
      </c>
      <c r="E48" s="225"/>
    </row>
    <row r="49" spans="2:5" x14ac:dyDescent="0.3">
      <c r="B49" s="10"/>
      <c r="C49" s="5"/>
      <c r="D49" s="5"/>
      <c r="E49" s="225"/>
    </row>
    <row r="50" spans="2:5" ht="22.8" x14ac:dyDescent="0.3">
      <c r="B50" s="10"/>
      <c r="C50" s="5" t="s">
        <v>63</v>
      </c>
      <c r="D50" s="5"/>
      <c r="E50" s="225"/>
    </row>
    <row r="51" spans="2:5" ht="22.8" x14ac:dyDescent="0.3">
      <c r="B51" s="10"/>
      <c r="C51" s="5"/>
      <c r="D51" s="5" t="s">
        <v>64</v>
      </c>
      <c r="E51" s="225"/>
    </row>
    <row r="52" spans="2:5" x14ac:dyDescent="0.3">
      <c r="B52" s="10"/>
      <c r="C52" s="5" t="s">
        <v>65</v>
      </c>
      <c r="D52" s="5"/>
      <c r="E52" s="225"/>
    </row>
    <row r="53" spans="2:5" x14ac:dyDescent="0.3">
      <c r="B53" s="10"/>
      <c r="C53" s="5"/>
      <c r="D53" s="5" t="s">
        <v>66</v>
      </c>
      <c r="E53" s="225"/>
    </row>
    <row r="54" spans="2:5" x14ac:dyDescent="0.3">
      <c r="B54" s="10"/>
      <c r="C54" s="5"/>
      <c r="D54" s="5"/>
      <c r="E54" s="225"/>
    </row>
    <row r="55" spans="2:5" ht="15" thickBot="1" x14ac:dyDescent="0.35">
      <c r="B55" s="11"/>
      <c r="C55" s="6" t="s">
        <v>67</v>
      </c>
      <c r="D55" s="13"/>
      <c r="E55" s="223"/>
    </row>
    <row r="56" spans="2:5" x14ac:dyDescent="0.3">
      <c r="B56" s="220" t="s">
        <v>12</v>
      </c>
      <c r="C56" s="5" t="s">
        <v>68</v>
      </c>
      <c r="D56" s="5" t="s">
        <v>69</v>
      </c>
      <c r="E56" s="220"/>
    </row>
    <row r="57" spans="2:5" x14ac:dyDescent="0.3">
      <c r="B57" s="224"/>
      <c r="C57" s="5"/>
      <c r="D57" s="5"/>
      <c r="E57" s="224"/>
    </row>
    <row r="58" spans="2:5" ht="15" thickBot="1" x14ac:dyDescent="0.35">
      <c r="B58" s="221"/>
      <c r="C58" s="6" t="s">
        <v>70</v>
      </c>
      <c r="D58" s="6" t="s">
        <v>71</v>
      </c>
      <c r="E58" s="221"/>
    </row>
    <row r="59" spans="2:5" ht="29.25" customHeight="1" x14ac:dyDescent="0.3">
      <c r="B59" s="220" t="s">
        <v>14</v>
      </c>
      <c r="C59" s="220"/>
      <c r="D59" s="220" t="s">
        <v>72</v>
      </c>
      <c r="E59" s="220"/>
    </row>
    <row r="60" spans="2:5" x14ac:dyDescent="0.3">
      <c r="B60" s="224"/>
      <c r="C60" s="224"/>
      <c r="D60" s="224"/>
      <c r="E60" s="224"/>
    </row>
    <row r="61" spans="2:5" ht="15" thickBot="1" x14ac:dyDescent="0.35">
      <c r="B61" s="221"/>
      <c r="C61" s="221"/>
      <c r="D61" s="221"/>
      <c r="E61" s="221"/>
    </row>
    <row r="62" spans="2:5" ht="44.25" customHeight="1" x14ac:dyDescent="0.3">
      <c r="B62" s="220" t="s">
        <v>25</v>
      </c>
      <c r="C62" s="220"/>
      <c r="D62" s="220" t="s">
        <v>73</v>
      </c>
      <c r="E62" s="222" t="s">
        <v>74</v>
      </c>
    </row>
    <row r="63" spans="2:5" ht="15" thickBot="1" x14ac:dyDescent="0.35">
      <c r="B63" s="221"/>
      <c r="C63" s="221"/>
      <c r="D63" s="221"/>
      <c r="E63" s="223"/>
    </row>
    <row r="64" spans="2:5" ht="56.25" customHeight="1" x14ac:dyDescent="0.3">
      <c r="B64" s="220" t="s">
        <v>75</v>
      </c>
      <c r="C64" s="220"/>
      <c r="D64" s="220" t="s">
        <v>76</v>
      </c>
      <c r="E64" s="220"/>
    </row>
    <row r="65" spans="2:5" ht="15" thickBot="1" x14ac:dyDescent="0.35">
      <c r="B65" s="221"/>
      <c r="C65" s="221"/>
      <c r="D65" s="221"/>
      <c r="E65" s="221"/>
    </row>
  </sheetData>
  <mergeCells count="24">
    <mergeCell ref="B59:B61"/>
    <mergeCell ref="C59:C61"/>
    <mergeCell ref="D59:D61"/>
    <mergeCell ref="E59:E61"/>
    <mergeCell ref="B3:B8"/>
    <mergeCell ref="D3:D8"/>
    <mergeCell ref="E3:E8"/>
    <mergeCell ref="B9:B14"/>
    <mergeCell ref="E9:E14"/>
    <mergeCell ref="B15:B28"/>
    <mergeCell ref="E15:E28"/>
    <mergeCell ref="B29:B40"/>
    <mergeCell ref="E29:E40"/>
    <mergeCell ref="E41:E55"/>
    <mergeCell ref="B56:B58"/>
    <mergeCell ref="E56:E58"/>
    <mergeCell ref="B62:B63"/>
    <mergeCell ref="C62:C63"/>
    <mergeCell ref="D62:D63"/>
    <mergeCell ref="E62:E63"/>
    <mergeCell ref="B64:B65"/>
    <mergeCell ref="C64:C65"/>
    <mergeCell ref="D64:D65"/>
    <mergeCell ref="E64:E6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8"/>
  <sheetViews>
    <sheetView topLeftCell="A4" workbookViewId="0">
      <selection activeCell="C12" sqref="C12"/>
    </sheetView>
  </sheetViews>
  <sheetFormatPr defaultRowHeight="14.4" x14ac:dyDescent="0.3"/>
  <cols>
    <col min="2" max="2" width="28.5546875" customWidth="1"/>
    <col min="3" max="3" width="39.44140625" style="15" customWidth="1"/>
    <col min="4" max="5" width="28.5546875" style="15" customWidth="1"/>
    <col min="6" max="8" width="28.5546875" customWidth="1"/>
    <col min="9" max="9" width="9.5546875" bestFit="1" customWidth="1"/>
  </cols>
  <sheetData>
    <row r="1" spans="1:11" x14ac:dyDescent="0.3">
      <c r="E1" s="15" t="s">
        <v>0</v>
      </c>
      <c r="H1" t="s">
        <v>1</v>
      </c>
      <c r="I1" s="1">
        <v>43284</v>
      </c>
    </row>
    <row r="2" spans="1:11" x14ac:dyDescent="0.3">
      <c r="H2">
        <f>35.81/26.29</f>
        <v>1.3621148725751238</v>
      </c>
      <c r="I2" s="1"/>
    </row>
    <row r="3" spans="1:11" ht="28.8" x14ac:dyDescent="0.3">
      <c r="A3" t="s">
        <v>2</v>
      </c>
      <c r="B3" s="37" t="s">
        <v>3</v>
      </c>
      <c r="C3" s="38" t="s">
        <v>4</v>
      </c>
      <c r="D3" s="39">
        <f>(51500+500)/2</f>
        <v>26000</v>
      </c>
      <c r="E3" s="39">
        <f>+D3*7%</f>
        <v>1820.0000000000002</v>
      </c>
      <c r="F3" s="37">
        <f>365*5</f>
        <v>1825</v>
      </c>
      <c r="G3" s="40">
        <f>D3/F3</f>
        <v>14.246575342465754</v>
      </c>
      <c r="H3" s="46">
        <f>+H2</f>
        <v>1.3621148725751238</v>
      </c>
      <c r="I3" s="47">
        <f>G3/H3</f>
        <v>10.459158496325736</v>
      </c>
      <c r="J3" s="37"/>
      <c r="K3" s="45">
        <f>I3*3</f>
        <v>31.377475488977211</v>
      </c>
    </row>
    <row r="4" spans="1:11" ht="22.8" x14ac:dyDescent="0.3">
      <c r="A4" t="s">
        <v>2</v>
      </c>
      <c r="B4" s="37" t="s">
        <v>3</v>
      </c>
      <c r="C4" s="41" t="s">
        <v>5</v>
      </c>
      <c r="D4" s="39">
        <f>1818/2</f>
        <v>909</v>
      </c>
      <c r="E4" s="39">
        <f>+D4*0.07</f>
        <v>63.63</v>
      </c>
      <c r="F4" s="37">
        <f t="shared" ref="F4:F9" si="0">365*5</f>
        <v>1825</v>
      </c>
      <c r="G4" s="40">
        <f t="shared" ref="G4:G14" si="1">D4/F4</f>
        <v>0.49808219178082191</v>
      </c>
      <c r="H4" s="46">
        <f>+H2</f>
        <v>1.3621148725751238</v>
      </c>
      <c r="I4" s="47">
        <f t="shared" ref="I4:I16" si="2">G4/H4</f>
        <v>0.36566827204461899</v>
      </c>
      <c r="J4" s="37"/>
      <c r="K4" s="45">
        <f t="shared" ref="K4:K16" si="3">I4*3</f>
        <v>1.097004816133857</v>
      </c>
    </row>
    <row r="5" spans="1:11" ht="22.8" x14ac:dyDescent="0.3">
      <c r="A5" t="s">
        <v>2</v>
      </c>
      <c r="B5" s="37" t="s">
        <v>3</v>
      </c>
      <c r="C5" s="41" t="s">
        <v>6</v>
      </c>
      <c r="D5" s="39">
        <f>(9000+4000)/2</f>
        <v>6500</v>
      </c>
      <c r="E5" s="39">
        <f>+D5*0.07</f>
        <v>455.00000000000006</v>
      </c>
      <c r="F5" s="37">
        <f t="shared" si="0"/>
        <v>1825</v>
      </c>
      <c r="G5" s="40">
        <f t="shared" si="1"/>
        <v>3.5616438356164384</v>
      </c>
      <c r="H5" s="46">
        <f>+H2</f>
        <v>1.3621148725751238</v>
      </c>
      <c r="I5" s="47">
        <f t="shared" si="2"/>
        <v>2.6147896240814341</v>
      </c>
      <c r="J5" s="37"/>
      <c r="K5" s="45">
        <f t="shared" si="3"/>
        <v>7.8443688722443028</v>
      </c>
    </row>
    <row r="6" spans="1:11" ht="22.8" x14ac:dyDescent="0.3">
      <c r="A6" t="s">
        <v>2</v>
      </c>
      <c r="B6" s="37" t="s">
        <v>3</v>
      </c>
      <c r="C6" s="41" t="s">
        <v>7</v>
      </c>
      <c r="D6" s="39">
        <f>24500/2</f>
        <v>12250</v>
      </c>
      <c r="E6" s="39">
        <f>+D6*0.07</f>
        <v>857.50000000000011</v>
      </c>
      <c r="F6" s="37">
        <f t="shared" si="0"/>
        <v>1825</v>
      </c>
      <c r="G6" s="40">
        <f t="shared" si="1"/>
        <v>6.7123287671232879</v>
      </c>
      <c r="H6" s="46">
        <f>+H2</f>
        <v>1.3621148725751238</v>
      </c>
      <c r="I6" s="47">
        <f t="shared" si="2"/>
        <v>4.9278727530765494</v>
      </c>
      <c r="J6" s="37"/>
      <c r="K6" s="45">
        <f t="shared" si="3"/>
        <v>14.783618259229648</v>
      </c>
    </row>
    <row r="7" spans="1:11" x14ac:dyDescent="0.3">
      <c r="A7" t="s">
        <v>2</v>
      </c>
      <c r="B7" s="37" t="s">
        <v>3</v>
      </c>
      <c r="C7" s="41" t="s">
        <v>8</v>
      </c>
      <c r="D7" s="42">
        <v>65</v>
      </c>
      <c r="E7" s="42"/>
      <c r="F7" s="37">
        <f t="shared" si="0"/>
        <v>1825</v>
      </c>
      <c r="G7" s="40">
        <f t="shared" si="1"/>
        <v>3.5616438356164383E-2</v>
      </c>
      <c r="H7" s="46">
        <f>+H2</f>
        <v>1.3621148725751238</v>
      </c>
      <c r="I7" s="47">
        <f t="shared" si="2"/>
        <v>2.6147896240814341E-2</v>
      </c>
      <c r="J7" s="37"/>
      <c r="K7" s="45">
        <f t="shared" si="3"/>
        <v>7.844368872244302E-2</v>
      </c>
    </row>
    <row r="8" spans="1:11" ht="34.200000000000003" x14ac:dyDescent="0.3">
      <c r="A8" t="s">
        <v>2</v>
      </c>
      <c r="B8" s="37" t="s">
        <v>3</v>
      </c>
      <c r="C8" s="41" t="s">
        <v>9</v>
      </c>
      <c r="D8" s="39">
        <f>2500+100</f>
        <v>2600</v>
      </c>
      <c r="E8" s="39">
        <f>+D8*0.07</f>
        <v>182.00000000000003</v>
      </c>
      <c r="F8" s="37">
        <f t="shared" si="0"/>
        <v>1825</v>
      </c>
      <c r="G8" s="40">
        <f t="shared" si="1"/>
        <v>1.4246575342465753</v>
      </c>
      <c r="H8" s="46">
        <f>+H2</f>
        <v>1.3621148725751238</v>
      </c>
      <c r="I8" s="47">
        <f t="shared" si="2"/>
        <v>1.0459158496325736</v>
      </c>
      <c r="J8" s="48">
        <f>SUM(I3:I8)</f>
        <v>19.439552891401728</v>
      </c>
      <c r="K8" s="45">
        <f t="shared" si="3"/>
        <v>3.1377475488977207</v>
      </c>
    </row>
    <row r="9" spans="1:11" x14ac:dyDescent="0.3">
      <c r="B9" s="15" t="s">
        <v>10</v>
      </c>
      <c r="C9" s="41"/>
      <c r="D9" s="39">
        <v>3378.1300000000006</v>
      </c>
      <c r="E9" s="39">
        <f>+E3+E4+E5+E6+E8</f>
        <v>3378.1300000000006</v>
      </c>
      <c r="F9" s="37">
        <f t="shared" si="0"/>
        <v>1825</v>
      </c>
      <c r="G9" s="40">
        <f>D9/F9</f>
        <v>1.8510301369863016</v>
      </c>
      <c r="H9" s="46">
        <f>+H2</f>
        <v>1.3621148725751238</v>
      </c>
      <c r="I9" s="47">
        <f>G9/H9</f>
        <v>1.3589383496612639</v>
      </c>
      <c r="J9" s="48"/>
      <c r="K9" s="45">
        <f t="shared" si="3"/>
        <v>4.076815048983792</v>
      </c>
    </row>
    <row r="10" spans="1:11" x14ac:dyDescent="0.3">
      <c r="A10" s="27" t="s">
        <v>11</v>
      </c>
      <c r="B10" s="54" t="s">
        <v>12</v>
      </c>
      <c r="C10" s="53" t="s">
        <v>13</v>
      </c>
      <c r="D10" s="29">
        <v>13000</v>
      </c>
      <c r="E10" s="29">
        <f>+D10*0.07</f>
        <v>910.00000000000011</v>
      </c>
      <c r="F10" s="54">
        <v>363</v>
      </c>
      <c r="G10" s="30">
        <f t="shared" si="1"/>
        <v>35.812672176308538</v>
      </c>
      <c r="H10" s="55">
        <f>+H2</f>
        <v>1.3621148725751238</v>
      </c>
      <c r="I10" s="56">
        <f t="shared" si="2"/>
        <v>26.291961784840865</v>
      </c>
      <c r="J10" s="27"/>
      <c r="K10" s="45">
        <f t="shared" si="3"/>
        <v>78.875885354522595</v>
      </c>
    </row>
    <row r="11" spans="1:11" x14ac:dyDescent="0.3">
      <c r="A11" s="27" t="s">
        <v>11</v>
      </c>
      <c r="B11" s="54" t="s">
        <v>14</v>
      </c>
      <c r="C11" s="53" t="s">
        <v>15</v>
      </c>
      <c r="D11" s="32">
        <v>2000</v>
      </c>
      <c r="E11" s="60">
        <f>+D11*0.07</f>
        <v>140</v>
      </c>
      <c r="F11" s="54">
        <v>365</v>
      </c>
      <c r="G11" s="32">
        <f t="shared" si="1"/>
        <v>5.4794520547945202</v>
      </c>
      <c r="H11" s="55">
        <v>1</v>
      </c>
      <c r="I11" s="56">
        <f t="shared" si="2"/>
        <v>5.4794520547945202</v>
      </c>
      <c r="J11" s="27"/>
      <c r="K11" s="45">
        <f t="shared" si="3"/>
        <v>16.43835616438356</v>
      </c>
    </row>
    <row r="12" spans="1:11" ht="144" x14ac:dyDescent="0.3">
      <c r="A12" s="27"/>
      <c r="B12" s="54" t="s">
        <v>16</v>
      </c>
      <c r="C12" s="28" t="s">
        <v>17</v>
      </c>
      <c r="D12" s="32">
        <f>4500*12</f>
        <v>54000</v>
      </c>
      <c r="E12" s="60">
        <f>D12*0.07</f>
        <v>3780.0000000000005</v>
      </c>
      <c r="F12" s="28">
        <v>365</v>
      </c>
      <c r="G12" s="32">
        <f>D12/F12</f>
        <v>147.94520547945206</v>
      </c>
      <c r="H12" s="55">
        <v>1</v>
      </c>
      <c r="I12" s="56">
        <f>G12/H12</f>
        <v>147.94520547945206</v>
      </c>
      <c r="J12" s="57">
        <f>+I12+I11</f>
        <v>153.42465753424656</v>
      </c>
      <c r="K12" s="45">
        <f t="shared" si="3"/>
        <v>443.83561643835617</v>
      </c>
    </row>
    <row r="13" spans="1:11" x14ac:dyDescent="0.3">
      <c r="A13" s="27"/>
      <c r="B13" s="58" t="s">
        <v>18</v>
      </c>
      <c r="C13" s="31" t="s">
        <v>19</v>
      </c>
      <c r="D13" s="32">
        <v>800</v>
      </c>
      <c r="E13" s="60">
        <f>+D13*0.07</f>
        <v>56.000000000000007</v>
      </c>
      <c r="F13" s="58">
        <v>365</v>
      </c>
      <c r="G13" s="32">
        <f t="shared" si="1"/>
        <v>2.1917808219178081</v>
      </c>
      <c r="H13" s="55">
        <v>1</v>
      </c>
      <c r="I13" s="56">
        <f t="shared" si="2"/>
        <v>2.1917808219178081</v>
      </c>
      <c r="J13" s="27"/>
      <c r="K13" s="45">
        <f t="shared" si="3"/>
        <v>6.5753424657534243</v>
      </c>
    </row>
    <row r="14" spans="1:11" ht="22.8" x14ac:dyDescent="0.3">
      <c r="A14" s="27"/>
      <c r="B14" s="54" t="s">
        <v>20</v>
      </c>
      <c r="C14" s="31" t="s">
        <v>21</v>
      </c>
      <c r="D14" s="29">
        <v>25000</v>
      </c>
      <c r="E14" s="59">
        <f>+D14*0.07</f>
        <v>1750.0000000000002</v>
      </c>
      <c r="F14" s="58">
        <v>365</v>
      </c>
      <c r="G14" s="30">
        <f t="shared" si="1"/>
        <v>68.493150684931507</v>
      </c>
      <c r="H14" s="55">
        <f>+H2</f>
        <v>1.3621148725751238</v>
      </c>
      <c r="I14" s="56">
        <f>G14/H14</f>
        <v>50.284415847719885</v>
      </c>
      <c r="J14" s="27"/>
      <c r="K14" s="45">
        <f t="shared" si="3"/>
        <v>150.85324754315965</v>
      </c>
    </row>
    <row r="15" spans="1:11" x14ac:dyDescent="0.3">
      <c r="C15" s="15" t="s">
        <v>22</v>
      </c>
      <c r="D15" s="19">
        <f>+E11+E12+E13</f>
        <v>3976.0000000000005</v>
      </c>
      <c r="F15">
        <v>365</v>
      </c>
      <c r="G15" s="19">
        <f>D15/F15</f>
        <v>10.893150684931507</v>
      </c>
      <c r="H15" s="44">
        <v>1</v>
      </c>
      <c r="I15" s="43">
        <f>G15/H15</f>
        <v>10.893150684931507</v>
      </c>
      <c r="K15" s="45">
        <f t="shared" si="3"/>
        <v>32.679452054794524</v>
      </c>
    </row>
    <row r="16" spans="1:11" x14ac:dyDescent="0.3">
      <c r="C16" s="15" t="s">
        <v>10</v>
      </c>
      <c r="D16" s="18">
        <f>E10</f>
        <v>910.00000000000011</v>
      </c>
      <c r="F16">
        <v>365</v>
      </c>
      <c r="G16" s="20">
        <f>D16/F16</f>
        <v>2.493150684931507</v>
      </c>
      <c r="H16" s="44">
        <f>+H2</f>
        <v>1.3621148725751238</v>
      </c>
      <c r="I16" s="43">
        <f t="shared" si="2"/>
        <v>1.8303527368570041</v>
      </c>
      <c r="J16" s="20">
        <f>+I16+I9</f>
        <v>3.189291086518268</v>
      </c>
      <c r="K16" s="45">
        <f t="shared" si="3"/>
        <v>5.491058210571012</v>
      </c>
    </row>
    <row r="17" spans="2:10" x14ac:dyDescent="0.3">
      <c r="B17" s="14" t="s">
        <v>23</v>
      </c>
      <c r="C17" s="16" t="s">
        <v>24</v>
      </c>
      <c r="D17" s="16"/>
      <c r="E17" s="16"/>
      <c r="F17" s="14"/>
      <c r="G17" s="14"/>
      <c r="H17" s="14"/>
      <c r="J17" s="45">
        <f>+I15+J16</f>
        <v>14.082441771449776</v>
      </c>
    </row>
    <row r="18" spans="2:10" x14ac:dyDescent="0.3">
      <c r="B18" s="14" t="s">
        <v>25</v>
      </c>
      <c r="C18" s="17" t="s">
        <v>26</v>
      </c>
      <c r="D18" s="17"/>
      <c r="E18" s="17"/>
      <c r="F18" s="9"/>
      <c r="G18" s="9"/>
      <c r="H1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S258"/>
  <sheetViews>
    <sheetView zoomScaleNormal="100" workbookViewId="0">
      <pane xSplit="3" ySplit="1" topLeftCell="AZ35" activePane="bottomRight" state="frozen"/>
      <selection pane="topRight" activeCell="D1" sqref="D1"/>
      <selection pane="bottomLeft" activeCell="A2" sqref="A2"/>
      <selection pane="bottomRight" activeCell="BE3" sqref="BE3"/>
    </sheetView>
  </sheetViews>
  <sheetFormatPr defaultRowHeight="14.4" x14ac:dyDescent="0.3"/>
  <cols>
    <col min="1" max="1" width="22.44140625" customWidth="1"/>
    <col min="2" max="2" width="13.44140625" style="79" customWidth="1"/>
    <col min="3" max="3" width="18.44140625" style="15" customWidth="1"/>
    <col min="4" max="4" width="13.44140625" style="15" bestFit="1" customWidth="1"/>
    <col min="5" max="5" width="12.44140625" style="15" bestFit="1" customWidth="1"/>
    <col min="6" max="6" width="5" bestFit="1" customWidth="1"/>
    <col min="7" max="7" width="10.5546875" bestFit="1" customWidth="1"/>
    <col min="8" max="8" width="18.44140625" customWidth="1"/>
    <col min="9" max="102" width="13.5546875" customWidth="1"/>
  </cols>
  <sheetData>
    <row r="1" spans="1:123" x14ac:dyDescent="0.3">
      <c r="E1" s="15" t="s">
        <v>0</v>
      </c>
      <c r="H1" s="142">
        <v>43299</v>
      </c>
      <c r="I1" s="142">
        <v>43300</v>
      </c>
      <c r="J1" s="142">
        <v>43301</v>
      </c>
      <c r="K1" s="153">
        <v>43302</v>
      </c>
      <c r="L1" s="153">
        <v>43303</v>
      </c>
      <c r="M1" s="142">
        <v>43304</v>
      </c>
      <c r="N1" s="142">
        <v>43305</v>
      </c>
      <c r="O1" s="142">
        <v>43306</v>
      </c>
      <c r="P1" s="142">
        <v>43307</v>
      </c>
      <c r="Q1" s="142">
        <v>43308</v>
      </c>
      <c r="R1" s="142">
        <v>43309</v>
      </c>
      <c r="S1" s="142">
        <v>43310</v>
      </c>
      <c r="T1" s="142">
        <v>43311</v>
      </c>
      <c r="U1" s="142"/>
      <c r="V1" s="142">
        <v>43312</v>
      </c>
      <c r="W1" s="142">
        <v>43313</v>
      </c>
      <c r="X1" s="142">
        <v>43314</v>
      </c>
      <c r="Y1" s="142">
        <v>43315</v>
      </c>
      <c r="Z1" s="142"/>
      <c r="AA1" s="142">
        <v>43318</v>
      </c>
      <c r="AB1" s="142">
        <v>43319</v>
      </c>
      <c r="AC1" s="142">
        <v>43320</v>
      </c>
      <c r="AD1" s="142">
        <v>43322</v>
      </c>
      <c r="AE1" s="142">
        <v>43325</v>
      </c>
      <c r="AF1" s="142">
        <v>43326</v>
      </c>
      <c r="AG1" s="142">
        <v>43327</v>
      </c>
      <c r="AH1" s="142">
        <v>43328</v>
      </c>
      <c r="AI1" s="142">
        <v>43329</v>
      </c>
      <c r="AJ1" s="142">
        <v>43332</v>
      </c>
      <c r="AK1" s="142">
        <v>43333</v>
      </c>
      <c r="AL1" s="142">
        <v>43335</v>
      </c>
      <c r="AM1" s="142">
        <v>43336</v>
      </c>
      <c r="AN1" s="142">
        <v>43339</v>
      </c>
      <c r="AO1" s="142">
        <v>43340</v>
      </c>
      <c r="AP1" s="142">
        <v>43341</v>
      </c>
      <c r="AQ1" s="142">
        <v>43342</v>
      </c>
      <c r="AR1" s="142">
        <v>43343</v>
      </c>
      <c r="AS1" s="142">
        <v>43346</v>
      </c>
      <c r="AT1" s="142">
        <v>43347</v>
      </c>
      <c r="AU1" s="142">
        <v>43348</v>
      </c>
      <c r="AV1" s="142">
        <v>43349</v>
      </c>
      <c r="AW1" s="142">
        <v>43350</v>
      </c>
      <c r="AX1" s="142">
        <v>43353</v>
      </c>
      <c r="AY1" s="142">
        <v>43354</v>
      </c>
      <c r="AZ1" s="142">
        <v>43355</v>
      </c>
      <c r="BA1" s="142">
        <v>43356</v>
      </c>
      <c r="BB1" s="142">
        <v>43357</v>
      </c>
      <c r="BC1" s="142">
        <v>43360</v>
      </c>
      <c r="BD1" s="142">
        <v>43361</v>
      </c>
      <c r="BE1" s="142">
        <v>43362</v>
      </c>
      <c r="BF1" s="142">
        <v>43363</v>
      </c>
      <c r="BG1" s="61">
        <v>43348</v>
      </c>
      <c r="BH1" s="61">
        <v>43349</v>
      </c>
      <c r="BI1" s="61">
        <v>43350</v>
      </c>
      <c r="BJ1" s="61">
        <v>43351</v>
      </c>
      <c r="BK1" s="61">
        <v>43352</v>
      </c>
      <c r="BL1" s="61">
        <v>43353</v>
      </c>
      <c r="BM1" s="61">
        <v>43354</v>
      </c>
      <c r="BN1" s="61">
        <v>43355</v>
      </c>
      <c r="BO1" s="61">
        <v>43356</v>
      </c>
      <c r="BP1" s="61">
        <v>43357</v>
      </c>
      <c r="BQ1" s="61">
        <v>43358</v>
      </c>
      <c r="BR1" s="61">
        <v>43359</v>
      </c>
      <c r="BS1" s="61">
        <v>43360</v>
      </c>
      <c r="BT1" s="61">
        <v>43361</v>
      </c>
      <c r="BU1" s="61">
        <v>43362</v>
      </c>
      <c r="BV1" s="61">
        <v>43363</v>
      </c>
      <c r="BW1" s="61">
        <v>43364</v>
      </c>
      <c r="BX1" s="61">
        <v>43365</v>
      </c>
      <c r="BY1" s="61">
        <v>43366</v>
      </c>
      <c r="BZ1" s="61">
        <v>43367</v>
      </c>
      <c r="CA1" s="61">
        <v>43368</v>
      </c>
      <c r="CB1" s="61">
        <v>43369</v>
      </c>
      <c r="CC1" s="61">
        <v>43370</v>
      </c>
      <c r="CD1" s="61">
        <v>43371</v>
      </c>
      <c r="CE1" s="61">
        <v>43372</v>
      </c>
      <c r="CF1" s="61">
        <v>43373</v>
      </c>
      <c r="CG1" s="61">
        <v>43374</v>
      </c>
      <c r="CH1" s="61">
        <v>43375</v>
      </c>
      <c r="CI1" s="61">
        <v>43376</v>
      </c>
      <c r="CJ1" s="61">
        <v>43377</v>
      </c>
      <c r="CK1" s="61">
        <v>43378</v>
      </c>
      <c r="CL1" s="61">
        <v>43379</v>
      </c>
      <c r="CM1" s="61">
        <v>43380</v>
      </c>
      <c r="CN1" s="61">
        <v>43381</v>
      </c>
      <c r="CO1" s="61">
        <v>43382</v>
      </c>
      <c r="CP1" s="61">
        <v>43383</v>
      </c>
      <c r="CQ1" s="61">
        <v>43384</v>
      </c>
      <c r="CR1" s="61">
        <v>43385</v>
      </c>
      <c r="CS1" s="61">
        <v>43386</v>
      </c>
      <c r="CT1" s="61">
        <v>43387</v>
      </c>
      <c r="CU1" s="61">
        <v>43388</v>
      </c>
      <c r="CV1" s="61">
        <v>43389</v>
      </c>
      <c r="CW1" s="61">
        <v>43390</v>
      </c>
      <c r="CX1" s="61">
        <v>43391</v>
      </c>
      <c r="CY1" s="61">
        <v>43392</v>
      </c>
      <c r="CZ1" s="61">
        <v>43393</v>
      </c>
      <c r="DA1" s="61">
        <v>43394</v>
      </c>
      <c r="DB1" s="61">
        <v>43395</v>
      </c>
      <c r="DC1" s="61">
        <v>43396</v>
      </c>
      <c r="DD1" s="61">
        <v>43397</v>
      </c>
      <c r="DE1" s="61">
        <v>43398</v>
      </c>
      <c r="DF1" s="61">
        <v>43399</v>
      </c>
      <c r="DG1" s="61">
        <v>43400</v>
      </c>
      <c r="DH1" s="61">
        <v>43401</v>
      </c>
      <c r="DI1" s="61">
        <v>43402</v>
      </c>
      <c r="DJ1" s="61">
        <v>43403</v>
      </c>
      <c r="DK1" s="61">
        <v>43404</v>
      </c>
      <c r="DL1" s="61">
        <v>43405</v>
      </c>
      <c r="DM1" s="61">
        <v>43406</v>
      </c>
      <c r="DN1" s="61">
        <v>43407</v>
      </c>
      <c r="DO1" s="61">
        <v>43408</v>
      </c>
      <c r="DP1" s="61">
        <v>43409</v>
      </c>
      <c r="DQ1" s="61">
        <v>43410</v>
      </c>
      <c r="DR1" s="61">
        <v>43411</v>
      </c>
      <c r="DS1" s="61">
        <v>43412</v>
      </c>
    </row>
    <row r="2" spans="1:123" x14ac:dyDescent="0.3">
      <c r="H2" s="61" t="s">
        <v>77</v>
      </c>
      <c r="I2" s="61" t="s">
        <v>78</v>
      </c>
      <c r="J2" s="61" t="s">
        <v>79</v>
      </c>
      <c r="K2" s="61" t="s">
        <v>80</v>
      </c>
      <c r="L2" s="61" t="s">
        <v>81</v>
      </c>
      <c r="M2" s="61" t="s">
        <v>82</v>
      </c>
      <c r="N2" s="61" t="s">
        <v>83</v>
      </c>
      <c r="O2" s="61" t="s">
        <v>77</v>
      </c>
      <c r="P2" s="61" t="s">
        <v>78</v>
      </c>
      <c r="Q2" s="61" t="s">
        <v>79</v>
      </c>
      <c r="R2" s="61" t="s">
        <v>80</v>
      </c>
      <c r="S2" s="61" t="s">
        <v>81</v>
      </c>
      <c r="T2" s="61" t="s">
        <v>82</v>
      </c>
      <c r="U2" s="61"/>
      <c r="V2" s="61" t="s">
        <v>83</v>
      </c>
      <c r="W2" s="61" t="s">
        <v>77</v>
      </c>
      <c r="X2" s="61" t="s">
        <v>78</v>
      </c>
      <c r="Y2" s="61" t="s">
        <v>79</v>
      </c>
      <c r="Z2" s="61"/>
      <c r="AA2" s="61" t="s">
        <v>82</v>
      </c>
      <c r="AB2" s="61" t="s">
        <v>83</v>
      </c>
      <c r="AC2" s="61" t="s">
        <v>77</v>
      </c>
      <c r="AD2" s="61" t="s">
        <v>79</v>
      </c>
      <c r="AE2" s="61" t="s">
        <v>82</v>
      </c>
      <c r="AF2" s="61" t="s">
        <v>83</v>
      </c>
      <c r="AG2" s="61" t="s">
        <v>77</v>
      </c>
      <c r="AH2" s="61" t="s">
        <v>78</v>
      </c>
      <c r="AI2" s="61" t="s">
        <v>79</v>
      </c>
      <c r="AJ2" s="61" t="s">
        <v>82</v>
      </c>
      <c r="AK2" s="61" t="s">
        <v>83</v>
      </c>
      <c r="AL2" s="61" t="s">
        <v>78</v>
      </c>
      <c r="AM2" s="61" t="s">
        <v>79</v>
      </c>
      <c r="AN2" s="61" t="s">
        <v>82</v>
      </c>
      <c r="AO2" s="61" t="s">
        <v>83</v>
      </c>
      <c r="AP2" s="61" t="s">
        <v>77</v>
      </c>
      <c r="AQ2" s="61" t="s">
        <v>78</v>
      </c>
      <c r="AR2" s="61" t="s">
        <v>79</v>
      </c>
      <c r="AS2" s="61" t="s">
        <v>82</v>
      </c>
      <c r="AT2" s="61" t="s">
        <v>83</v>
      </c>
      <c r="AU2" s="61" t="s">
        <v>77</v>
      </c>
      <c r="AV2" s="61" t="s">
        <v>78</v>
      </c>
      <c r="AW2" s="61" t="s">
        <v>79</v>
      </c>
      <c r="AX2" s="61" t="s">
        <v>82</v>
      </c>
      <c r="AY2" s="61" t="s">
        <v>83</v>
      </c>
      <c r="AZ2" s="61" t="s">
        <v>77</v>
      </c>
      <c r="BA2" s="61" t="s">
        <v>78</v>
      </c>
      <c r="BB2" s="61" t="s">
        <v>79</v>
      </c>
      <c r="BC2" s="61" t="s">
        <v>82</v>
      </c>
      <c r="BD2" s="61" t="s">
        <v>83</v>
      </c>
      <c r="BE2" s="61" t="s">
        <v>77</v>
      </c>
      <c r="BF2" s="61" t="s">
        <v>78</v>
      </c>
      <c r="BG2" s="61" t="s">
        <v>79</v>
      </c>
      <c r="BH2" s="61" t="s">
        <v>80</v>
      </c>
      <c r="BI2" s="61" t="s">
        <v>81</v>
      </c>
      <c r="BJ2" s="61" t="s">
        <v>82</v>
      </c>
      <c r="BK2" s="61" t="s">
        <v>83</v>
      </c>
      <c r="BL2" s="61" t="s">
        <v>77</v>
      </c>
      <c r="BM2" s="61" t="s">
        <v>78</v>
      </c>
      <c r="BN2" s="61" t="s">
        <v>79</v>
      </c>
      <c r="BO2" s="61" t="s">
        <v>80</v>
      </c>
      <c r="BP2" s="61" t="s">
        <v>81</v>
      </c>
      <c r="BQ2" s="61" t="s">
        <v>82</v>
      </c>
      <c r="BR2" s="61" t="s">
        <v>83</v>
      </c>
      <c r="BS2" s="61" t="s">
        <v>77</v>
      </c>
      <c r="BT2" s="61" t="s">
        <v>78</v>
      </c>
      <c r="BU2" s="61" t="s">
        <v>79</v>
      </c>
      <c r="BV2" s="61" t="s">
        <v>80</v>
      </c>
      <c r="BW2" s="61" t="s">
        <v>81</v>
      </c>
      <c r="BX2" s="61" t="s">
        <v>82</v>
      </c>
      <c r="BY2" s="61" t="s">
        <v>83</v>
      </c>
      <c r="BZ2" s="61" t="s">
        <v>77</v>
      </c>
      <c r="CA2" s="61" t="s">
        <v>78</v>
      </c>
      <c r="CB2" s="61" t="s">
        <v>79</v>
      </c>
      <c r="CC2" s="61" t="s">
        <v>80</v>
      </c>
      <c r="CD2" s="61" t="s">
        <v>81</v>
      </c>
      <c r="CE2" s="61" t="s">
        <v>82</v>
      </c>
      <c r="CF2" s="61" t="s">
        <v>83</v>
      </c>
      <c r="CG2" s="61" t="s">
        <v>77</v>
      </c>
      <c r="CH2" s="61" t="s">
        <v>78</v>
      </c>
      <c r="CI2" s="61" t="s">
        <v>79</v>
      </c>
      <c r="CJ2" s="61" t="s">
        <v>80</v>
      </c>
      <c r="CK2" s="61" t="s">
        <v>81</v>
      </c>
      <c r="CL2" s="61" t="s">
        <v>82</v>
      </c>
      <c r="CM2" s="61" t="s">
        <v>83</v>
      </c>
      <c r="CN2" s="61" t="s">
        <v>77</v>
      </c>
      <c r="CO2" s="61" t="s">
        <v>78</v>
      </c>
      <c r="CP2" s="61" t="s">
        <v>79</v>
      </c>
      <c r="CQ2" s="61" t="s">
        <v>80</v>
      </c>
      <c r="CR2" s="61" t="s">
        <v>81</v>
      </c>
      <c r="CS2" s="61" t="s">
        <v>82</v>
      </c>
      <c r="CT2" s="61" t="s">
        <v>83</v>
      </c>
      <c r="CU2" s="61" t="s">
        <v>77</v>
      </c>
      <c r="CV2" s="61" t="s">
        <v>78</v>
      </c>
      <c r="CW2" s="61" t="s">
        <v>79</v>
      </c>
      <c r="CX2" s="61" t="s">
        <v>80</v>
      </c>
      <c r="CY2" s="61" t="s">
        <v>81</v>
      </c>
      <c r="CZ2" s="61" t="s">
        <v>82</v>
      </c>
      <c r="DA2" s="61" t="s">
        <v>83</v>
      </c>
      <c r="DB2" s="61" t="s">
        <v>77</v>
      </c>
      <c r="DC2" s="61" t="s">
        <v>78</v>
      </c>
      <c r="DD2" s="61" t="s">
        <v>79</v>
      </c>
      <c r="DE2" s="61" t="s">
        <v>80</v>
      </c>
      <c r="DF2" s="61" t="s">
        <v>81</v>
      </c>
      <c r="DG2" s="61" t="s">
        <v>82</v>
      </c>
      <c r="DH2" s="61" t="s">
        <v>83</v>
      </c>
      <c r="DI2" s="61" t="s">
        <v>77</v>
      </c>
      <c r="DJ2" s="61" t="s">
        <v>78</v>
      </c>
      <c r="DK2" s="61" t="s">
        <v>79</v>
      </c>
      <c r="DL2" s="61" t="s">
        <v>80</v>
      </c>
      <c r="DM2" s="61" t="s">
        <v>81</v>
      </c>
      <c r="DN2" s="61" t="s">
        <v>82</v>
      </c>
      <c r="DO2" s="61" t="s">
        <v>83</v>
      </c>
      <c r="DP2" s="61" t="s">
        <v>77</v>
      </c>
      <c r="DQ2" s="61" t="s">
        <v>78</v>
      </c>
      <c r="DR2" s="61" t="s">
        <v>79</v>
      </c>
    </row>
    <row r="3" spans="1:123" x14ac:dyDescent="0.3">
      <c r="B3" s="79" t="s">
        <v>84</v>
      </c>
      <c r="H3">
        <v>1.36585</v>
      </c>
      <c r="I3">
        <v>1.3720000000000001</v>
      </c>
      <c r="J3">
        <v>1.3640000000000001</v>
      </c>
      <c r="K3">
        <v>1.3653</v>
      </c>
      <c r="L3">
        <v>1.3653</v>
      </c>
      <c r="M3">
        <v>1.3653</v>
      </c>
      <c r="N3">
        <v>1.363</v>
      </c>
      <c r="O3">
        <v>1.3633999999999999</v>
      </c>
      <c r="P3">
        <v>1.363</v>
      </c>
      <c r="Q3">
        <v>1.361</v>
      </c>
      <c r="T3">
        <v>1.3608499999999999</v>
      </c>
      <c r="V3">
        <v>1.3613</v>
      </c>
      <c r="W3">
        <v>1.3620000000000001</v>
      </c>
      <c r="X3">
        <v>1.3670500000000001</v>
      </c>
      <c r="Y3">
        <v>1.3655999999999999</v>
      </c>
      <c r="AA3">
        <v>1.3686</v>
      </c>
      <c r="AB3">
        <v>1.36385</v>
      </c>
      <c r="AC3">
        <v>1.3634999999999999</v>
      </c>
      <c r="AD3">
        <v>1.3708</v>
      </c>
      <c r="AE3">
        <v>1.37595</v>
      </c>
      <c r="AF3">
        <v>1.3750500000000001</v>
      </c>
      <c r="AG3">
        <v>1.3815999999999999</v>
      </c>
      <c r="AH3">
        <v>1.3741000000000001</v>
      </c>
      <c r="AI3">
        <v>1.3726499999999999</v>
      </c>
      <c r="AJ3">
        <v>1.3714999999999999</v>
      </c>
      <c r="AK3">
        <v>1.36775</v>
      </c>
      <c r="AL3">
        <v>1.3720000000000001</v>
      </c>
      <c r="AM3">
        <v>1.3652</v>
      </c>
      <c r="AN3">
        <v>1.3629500000000001</v>
      </c>
      <c r="AO3">
        <v>1.3624000000000001</v>
      </c>
      <c r="AP3">
        <v>1.3652</v>
      </c>
      <c r="AQ3">
        <v>1.3671500000000001</v>
      </c>
      <c r="AR3">
        <v>1.37005</v>
      </c>
      <c r="AS3">
        <v>1.3714</v>
      </c>
      <c r="AT3">
        <v>1.3765499999999999</v>
      </c>
      <c r="AU3">
        <v>1.3763000000000001</v>
      </c>
      <c r="AV3">
        <v>1.3745000000000001</v>
      </c>
      <c r="AW3">
        <v>1.3774500000000001</v>
      </c>
      <c r="AX3">
        <v>1.379</v>
      </c>
      <c r="AY3">
        <v>1.37765</v>
      </c>
      <c r="AZ3">
        <v>1.3754</v>
      </c>
      <c r="BA3">
        <v>1.3714500000000001</v>
      </c>
      <c r="BB3">
        <v>1.3717999999999999</v>
      </c>
      <c r="BC3">
        <v>1.3712</v>
      </c>
      <c r="BD3">
        <v>1.3707</v>
      </c>
    </row>
    <row r="4" spans="1:123" ht="24" x14ac:dyDescent="0.3">
      <c r="A4" s="84" t="s">
        <v>11</v>
      </c>
      <c r="B4" s="137" t="s">
        <v>12</v>
      </c>
      <c r="C4" s="75" t="s">
        <v>85</v>
      </c>
      <c r="D4" s="85">
        <v>11000</v>
      </c>
      <c r="E4" s="85">
        <f>+D4*0.07</f>
        <v>770.00000000000011</v>
      </c>
      <c r="F4" s="74">
        <v>348</v>
      </c>
      <c r="G4" s="89">
        <f>D4/F4</f>
        <v>31.609195402298852</v>
      </c>
      <c r="H4" s="86">
        <f t="shared" ref="H4:AI4" si="0">$G$4/H3</f>
        <v>23.142508622688329</v>
      </c>
      <c r="I4" s="86">
        <f t="shared" si="0"/>
        <v>23.03877215910995</v>
      </c>
      <c r="J4" s="86">
        <f t="shared" si="0"/>
        <v>23.173896922506486</v>
      </c>
      <c r="K4" s="86">
        <f t="shared" si="0"/>
        <v>23.151831394051747</v>
      </c>
      <c r="L4" s="86">
        <f t="shared" si="0"/>
        <v>23.151831394051747</v>
      </c>
      <c r="M4" s="86">
        <f>$G$4/M3*3</f>
        <v>69.455494182155235</v>
      </c>
      <c r="N4" s="86">
        <f t="shared" si="0"/>
        <v>23.190899047908182</v>
      </c>
      <c r="O4" s="86">
        <f t="shared" si="0"/>
        <v>23.184095204854668</v>
      </c>
      <c r="P4" s="86">
        <f t="shared" si="0"/>
        <v>23.190899047908182</v>
      </c>
      <c r="Q4" s="86">
        <f t="shared" si="0"/>
        <v>23.22497825297491</v>
      </c>
      <c r="R4" s="86"/>
      <c r="S4" s="86"/>
      <c r="T4" s="86">
        <f>$G$4/T3*3</f>
        <v>69.682614694416401</v>
      </c>
      <c r="U4" s="86"/>
      <c r="V4" s="86">
        <f t="shared" si="0"/>
        <v>23.219859988466062</v>
      </c>
      <c r="W4" s="86">
        <f t="shared" si="0"/>
        <v>23.207926139720154</v>
      </c>
      <c r="X4" s="86">
        <f t="shared" si="0"/>
        <v>23.12219406919926</v>
      </c>
      <c r="Y4" s="86">
        <f t="shared" si="0"/>
        <v>23.146745315098752</v>
      </c>
      <c r="Z4" s="86"/>
      <c r="AA4" s="86">
        <f>$G$4/AA3*3</f>
        <v>69.288021486845366</v>
      </c>
      <c r="AB4" s="86">
        <f t="shared" si="0"/>
        <v>23.176445651867031</v>
      </c>
      <c r="AC4" s="86">
        <f t="shared" si="0"/>
        <v>23.182394867839275</v>
      </c>
      <c r="AD4" s="86">
        <f>$G$4/AD3*2</f>
        <v>46.117880656986941</v>
      </c>
      <c r="AE4" s="86">
        <f>$G$4/AE3*3</f>
        <v>68.917901236888383</v>
      </c>
      <c r="AF4" s="86">
        <f t="shared" si="0"/>
        <v>22.987669831859822</v>
      </c>
      <c r="AG4" s="86">
        <f t="shared" si="0"/>
        <v>22.878688044512778</v>
      </c>
      <c r="AH4" s="86">
        <f t="shared" si="0"/>
        <v>23.00356262448064</v>
      </c>
      <c r="AI4" s="86">
        <f t="shared" si="0"/>
        <v>23.027862457508363</v>
      </c>
      <c r="AJ4" s="86">
        <f>$G$4/AJ3*3</f>
        <v>69.141513822017174</v>
      </c>
      <c r="AK4" s="86">
        <f t="shared" ref="AK4:BF4" si="1">$G$4/AK3</f>
        <v>23.110360374555913</v>
      </c>
      <c r="AL4" s="86">
        <f>$G$4/AL3*2</f>
        <v>46.0775443182199</v>
      </c>
      <c r="AM4" s="86">
        <f t="shared" si="1"/>
        <v>23.153527250438657</v>
      </c>
      <c r="AN4" s="86">
        <f>$G$4/AN3*3</f>
        <v>69.575249427269199</v>
      </c>
      <c r="AO4" s="86">
        <f t="shared" si="1"/>
        <v>23.201112303507671</v>
      </c>
      <c r="AP4" s="86">
        <f t="shared" si="1"/>
        <v>23.153527250438657</v>
      </c>
      <c r="AQ4" s="86">
        <f t="shared" si="1"/>
        <v>23.120502799472515</v>
      </c>
      <c r="AR4" s="86">
        <f t="shared" si="1"/>
        <v>23.071563375277435</v>
      </c>
      <c r="AS4" s="86">
        <f>$G$4/AS3*3</f>
        <v>69.14655549576824</v>
      </c>
      <c r="AT4" s="86">
        <f t="shared" si="1"/>
        <v>22.962620611164763</v>
      </c>
      <c r="AU4" s="86">
        <f t="shared" si="1"/>
        <v>22.966791689529064</v>
      </c>
      <c r="AV4" s="86">
        <f t="shared" si="1"/>
        <v>22.996868244669955</v>
      </c>
      <c r="AW4" s="86">
        <f t="shared" si="1"/>
        <v>22.947617265453445</v>
      </c>
      <c r="AX4" s="86">
        <f>$G$4/AX3*3</f>
        <v>68.765472231252033</v>
      </c>
      <c r="AY4" s="86">
        <f t="shared" si="1"/>
        <v>22.944285850759517</v>
      </c>
      <c r="AZ4" s="86">
        <f t="shared" si="1"/>
        <v>22.981820126725935</v>
      </c>
      <c r="BA4" s="86">
        <f t="shared" si="1"/>
        <v>23.048011522329542</v>
      </c>
      <c r="BB4" s="86">
        <f t="shared" si="1"/>
        <v>23.042131070344695</v>
      </c>
      <c r="BC4" s="86">
        <f>$G$4/BC3*3</f>
        <v>69.156641049370307</v>
      </c>
      <c r="BD4" s="86">
        <f t="shared" si="1"/>
        <v>23.060622603267564</v>
      </c>
      <c r="BE4" s="86" t="e">
        <f t="shared" si="1"/>
        <v>#DIV/0!</v>
      </c>
      <c r="BF4" s="86" t="e">
        <f t="shared" si="1"/>
        <v>#DIV/0!</v>
      </c>
      <c r="BG4" s="86" t="e">
        <f t="shared" ref="BG4:CH4" si="2">$G$4/BG3</f>
        <v>#DIV/0!</v>
      </c>
      <c r="BH4" s="86" t="e">
        <f t="shared" si="2"/>
        <v>#DIV/0!</v>
      </c>
      <c r="BI4" s="86" t="e">
        <f t="shared" si="2"/>
        <v>#DIV/0!</v>
      </c>
      <c r="BJ4" s="86" t="e">
        <f t="shared" si="2"/>
        <v>#DIV/0!</v>
      </c>
      <c r="BK4" s="86" t="e">
        <f t="shared" si="2"/>
        <v>#DIV/0!</v>
      </c>
      <c r="BL4" s="86" t="e">
        <f t="shared" si="2"/>
        <v>#DIV/0!</v>
      </c>
      <c r="BM4" s="86" t="e">
        <f t="shared" si="2"/>
        <v>#DIV/0!</v>
      </c>
      <c r="BN4" s="86" t="e">
        <f t="shared" si="2"/>
        <v>#DIV/0!</v>
      </c>
      <c r="BO4" s="86" t="e">
        <f t="shared" si="2"/>
        <v>#DIV/0!</v>
      </c>
      <c r="BP4" s="86" t="e">
        <f t="shared" si="2"/>
        <v>#DIV/0!</v>
      </c>
      <c r="BQ4" s="86" t="e">
        <f t="shared" si="2"/>
        <v>#DIV/0!</v>
      </c>
      <c r="BR4" s="86" t="e">
        <f t="shared" si="2"/>
        <v>#DIV/0!</v>
      </c>
      <c r="BS4" s="86" t="e">
        <f t="shared" si="2"/>
        <v>#DIV/0!</v>
      </c>
      <c r="BT4" s="86" t="e">
        <f t="shared" si="2"/>
        <v>#DIV/0!</v>
      </c>
      <c r="BU4" s="86" t="e">
        <f t="shared" si="2"/>
        <v>#DIV/0!</v>
      </c>
      <c r="BV4" s="86" t="e">
        <f t="shared" si="2"/>
        <v>#DIV/0!</v>
      </c>
      <c r="BW4" s="86" t="e">
        <f t="shared" si="2"/>
        <v>#DIV/0!</v>
      </c>
      <c r="BX4" s="86" t="e">
        <f t="shared" si="2"/>
        <v>#DIV/0!</v>
      </c>
      <c r="BY4" s="86" t="e">
        <f t="shared" si="2"/>
        <v>#DIV/0!</v>
      </c>
      <c r="BZ4" s="86" t="e">
        <f t="shared" si="2"/>
        <v>#DIV/0!</v>
      </c>
      <c r="CA4" s="86" t="e">
        <f t="shared" si="2"/>
        <v>#DIV/0!</v>
      </c>
      <c r="CB4" s="86" t="e">
        <f t="shared" si="2"/>
        <v>#DIV/0!</v>
      </c>
      <c r="CC4" s="86" t="e">
        <f t="shared" si="2"/>
        <v>#DIV/0!</v>
      </c>
      <c r="CD4" s="86" t="e">
        <f t="shared" si="2"/>
        <v>#DIV/0!</v>
      </c>
      <c r="CE4" s="86" t="e">
        <f t="shared" si="2"/>
        <v>#DIV/0!</v>
      </c>
      <c r="CF4" s="86" t="e">
        <f t="shared" si="2"/>
        <v>#DIV/0!</v>
      </c>
      <c r="CG4" s="86" t="e">
        <f t="shared" si="2"/>
        <v>#DIV/0!</v>
      </c>
      <c r="CH4" s="86" t="e">
        <f t="shared" si="2"/>
        <v>#DIV/0!</v>
      </c>
    </row>
    <row r="5" spans="1:123" ht="35.4" x14ac:dyDescent="0.3">
      <c r="A5" s="65" t="s">
        <v>11</v>
      </c>
      <c r="B5" s="229" t="s">
        <v>86</v>
      </c>
      <c r="C5" s="138" t="s">
        <v>15</v>
      </c>
      <c r="D5" s="67">
        <v>2000</v>
      </c>
      <c r="E5" s="67">
        <f>+D5*0.07</f>
        <v>140</v>
      </c>
      <c r="F5" s="76">
        <v>348</v>
      </c>
      <c r="G5" s="67">
        <f>D5/F5</f>
        <v>5.7471264367816088</v>
      </c>
      <c r="H5" s="64">
        <f>$G$5/1</f>
        <v>5.7471264367816088</v>
      </c>
      <c r="I5" s="64">
        <f t="shared" ref="I5:BG5" si="3">$G$5/1</f>
        <v>5.7471264367816088</v>
      </c>
      <c r="J5" s="64">
        <f t="shared" si="3"/>
        <v>5.7471264367816088</v>
      </c>
      <c r="K5" s="64">
        <f t="shared" si="3"/>
        <v>5.7471264367816088</v>
      </c>
      <c r="L5" s="64">
        <f t="shared" si="3"/>
        <v>5.7471264367816088</v>
      </c>
      <c r="M5" s="64">
        <f t="shared" si="3"/>
        <v>5.7471264367816088</v>
      </c>
      <c r="N5" s="64">
        <f t="shared" si="3"/>
        <v>5.7471264367816088</v>
      </c>
      <c r="O5" s="64">
        <f t="shared" si="3"/>
        <v>5.7471264367816088</v>
      </c>
      <c r="P5" s="64">
        <f t="shared" si="3"/>
        <v>5.7471264367816088</v>
      </c>
      <c r="Q5" s="64">
        <f t="shared" si="3"/>
        <v>5.7471264367816088</v>
      </c>
      <c r="R5" s="64"/>
      <c r="S5" s="64"/>
      <c r="T5" s="64">
        <f t="shared" si="3"/>
        <v>5.7471264367816088</v>
      </c>
      <c r="U5" s="64"/>
      <c r="V5" s="64">
        <f t="shared" si="3"/>
        <v>5.7471264367816088</v>
      </c>
      <c r="W5" s="64">
        <f t="shared" si="3"/>
        <v>5.7471264367816088</v>
      </c>
      <c r="X5" s="64">
        <f t="shared" si="3"/>
        <v>5.7471264367816088</v>
      </c>
      <c r="Y5" s="64">
        <f t="shared" si="3"/>
        <v>5.7471264367816088</v>
      </c>
      <c r="Z5" s="64"/>
      <c r="AA5" s="64">
        <f t="shared" si="3"/>
        <v>5.7471264367816088</v>
      </c>
      <c r="AB5" s="64">
        <f t="shared" si="3"/>
        <v>5.7471264367816088</v>
      </c>
      <c r="AC5" s="64">
        <f t="shared" si="3"/>
        <v>5.7471264367816088</v>
      </c>
      <c r="AD5" s="64">
        <f t="shared" si="3"/>
        <v>5.7471264367816088</v>
      </c>
      <c r="AE5" s="64">
        <f t="shared" si="3"/>
        <v>5.7471264367816088</v>
      </c>
      <c r="AF5" s="64">
        <f t="shared" si="3"/>
        <v>5.7471264367816088</v>
      </c>
      <c r="AG5" s="64">
        <f t="shared" si="3"/>
        <v>5.7471264367816088</v>
      </c>
      <c r="AH5" s="64">
        <f t="shared" si="3"/>
        <v>5.7471264367816088</v>
      </c>
      <c r="AI5" s="64">
        <f t="shared" si="3"/>
        <v>5.7471264367816088</v>
      </c>
      <c r="AJ5" s="64">
        <f t="shared" si="3"/>
        <v>5.7471264367816088</v>
      </c>
      <c r="AK5" s="64">
        <f t="shared" si="3"/>
        <v>5.7471264367816088</v>
      </c>
      <c r="AL5" s="64">
        <f t="shared" si="3"/>
        <v>5.7471264367816088</v>
      </c>
      <c r="AM5" s="64">
        <f t="shared" si="3"/>
        <v>5.7471264367816088</v>
      </c>
      <c r="AN5" s="64">
        <f t="shared" si="3"/>
        <v>5.7471264367816088</v>
      </c>
      <c r="AO5" s="64">
        <f t="shared" si="3"/>
        <v>5.7471264367816088</v>
      </c>
      <c r="AP5" s="64">
        <f t="shared" si="3"/>
        <v>5.7471264367816088</v>
      </c>
      <c r="AQ5" s="64">
        <f t="shared" si="3"/>
        <v>5.7471264367816088</v>
      </c>
      <c r="AR5" s="64">
        <f t="shared" si="3"/>
        <v>5.7471264367816088</v>
      </c>
      <c r="AS5" s="64">
        <f t="shared" si="3"/>
        <v>5.7471264367816088</v>
      </c>
      <c r="AT5" s="64">
        <f t="shared" si="3"/>
        <v>5.7471264367816088</v>
      </c>
      <c r="AU5" s="64">
        <f t="shared" si="3"/>
        <v>5.7471264367816088</v>
      </c>
      <c r="AV5" s="64">
        <f t="shared" si="3"/>
        <v>5.7471264367816088</v>
      </c>
      <c r="AW5" s="64">
        <f t="shared" si="3"/>
        <v>5.7471264367816088</v>
      </c>
      <c r="AX5" s="64">
        <f t="shared" si="3"/>
        <v>5.7471264367816088</v>
      </c>
      <c r="AY5" s="64">
        <f t="shared" si="3"/>
        <v>5.7471264367816088</v>
      </c>
      <c r="AZ5" s="64">
        <f t="shared" si="3"/>
        <v>5.7471264367816088</v>
      </c>
      <c r="BA5" s="64">
        <f t="shared" si="3"/>
        <v>5.7471264367816088</v>
      </c>
      <c r="BB5" s="64">
        <f t="shared" si="3"/>
        <v>5.7471264367816088</v>
      </c>
      <c r="BC5" s="64">
        <f t="shared" si="3"/>
        <v>5.7471264367816088</v>
      </c>
      <c r="BD5" s="64">
        <f t="shared" si="3"/>
        <v>5.7471264367816088</v>
      </c>
      <c r="BE5" s="64">
        <f t="shared" si="3"/>
        <v>5.7471264367816088</v>
      </c>
      <c r="BF5" s="64">
        <f t="shared" si="3"/>
        <v>5.7471264367816088</v>
      </c>
      <c r="BG5" s="64">
        <f t="shared" si="3"/>
        <v>5.7471264367816088</v>
      </c>
      <c r="BH5" s="64">
        <f t="shared" ref="BH5:CH5" si="4">$G$5/1</f>
        <v>5.7471264367816088</v>
      </c>
      <c r="BI5" s="64">
        <f t="shared" si="4"/>
        <v>5.7471264367816088</v>
      </c>
      <c r="BJ5" s="64">
        <f t="shared" si="4"/>
        <v>5.7471264367816088</v>
      </c>
      <c r="BK5" s="64">
        <f t="shared" si="4"/>
        <v>5.7471264367816088</v>
      </c>
      <c r="BL5" s="64">
        <f t="shared" si="4"/>
        <v>5.7471264367816088</v>
      </c>
      <c r="BM5" s="64">
        <f t="shared" si="4"/>
        <v>5.7471264367816088</v>
      </c>
      <c r="BN5" s="64">
        <f t="shared" si="4"/>
        <v>5.7471264367816088</v>
      </c>
      <c r="BO5" s="64">
        <f t="shared" si="4"/>
        <v>5.7471264367816088</v>
      </c>
      <c r="BP5" s="64">
        <f t="shared" si="4"/>
        <v>5.7471264367816088</v>
      </c>
      <c r="BQ5" s="64">
        <f t="shared" si="4"/>
        <v>5.7471264367816088</v>
      </c>
      <c r="BR5" s="64">
        <f t="shared" si="4"/>
        <v>5.7471264367816088</v>
      </c>
      <c r="BS5" s="64">
        <f t="shared" si="4"/>
        <v>5.7471264367816088</v>
      </c>
      <c r="BT5" s="64">
        <f t="shared" si="4"/>
        <v>5.7471264367816088</v>
      </c>
      <c r="BU5" s="64">
        <f t="shared" si="4"/>
        <v>5.7471264367816088</v>
      </c>
      <c r="BV5" s="64">
        <f t="shared" si="4"/>
        <v>5.7471264367816088</v>
      </c>
      <c r="BW5" s="64">
        <f t="shared" si="4"/>
        <v>5.7471264367816088</v>
      </c>
      <c r="BX5" s="64">
        <f t="shared" si="4"/>
        <v>5.7471264367816088</v>
      </c>
      <c r="BY5" s="64">
        <f t="shared" si="4"/>
        <v>5.7471264367816088</v>
      </c>
      <c r="BZ5" s="64">
        <f t="shared" si="4"/>
        <v>5.7471264367816088</v>
      </c>
      <c r="CA5" s="64">
        <f t="shared" si="4"/>
        <v>5.7471264367816088</v>
      </c>
      <c r="CB5" s="64">
        <f t="shared" si="4"/>
        <v>5.7471264367816088</v>
      </c>
      <c r="CC5" s="64">
        <f t="shared" si="4"/>
        <v>5.7471264367816088</v>
      </c>
      <c r="CD5" s="64">
        <f t="shared" si="4"/>
        <v>5.7471264367816088</v>
      </c>
      <c r="CE5" s="64">
        <f t="shared" si="4"/>
        <v>5.7471264367816088</v>
      </c>
      <c r="CF5" s="64">
        <f t="shared" si="4"/>
        <v>5.7471264367816088</v>
      </c>
      <c r="CG5" s="64">
        <f t="shared" si="4"/>
        <v>5.7471264367816088</v>
      </c>
      <c r="CH5" s="64">
        <f t="shared" si="4"/>
        <v>5.7471264367816088</v>
      </c>
    </row>
    <row r="6" spans="1:123" ht="280.35000000000002" customHeight="1" x14ac:dyDescent="0.3">
      <c r="A6" s="65" t="s">
        <v>11</v>
      </c>
      <c r="B6" s="229"/>
      <c r="C6" s="66" t="s">
        <v>87</v>
      </c>
      <c r="D6" s="67">
        <f>4500*12</f>
        <v>54000</v>
      </c>
      <c r="E6" s="67">
        <f>D6*0.07</f>
        <v>3780.0000000000005</v>
      </c>
      <c r="F6" s="66">
        <v>365</v>
      </c>
      <c r="G6" s="67">
        <f>D6/F6</f>
        <v>147.94520547945206</v>
      </c>
      <c r="H6" s="64">
        <f>$G$6/1</f>
        <v>147.94520547945206</v>
      </c>
      <c r="I6" s="64">
        <f t="shared" ref="I6:BG6" si="5">$G$6/1</f>
        <v>147.94520547945206</v>
      </c>
      <c r="J6" s="64">
        <f t="shared" si="5"/>
        <v>147.94520547945206</v>
      </c>
      <c r="K6" s="64">
        <f t="shared" si="5"/>
        <v>147.94520547945206</v>
      </c>
      <c r="L6" s="64">
        <f t="shared" si="5"/>
        <v>147.94520547945206</v>
      </c>
      <c r="M6" s="64">
        <f t="shared" si="5"/>
        <v>147.94520547945206</v>
      </c>
      <c r="N6" s="64">
        <f t="shared" si="5"/>
        <v>147.94520547945206</v>
      </c>
      <c r="O6" s="64">
        <f t="shared" si="5"/>
        <v>147.94520547945206</v>
      </c>
      <c r="P6" s="64">
        <f t="shared" si="5"/>
        <v>147.94520547945206</v>
      </c>
      <c r="Q6" s="64">
        <f t="shared" si="5"/>
        <v>147.94520547945206</v>
      </c>
      <c r="R6" s="64"/>
      <c r="S6" s="64"/>
      <c r="T6" s="64">
        <f t="shared" si="5"/>
        <v>147.94520547945206</v>
      </c>
      <c r="U6" s="64"/>
      <c r="V6" s="64">
        <f t="shared" si="5"/>
        <v>147.94520547945206</v>
      </c>
      <c r="W6" s="64">
        <f t="shared" si="5"/>
        <v>147.94520547945206</v>
      </c>
      <c r="X6" s="64">
        <f t="shared" si="5"/>
        <v>147.94520547945206</v>
      </c>
      <c r="Y6" s="64">
        <f t="shared" si="5"/>
        <v>147.94520547945206</v>
      </c>
      <c r="Z6" s="64"/>
      <c r="AA6" s="64">
        <f t="shared" si="5"/>
        <v>147.94520547945206</v>
      </c>
      <c r="AB6" s="64">
        <f t="shared" si="5"/>
        <v>147.94520547945206</v>
      </c>
      <c r="AC6" s="64">
        <f t="shared" si="5"/>
        <v>147.94520547945206</v>
      </c>
      <c r="AD6" s="64">
        <f t="shared" si="5"/>
        <v>147.94520547945206</v>
      </c>
      <c r="AE6" s="64">
        <f t="shared" si="5"/>
        <v>147.94520547945206</v>
      </c>
      <c r="AF6" s="64">
        <f t="shared" si="5"/>
        <v>147.94520547945206</v>
      </c>
      <c r="AG6" s="64">
        <f t="shared" si="5"/>
        <v>147.94520547945206</v>
      </c>
      <c r="AH6" s="64">
        <f t="shared" si="5"/>
        <v>147.94520547945206</v>
      </c>
      <c r="AI6" s="64">
        <f t="shared" si="5"/>
        <v>147.94520547945206</v>
      </c>
      <c r="AJ6" s="64">
        <f t="shared" si="5"/>
        <v>147.94520547945206</v>
      </c>
      <c r="AK6" s="64">
        <f t="shared" si="5"/>
        <v>147.94520547945206</v>
      </c>
      <c r="AL6" s="64">
        <f t="shared" si="5"/>
        <v>147.94520547945206</v>
      </c>
      <c r="AM6" s="64">
        <f t="shared" si="5"/>
        <v>147.94520547945206</v>
      </c>
      <c r="AN6" s="64">
        <f t="shared" si="5"/>
        <v>147.94520547945206</v>
      </c>
      <c r="AO6" s="64">
        <f t="shared" si="5"/>
        <v>147.94520547945206</v>
      </c>
      <c r="AP6" s="64">
        <f t="shared" si="5"/>
        <v>147.94520547945206</v>
      </c>
      <c r="AQ6" s="64">
        <f t="shared" si="5"/>
        <v>147.94520547945206</v>
      </c>
      <c r="AR6" s="64">
        <f t="shared" si="5"/>
        <v>147.94520547945206</v>
      </c>
      <c r="AS6" s="64">
        <f t="shared" si="5"/>
        <v>147.94520547945206</v>
      </c>
      <c r="AT6" s="64">
        <f t="shared" si="5"/>
        <v>147.94520547945206</v>
      </c>
      <c r="AU6" s="64">
        <f t="shared" si="5"/>
        <v>147.94520547945206</v>
      </c>
      <c r="AV6" s="64">
        <f t="shared" si="5"/>
        <v>147.94520547945206</v>
      </c>
      <c r="AW6" s="64">
        <f t="shared" si="5"/>
        <v>147.94520547945206</v>
      </c>
      <c r="AX6" s="64">
        <f t="shared" si="5"/>
        <v>147.94520547945206</v>
      </c>
      <c r="AY6" s="64">
        <f t="shared" si="5"/>
        <v>147.94520547945206</v>
      </c>
      <c r="AZ6" s="64">
        <f t="shared" si="5"/>
        <v>147.94520547945206</v>
      </c>
      <c r="BA6" s="64">
        <f t="shared" si="5"/>
        <v>147.94520547945206</v>
      </c>
      <c r="BB6" s="64">
        <f t="shared" si="5"/>
        <v>147.94520547945206</v>
      </c>
      <c r="BC6" s="64">
        <f t="shared" si="5"/>
        <v>147.94520547945206</v>
      </c>
      <c r="BD6" s="64">
        <f t="shared" si="5"/>
        <v>147.94520547945206</v>
      </c>
      <c r="BE6" s="64">
        <f t="shared" si="5"/>
        <v>147.94520547945206</v>
      </c>
      <c r="BF6" s="64">
        <f t="shared" si="5"/>
        <v>147.94520547945206</v>
      </c>
      <c r="BG6" s="64">
        <f t="shared" si="5"/>
        <v>147.94520547945206</v>
      </c>
      <c r="BH6" s="64">
        <f t="shared" ref="BH6:CH6" si="6">$G$6/1</f>
        <v>147.94520547945206</v>
      </c>
      <c r="BI6" s="64">
        <f t="shared" si="6"/>
        <v>147.94520547945206</v>
      </c>
      <c r="BJ6" s="64">
        <f t="shared" si="6"/>
        <v>147.94520547945206</v>
      </c>
      <c r="BK6" s="64">
        <f t="shared" si="6"/>
        <v>147.94520547945206</v>
      </c>
      <c r="BL6" s="64">
        <f t="shared" si="6"/>
        <v>147.94520547945206</v>
      </c>
      <c r="BM6" s="64">
        <f t="shared" si="6"/>
        <v>147.94520547945206</v>
      </c>
      <c r="BN6" s="64">
        <f t="shared" si="6"/>
        <v>147.94520547945206</v>
      </c>
      <c r="BO6" s="64">
        <f t="shared" si="6"/>
        <v>147.94520547945206</v>
      </c>
      <c r="BP6" s="64">
        <f t="shared" si="6"/>
        <v>147.94520547945206</v>
      </c>
      <c r="BQ6" s="64">
        <f t="shared" si="6"/>
        <v>147.94520547945206</v>
      </c>
      <c r="BR6" s="64">
        <f t="shared" si="6"/>
        <v>147.94520547945206</v>
      </c>
      <c r="BS6" s="64">
        <f t="shared" si="6"/>
        <v>147.94520547945206</v>
      </c>
      <c r="BT6" s="64">
        <f t="shared" si="6"/>
        <v>147.94520547945206</v>
      </c>
      <c r="BU6" s="64">
        <f t="shared" si="6"/>
        <v>147.94520547945206</v>
      </c>
      <c r="BV6" s="64">
        <f t="shared" si="6"/>
        <v>147.94520547945206</v>
      </c>
      <c r="BW6" s="64">
        <f t="shared" si="6"/>
        <v>147.94520547945206</v>
      </c>
      <c r="BX6" s="64">
        <f t="shared" si="6"/>
        <v>147.94520547945206</v>
      </c>
      <c r="BY6" s="64">
        <f t="shared" si="6"/>
        <v>147.94520547945206</v>
      </c>
      <c r="BZ6" s="64">
        <f t="shared" si="6"/>
        <v>147.94520547945206</v>
      </c>
      <c r="CA6" s="64">
        <f t="shared" si="6"/>
        <v>147.94520547945206</v>
      </c>
      <c r="CB6" s="64">
        <f t="shared" si="6"/>
        <v>147.94520547945206</v>
      </c>
      <c r="CC6" s="64">
        <f t="shared" si="6"/>
        <v>147.94520547945206</v>
      </c>
      <c r="CD6" s="64">
        <f t="shared" si="6"/>
        <v>147.94520547945206</v>
      </c>
      <c r="CE6" s="64">
        <f t="shared" si="6"/>
        <v>147.94520547945206</v>
      </c>
      <c r="CF6" s="64">
        <f t="shared" si="6"/>
        <v>147.94520547945206</v>
      </c>
      <c r="CG6" s="64">
        <f t="shared" si="6"/>
        <v>147.94520547945206</v>
      </c>
      <c r="CH6" s="64">
        <f t="shared" si="6"/>
        <v>147.94520547945206</v>
      </c>
    </row>
    <row r="7" spans="1:123" x14ac:dyDescent="0.3">
      <c r="A7" s="65"/>
      <c r="B7" s="202"/>
      <c r="C7" s="66"/>
      <c r="D7" s="67"/>
      <c r="E7" s="67"/>
      <c r="F7" s="66"/>
      <c r="G7" s="67"/>
      <c r="H7" s="83">
        <f t="shared" ref="H7:W7" si="7">SUM(H5:H6)</f>
        <v>153.69233191623366</v>
      </c>
      <c r="I7" s="83">
        <f t="shared" si="7"/>
        <v>153.69233191623366</v>
      </c>
      <c r="J7" s="83">
        <f t="shared" si="7"/>
        <v>153.69233191623366</v>
      </c>
      <c r="K7" s="83">
        <f>SUM(K5:K6)*3</f>
        <v>461.07699574870094</v>
      </c>
      <c r="L7" s="83">
        <f t="shared" si="7"/>
        <v>153.69233191623366</v>
      </c>
      <c r="M7" s="83">
        <f>SUM(M5:M6)*3</f>
        <v>461.07699574870094</v>
      </c>
      <c r="N7" s="83">
        <f t="shared" si="7"/>
        <v>153.69233191623366</v>
      </c>
      <c r="O7" s="83">
        <f t="shared" si="7"/>
        <v>153.69233191623366</v>
      </c>
      <c r="P7" s="83">
        <f t="shared" si="7"/>
        <v>153.69233191623366</v>
      </c>
      <c r="Q7" s="83">
        <f t="shared" si="7"/>
        <v>153.69233191623366</v>
      </c>
      <c r="R7" s="83"/>
      <c r="S7" s="83"/>
      <c r="T7" s="83">
        <f>SUM(T5:T6)*3</f>
        <v>461.07699574870094</v>
      </c>
      <c r="U7" s="83"/>
      <c r="V7" s="83">
        <f t="shared" si="7"/>
        <v>153.69233191623366</v>
      </c>
      <c r="W7" s="83">
        <f t="shared" si="7"/>
        <v>153.69233191623366</v>
      </c>
      <c r="X7" s="83">
        <f t="shared" ref="X7:AR7" si="8">SUM(X5:X6)</f>
        <v>153.69233191623366</v>
      </c>
      <c r="Y7" s="83">
        <f t="shared" si="8"/>
        <v>153.69233191623366</v>
      </c>
      <c r="Z7" s="83"/>
      <c r="AA7" s="83">
        <f>SUM(AA5:AA6)*3</f>
        <v>461.07699574870094</v>
      </c>
      <c r="AB7" s="83">
        <f t="shared" si="8"/>
        <v>153.69233191623366</v>
      </c>
      <c r="AC7" s="83">
        <f t="shared" si="8"/>
        <v>153.69233191623366</v>
      </c>
      <c r="AD7" s="83">
        <f>SUM(AD5:AD6)*2</f>
        <v>307.38466383246731</v>
      </c>
      <c r="AE7" s="83">
        <f>SUM(AE5:AE6)*3</f>
        <v>461.07699574870094</v>
      </c>
      <c r="AF7" s="83">
        <f t="shared" si="8"/>
        <v>153.69233191623366</v>
      </c>
      <c r="AG7" s="83">
        <f t="shared" si="8"/>
        <v>153.69233191623366</v>
      </c>
      <c r="AH7" s="83">
        <f t="shared" si="8"/>
        <v>153.69233191623366</v>
      </c>
      <c r="AI7" s="83">
        <f t="shared" si="8"/>
        <v>153.69233191623366</v>
      </c>
      <c r="AJ7" s="83">
        <f>SUM(AJ5:AJ6)*3</f>
        <v>461.07699574870094</v>
      </c>
      <c r="AK7" s="83">
        <f t="shared" si="8"/>
        <v>153.69233191623366</v>
      </c>
      <c r="AL7" s="83">
        <f>SUM(AL5:AL6)*2</f>
        <v>307.38466383246731</v>
      </c>
      <c r="AM7" s="83">
        <f t="shared" si="8"/>
        <v>153.69233191623366</v>
      </c>
      <c r="AN7" s="83">
        <f>SUM(AN5:AN6)*3</f>
        <v>461.07699574870094</v>
      </c>
      <c r="AO7" s="83">
        <f t="shared" si="8"/>
        <v>153.69233191623366</v>
      </c>
      <c r="AP7" s="83">
        <f t="shared" si="8"/>
        <v>153.69233191623366</v>
      </c>
      <c r="AQ7" s="83">
        <f t="shared" si="8"/>
        <v>153.69233191623366</v>
      </c>
      <c r="AR7" s="83">
        <f t="shared" si="8"/>
        <v>153.69233191623366</v>
      </c>
      <c r="AS7" s="83">
        <f>SUM(AS5:AS6)*3</f>
        <v>461.07699574870094</v>
      </c>
      <c r="AT7" s="83">
        <f t="shared" ref="AT7:BU7" si="9">SUM(AT5:AT6)</f>
        <v>153.69233191623366</v>
      </c>
      <c r="AU7" s="83">
        <f t="shared" si="9"/>
        <v>153.69233191623366</v>
      </c>
      <c r="AV7" s="83">
        <f t="shared" si="9"/>
        <v>153.69233191623366</v>
      </c>
      <c r="AW7" s="83">
        <f t="shared" si="9"/>
        <v>153.69233191623366</v>
      </c>
      <c r="AX7" s="83">
        <f>SUM(AX5:AX6)*3</f>
        <v>461.07699574870094</v>
      </c>
      <c r="AY7" s="83">
        <f t="shared" si="9"/>
        <v>153.69233191623366</v>
      </c>
      <c r="AZ7" s="83">
        <f t="shared" si="9"/>
        <v>153.69233191623366</v>
      </c>
      <c r="BA7" s="83">
        <f t="shared" si="9"/>
        <v>153.69233191623366</v>
      </c>
      <c r="BB7" s="83">
        <f t="shared" si="9"/>
        <v>153.69233191623366</v>
      </c>
      <c r="BC7" s="83">
        <f>SUM(BC5:BC6)*3</f>
        <v>461.07699574870094</v>
      </c>
      <c r="BD7" s="83">
        <f t="shared" si="9"/>
        <v>153.69233191623366</v>
      </c>
      <c r="BE7" s="83">
        <f t="shared" si="9"/>
        <v>153.69233191623366</v>
      </c>
      <c r="BF7" s="83">
        <f t="shared" si="9"/>
        <v>153.69233191623366</v>
      </c>
      <c r="BG7" s="83">
        <f t="shared" si="9"/>
        <v>153.69233191623366</v>
      </c>
      <c r="BH7" s="83">
        <f t="shared" si="9"/>
        <v>153.69233191623366</v>
      </c>
      <c r="BI7" s="83">
        <f t="shared" si="9"/>
        <v>153.69233191623366</v>
      </c>
      <c r="BJ7" s="83">
        <f t="shared" si="9"/>
        <v>153.69233191623366</v>
      </c>
      <c r="BK7" s="83">
        <f t="shared" si="9"/>
        <v>153.69233191623366</v>
      </c>
      <c r="BL7" s="83">
        <f t="shared" si="9"/>
        <v>153.69233191623366</v>
      </c>
      <c r="BM7" s="83">
        <f t="shared" si="9"/>
        <v>153.69233191623366</v>
      </c>
      <c r="BN7" s="83">
        <f t="shared" si="9"/>
        <v>153.69233191623366</v>
      </c>
      <c r="BO7" s="83">
        <f t="shared" si="9"/>
        <v>153.69233191623366</v>
      </c>
      <c r="BP7" s="83">
        <f t="shared" si="9"/>
        <v>153.69233191623366</v>
      </c>
      <c r="BQ7" s="83">
        <f t="shared" si="9"/>
        <v>153.69233191623366</v>
      </c>
      <c r="BR7" s="83">
        <f t="shared" si="9"/>
        <v>153.69233191623366</v>
      </c>
      <c r="BS7" s="83">
        <f t="shared" si="9"/>
        <v>153.69233191623366</v>
      </c>
      <c r="BT7" s="83">
        <f t="shared" si="9"/>
        <v>153.69233191623366</v>
      </c>
      <c r="BU7" s="83">
        <f t="shared" si="9"/>
        <v>153.69233191623366</v>
      </c>
      <c r="BV7" s="83">
        <f t="shared" ref="BV7:CH7" si="10">SUM(BV5:BV6)</f>
        <v>153.69233191623366</v>
      </c>
      <c r="BW7" s="83">
        <f t="shared" si="10"/>
        <v>153.69233191623366</v>
      </c>
      <c r="BX7" s="83">
        <f t="shared" si="10"/>
        <v>153.69233191623366</v>
      </c>
      <c r="BY7" s="83">
        <f t="shared" si="10"/>
        <v>153.69233191623366</v>
      </c>
      <c r="BZ7" s="83">
        <f t="shared" si="10"/>
        <v>153.69233191623366</v>
      </c>
      <c r="CA7" s="83">
        <f t="shared" si="10"/>
        <v>153.69233191623366</v>
      </c>
      <c r="CB7" s="83">
        <f t="shared" si="10"/>
        <v>153.69233191623366</v>
      </c>
      <c r="CC7" s="83">
        <f t="shared" si="10"/>
        <v>153.69233191623366</v>
      </c>
      <c r="CD7" s="83">
        <f t="shared" si="10"/>
        <v>153.69233191623366</v>
      </c>
      <c r="CE7" s="83">
        <f t="shared" si="10"/>
        <v>153.69233191623366</v>
      </c>
      <c r="CF7" s="83">
        <f t="shared" si="10"/>
        <v>153.69233191623366</v>
      </c>
      <c r="CG7" s="83">
        <f t="shared" si="10"/>
        <v>153.69233191623366</v>
      </c>
      <c r="CH7" s="83">
        <f t="shared" si="10"/>
        <v>153.69233191623366</v>
      </c>
    </row>
    <row r="8" spans="1:123" ht="86.4" x14ac:dyDescent="0.3">
      <c r="A8" s="21" t="s">
        <v>2</v>
      </c>
      <c r="B8" s="230" t="s">
        <v>3</v>
      </c>
      <c r="C8" s="22" t="s">
        <v>4</v>
      </c>
      <c r="D8" s="23">
        <f>(51500+500)/2</f>
        <v>26000</v>
      </c>
      <c r="E8" s="23">
        <f>+D8*7%</f>
        <v>1820.0000000000002</v>
      </c>
      <c r="F8" s="21">
        <f>365*5</f>
        <v>1825</v>
      </c>
      <c r="G8" s="24">
        <f t="shared" ref="G8:G13" si="11">D8/F8</f>
        <v>14.246575342465754</v>
      </c>
      <c r="H8" s="64">
        <f t="shared" ref="H8:AI8" si="12">$G$8/H3</f>
        <v>10.430556314723983</v>
      </c>
      <c r="I8" s="64">
        <f t="shared" si="12"/>
        <v>10.38380127001877</v>
      </c>
      <c r="J8" s="64">
        <f t="shared" si="12"/>
        <v>10.444703330253484</v>
      </c>
      <c r="K8" s="64">
        <f t="shared" si="12"/>
        <v>10.434758179495901</v>
      </c>
      <c r="L8" s="64">
        <f t="shared" si="12"/>
        <v>10.434758179495901</v>
      </c>
      <c r="M8" s="64">
        <f t="shared" si="12"/>
        <v>10.434758179495901</v>
      </c>
      <c r="N8" s="64">
        <f t="shared" si="12"/>
        <v>10.452366355440759</v>
      </c>
      <c r="O8" s="64">
        <f t="shared" si="12"/>
        <v>10.449299796439602</v>
      </c>
      <c r="P8" s="64">
        <f t="shared" si="12"/>
        <v>10.452366355440759</v>
      </c>
      <c r="Q8" s="64">
        <f t="shared" si="12"/>
        <v>10.467726188439201</v>
      </c>
      <c r="R8" s="64"/>
      <c r="S8" s="64"/>
      <c r="T8" s="64">
        <f t="shared" ref="T8" si="13">$G$8/T3</f>
        <v>10.468879995933243</v>
      </c>
      <c r="U8" s="64"/>
      <c r="V8" s="64">
        <f t="shared" si="12"/>
        <v>10.465419336271031</v>
      </c>
      <c r="W8" s="64">
        <f t="shared" si="12"/>
        <v>10.460040633234767</v>
      </c>
      <c r="X8" s="64">
        <f t="shared" si="12"/>
        <v>10.421400345609708</v>
      </c>
      <c r="Y8" s="64">
        <f t="shared" si="12"/>
        <v>10.432465833674396</v>
      </c>
      <c r="Z8" s="64"/>
      <c r="AA8" s="64">
        <f t="shared" si="12"/>
        <v>10.409597649032408</v>
      </c>
      <c r="AB8" s="64">
        <f t="shared" si="12"/>
        <v>10.445852067650954</v>
      </c>
      <c r="AC8" s="64">
        <f t="shared" si="12"/>
        <v>10.448533437818668</v>
      </c>
      <c r="AD8" s="64">
        <f t="shared" si="12"/>
        <v>10.392891262376535</v>
      </c>
      <c r="AE8" s="64">
        <f t="shared" si="12"/>
        <v>10.353992036386318</v>
      </c>
      <c r="AF8" s="64">
        <f t="shared" si="12"/>
        <v>10.36076894837697</v>
      </c>
      <c r="AG8" s="64">
        <f t="shared" si="12"/>
        <v>10.31164978464516</v>
      </c>
      <c r="AH8" s="64">
        <f t="shared" si="12"/>
        <v>10.36793198636617</v>
      </c>
      <c r="AI8" s="64">
        <f t="shared" si="12"/>
        <v>10.378884160176122</v>
      </c>
      <c r="AJ8" s="64">
        <f t="shared" ref="AJ8" si="14">$G$8/AJ3</f>
        <v>10.387586833733689</v>
      </c>
      <c r="AK8" s="64">
        <f t="shared" ref="AK8:BF8" si="15">$G$8/AK3</f>
        <v>10.416066783012797</v>
      </c>
      <c r="AL8" s="64">
        <f t="shared" si="15"/>
        <v>10.38380127001877</v>
      </c>
      <c r="AM8" s="64">
        <f t="shared" si="15"/>
        <v>10.435522518653498</v>
      </c>
      <c r="AN8" s="64">
        <f t="shared" si="15"/>
        <v>10.452749801875163</v>
      </c>
      <c r="AO8" s="64">
        <f t="shared" si="15"/>
        <v>10.456969570218551</v>
      </c>
      <c r="AP8" s="64">
        <f t="shared" si="15"/>
        <v>10.435522518653498</v>
      </c>
      <c r="AQ8" s="64">
        <f t="shared" si="15"/>
        <v>10.420638073704971</v>
      </c>
      <c r="AR8" s="64">
        <f t="shared" si="15"/>
        <v>10.398580593748953</v>
      </c>
      <c r="AS8" s="64">
        <f t="shared" ref="AS8" si="16">$G$8/AS3</f>
        <v>10.388344277720398</v>
      </c>
      <c r="AT8" s="64">
        <f t="shared" si="15"/>
        <v>10.34947901817279</v>
      </c>
      <c r="AU8" s="64">
        <f t="shared" si="15"/>
        <v>10.351358964227096</v>
      </c>
      <c r="AV8" s="64">
        <f t="shared" si="15"/>
        <v>10.364914763525466</v>
      </c>
      <c r="AW8" s="64">
        <f t="shared" si="15"/>
        <v>10.342716862656179</v>
      </c>
      <c r="AX8" s="64">
        <f t="shared" si="15"/>
        <v>10.331091618901924</v>
      </c>
      <c r="AY8" s="64">
        <f t="shared" si="15"/>
        <v>10.34121536127881</v>
      </c>
      <c r="AZ8" s="64">
        <f t="shared" si="15"/>
        <v>10.358132428723101</v>
      </c>
      <c r="BA8" s="64">
        <f t="shared" si="15"/>
        <v>10.387965541919685</v>
      </c>
      <c r="BB8" s="64">
        <f t="shared" si="15"/>
        <v>10.3853151643576</v>
      </c>
      <c r="BC8" s="64">
        <f t="shared" ref="BC8" si="17">$G$8/BC3</f>
        <v>10.3898594971308</v>
      </c>
      <c r="BD8" s="64">
        <f t="shared" si="15"/>
        <v>10.393649480167618</v>
      </c>
      <c r="BE8" s="64" t="e">
        <f t="shared" si="15"/>
        <v>#DIV/0!</v>
      </c>
      <c r="BF8" s="64" t="e">
        <f t="shared" si="15"/>
        <v>#DIV/0!</v>
      </c>
      <c r="BG8" s="64" t="e">
        <f t="shared" ref="BG8:CH8" si="18">$G$8/BG3</f>
        <v>#DIV/0!</v>
      </c>
      <c r="BH8" s="64" t="e">
        <f t="shared" si="18"/>
        <v>#DIV/0!</v>
      </c>
      <c r="BI8" s="64" t="e">
        <f t="shared" si="18"/>
        <v>#DIV/0!</v>
      </c>
      <c r="BJ8" s="64" t="e">
        <f t="shared" si="18"/>
        <v>#DIV/0!</v>
      </c>
      <c r="BK8" s="64" t="e">
        <f t="shared" si="18"/>
        <v>#DIV/0!</v>
      </c>
      <c r="BL8" s="64" t="e">
        <f t="shared" si="18"/>
        <v>#DIV/0!</v>
      </c>
      <c r="BM8" s="64" t="e">
        <f t="shared" si="18"/>
        <v>#DIV/0!</v>
      </c>
      <c r="BN8" s="64" t="e">
        <f t="shared" si="18"/>
        <v>#DIV/0!</v>
      </c>
      <c r="BO8" s="64" t="e">
        <f t="shared" si="18"/>
        <v>#DIV/0!</v>
      </c>
      <c r="BP8" s="64" t="e">
        <f t="shared" si="18"/>
        <v>#DIV/0!</v>
      </c>
      <c r="BQ8" s="64" t="e">
        <f t="shared" si="18"/>
        <v>#DIV/0!</v>
      </c>
      <c r="BR8" s="64" t="e">
        <f t="shared" si="18"/>
        <v>#DIV/0!</v>
      </c>
      <c r="BS8" s="64" t="e">
        <f t="shared" si="18"/>
        <v>#DIV/0!</v>
      </c>
      <c r="BT8" s="64" t="e">
        <f t="shared" si="18"/>
        <v>#DIV/0!</v>
      </c>
      <c r="BU8" s="64" t="e">
        <f t="shared" si="18"/>
        <v>#DIV/0!</v>
      </c>
      <c r="BV8" s="64" t="e">
        <f t="shared" si="18"/>
        <v>#DIV/0!</v>
      </c>
      <c r="BW8" s="64" t="e">
        <f t="shared" si="18"/>
        <v>#DIV/0!</v>
      </c>
      <c r="BX8" s="64" t="e">
        <f t="shared" si="18"/>
        <v>#DIV/0!</v>
      </c>
      <c r="BY8" s="64" t="e">
        <f t="shared" si="18"/>
        <v>#DIV/0!</v>
      </c>
      <c r="BZ8" s="64" t="e">
        <f t="shared" si="18"/>
        <v>#DIV/0!</v>
      </c>
      <c r="CA8" s="64" t="e">
        <f t="shared" si="18"/>
        <v>#DIV/0!</v>
      </c>
      <c r="CB8" s="64" t="e">
        <f t="shared" si="18"/>
        <v>#DIV/0!</v>
      </c>
      <c r="CC8" s="64" t="e">
        <f t="shared" si="18"/>
        <v>#DIV/0!</v>
      </c>
      <c r="CD8" s="64" t="e">
        <f t="shared" si="18"/>
        <v>#DIV/0!</v>
      </c>
      <c r="CE8" s="64" t="e">
        <f t="shared" si="18"/>
        <v>#DIV/0!</v>
      </c>
      <c r="CF8" s="64" t="e">
        <f t="shared" si="18"/>
        <v>#DIV/0!</v>
      </c>
      <c r="CG8" s="64" t="e">
        <f t="shared" si="18"/>
        <v>#DIV/0!</v>
      </c>
      <c r="CH8" s="64" t="e">
        <f t="shared" si="18"/>
        <v>#DIV/0!</v>
      </c>
    </row>
    <row r="9" spans="1:123" ht="57" x14ac:dyDescent="0.3">
      <c r="A9" s="21" t="s">
        <v>2</v>
      </c>
      <c r="B9" s="230"/>
      <c r="C9" s="25" t="s">
        <v>5</v>
      </c>
      <c r="D9" s="23">
        <f>1818/2</f>
        <v>909</v>
      </c>
      <c r="E9" s="23">
        <f>+D9*0.07</f>
        <v>63.63</v>
      </c>
      <c r="F9" s="21">
        <f t="shared" ref="F9:F17" si="19">365*5</f>
        <v>1825</v>
      </c>
      <c r="G9" s="24">
        <f t="shared" si="11"/>
        <v>0.49808219178082191</v>
      </c>
      <c r="H9" s="64">
        <f t="shared" ref="H9:AI9" si="20">$G$9/H3</f>
        <v>0.36466829577246546</v>
      </c>
      <c r="I9" s="64">
        <f t="shared" si="20"/>
        <v>0.36303366747873317</v>
      </c>
      <c r="J9" s="64">
        <f t="shared" si="20"/>
        <v>0.36516289720001605</v>
      </c>
      <c r="K9" s="64">
        <f t="shared" si="20"/>
        <v>0.36481519942929902</v>
      </c>
      <c r="L9" s="64">
        <f t="shared" si="20"/>
        <v>0.36481519942929902</v>
      </c>
      <c r="M9" s="64">
        <f t="shared" si="20"/>
        <v>0.36481519942929902</v>
      </c>
      <c r="N9" s="64">
        <f t="shared" si="20"/>
        <v>0.36543080834983266</v>
      </c>
      <c r="O9" s="64">
        <f t="shared" si="20"/>
        <v>0.36532359672936915</v>
      </c>
      <c r="P9" s="64">
        <f t="shared" si="20"/>
        <v>0.36543080834983266</v>
      </c>
      <c r="Q9" s="64">
        <f t="shared" si="20"/>
        <v>0.36596781174197057</v>
      </c>
      <c r="R9" s="64"/>
      <c r="S9" s="64"/>
      <c r="T9" s="64">
        <f t="shared" ref="T9" si="21">$G$9/T3</f>
        <v>0.36600815062705072</v>
      </c>
      <c r="U9" s="64"/>
      <c r="V9" s="64">
        <f t="shared" si="20"/>
        <v>0.36588716064116794</v>
      </c>
      <c r="W9" s="64">
        <f t="shared" si="20"/>
        <v>0.36569911290809243</v>
      </c>
      <c r="X9" s="64">
        <f t="shared" si="20"/>
        <v>0.36434818900612403</v>
      </c>
      <c r="Y9" s="64">
        <f t="shared" si="20"/>
        <v>0.36473505549269331</v>
      </c>
      <c r="Z9" s="64"/>
      <c r="AA9" s="64">
        <f t="shared" si="20"/>
        <v>0.36393554857578686</v>
      </c>
      <c r="AB9" s="64">
        <f t="shared" si="20"/>
        <v>0.36520305882671988</v>
      </c>
      <c r="AC9" s="64">
        <f t="shared" si="20"/>
        <v>0.36529680365296807</v>
      </c>
      <c r="AD9" s="64">
        <f t="shared" si="20"/>
        <v>0.36335146759616421</v>
      </c>
      <c r="AE9" s="64">
        <f t="shared" si="20"/>
        <v>0.36199149081058318</v>
      </c>
      <c r="AF9" s="64">
        <f t="shared" si="20"/>
        <v>0.36222842207979483</v>
      </c>
      <c r="AG9" s="64">
        <f t="shared" si="20"/>
        <v>0.3605111405477866</v>
      </c>
      <c r="AH9" s="64">
        <f t="shared" si="20"/>
        <v>0.36247885290795567</v>
      </c>
      <c r="AI9" s="64">
        <f t="shared" si="20"/>
        <v>0.36286175775384982</v>
      </c>
      <c r="AJ9" s="64">
        <f t="shared" ref="AJ9" si="22">$G$9/AJ3</f>
        <v>0.36316601661015091</v>
      </c>
      <c r="AK9" s="64">
        <f t="shared" ref="AK9:BF9" si="23">$G$9/AK3</f>
        <v>0.36416171945225512</v>
      </c>
      <c r="AL9" s="64">
        <f t="shared" si="23"/>
        <v>0.36303366747873317</v>
      </c>
      <c r="AM9" s="64">
        <f t="shared" si="23"/>
        <v>0.36484192190215492</v>
      </c>
      <c r="AN9" s="64">
        <f t="shared" si="23"/>
        <v>0.365444214227097</v>
      </c>
      <c r="AO9" s="64">
        <f t="shared" si="23"/>
        <v>0.36559174382033316</v>
      </c>
      <c r="AP9" s="64">
        <f t="shared" si="23"/>
        <v>0.36484192190215492</v>
      </c>
      <c r="AQ9" s="64">
        <f t="shared" si="23"/>
        <v>0.36432153880760842</v>
      </c>
      <c r="AR9" s="64">
        <f t="shared" si="23"/>
        <v>0.3635503753737615</v>
      </c>
      <c r="AS9" s="64">
        <f t="shared" ref="AS9" si="24">$G$9/AS3</f>
        <v>0.3631924980172247</v>
      </c>
      <c r="AT9" s="64">
        <f t="shared" si="23"/>
        <v>0.36183370875073328</v>
      </c>
      <c r="AU9" s="64">
        <f t="shared" si="23"/>
        <v>0.36189943455701656</v>
      </c>
      <c r="AV9" s="64">
        <f t="shared" si="23"/>
        <v>0.36237336615556343</v>
      </c>
      <c r="AW9" s="64">
        <f t="shared" si="23"/>
        <v>0.36159729339055641</v>
      </c>
      <c r="AX9" s="64">
        <f t="shared" si="23"/>
        <v>0.36119085698391729</v>
      </c>
      <c r="AY9" s="64">
        <f t="shared" si="23"/>
        <v>0.36154479859240146</v>
      </c>
      <c r="AZ9" s="64">
        <f t="shared" si="23"/>
        <v>0.36213624529651151</v>
      </c>
      <c r="BA9" s="64">
        <f t="shared" si="23"/>
        <v>0.36317925683096131</v>
      </c>
      <c r="BB9" s="64">
        <f t="shared" si="23"/>
        <v>0.36308659555388684</v>
      </c>
      <c r="BC9" s="64">
        <f t="shared" ref="BC9" si="25">$G$9/BC3</f>
        <v>0.36324547241891914</v>
      </c>
      <c r="BD9" s="64">
        <f t="shared" si="23"/>
        <v>0.36337797605662941</v>
      </c>
      <c r="BE9" s="64" t="e">
        <f t="shared" si="23"/>
        <v>#DIV/0!</v>
      </c>
      <c r="BF9" s="64" t="e">
        <f t="shared" si="23"/>
        <v>#DIV/0!</v>
      </c>
      <c r="BG9" s="64" t="e">
        <f t="shared" ref="BG9:CH9" si="26">$G$9/BG3</f>
        <v>#DIV/0!</v>
      </c>
      <c r="BH9" s="64" t="e">
        <f t="shared" si="26"/>
        <v>#DIV/0!</v>
      </c>
      <c r="BI9" s="64" t="e">
        <f t="shared" si="26"/>
        <v>#DIV/0!</v>
      </c>
      <c r="BJ9" s="64" t="e">
        <f t="shared" si="26"/>
        <v>#DIV/0!</v>
      </c>
      <c r="BK9" s="64" t="e">
        <f t="shared" si="26"/>
        <v>#DIV/0!</v>
      </c>
      <c r="BL9" s="64" t="e">
        <f t="shared" si="26"/>
        <v>#DIV/0!</v>
      </c>
      <c r="BM9" s="64" t="e">
        <f t="shared" si="26"/>
        <v>#DIV/0!</v>
      </c>
      <c r="BN9" s="64" t="e">
        <f t="shared" si="26"/>
        <v>#DIV/0!</v>
      </c>
      <c r="BO9" s="64" t="e">
        <f t="shared" si="26"/>
        <v>#DIV/0!</v>
      </c>
      <c r="BP9" s="64" t="e">
        <f t="shared" si="26"/>
        <v>#DIV/0!</v>
      </c>
      <c r="BQ9" s="64" t="e">
        <f t="shared" si="26"/>
        <v>#DIV/0!</v>
      </c>
      <c r="BR9" s="64" t="e">
        <f t="shared" si="26"/>
        <v>#DIV/0!</v>
      </c>
      <c r="BS9" s="64" t="e">
        <f t="shared" si="26"/>
        <v>#DIV/0!</v>
      </c>
      <c r="BT9" s="64" t="e">
        <f t="shared" si="26"/>
        <v>#DIV/0!</v>
      </c>
      <c r="BU9" s="64" t="e">
        <f t="shared" si="26"/>
        <v>#DIV/0!</v>
      </c>
      <c r="BV9" s="64" t="e">
        <f t="shared" si="26"/>
        <v>#DIV/0!</v>
      </c>
      <c r="BW9" s="64" t="e">
        <f t="shared" si="26"/>
        <v>#DIV/0!</v>
      </c>
      <c r="BX9" s="64" t="e">
        <f t="shared" si="26"/>
        <v>#DIV/0!</v>
      </c>
      <c r="BY9" s="64" t="e">
        <f t="shared" si="26"/>
        <v>#DIV/0!</v>
      </c>
      <c r="BZ9" s="64" t="e">
        <f t="shared" si="26"/>
        <v>#DIV/0!</v>
      </c>
      <c r="CA9" s="64" t="e">
        <f t="shared" si="26"/>
        <v>#DIV/0!</v>
      </c>
      <c r="CB9" s="64" t="e">
        <f t="shared" si="26"/>
        <v>#DIV/0!</v>
      </c>
      <c r="CC9" s="64" t="e">
        <f t="shared" si="26"/>
        <v>#DIV/0!</v>
      </c>
      <c r="CD9" s="64" t="e">
        <f t="shared" si="26"/>
        <v>#DIV/0!</v>
      </c>
      <c r="CE9" s="64" t="e">
        <f t="shared" si="26"/>
        <v>#DIV/0!</v>
      </c>
      <c r="CF9" s="64" t="e">
        <f t="shared" si="26"/>
        <v>#DIV/0!</v>
      </c>
      <c r="CG9" s="64" t="e">
        <f t="shared" si="26"/>
        <v>#DIV/0!</v>
      </c>
      <c r="CH9" s="64" t="e">
        <f t="shared" si="26"/>
        <v>#DIV/0!</v>
      </c>
    </row>
    <row r="10" spans="1:123" ht="45.6" x14ac:dyDescent="0.3">
      <c r="A10" s="21" t="s">
        <v>2</v>
      </c>
      <c r="B10" s="230"/>
      <c r="C10" s="25" t="s">
        <v>6</v>
      </c>
      <c r="D10" s="23">
        <f>(9000+4000)/2</f>
        <v>6500</v>
      </c>
      <c r="E10" s="23">
        <f>+D10*0.07</f>
        <v>455.00000000000006</v>
      </c>
      <c r="F10" s="21">
        <f t="shared" si="19"/>
        <v>1825</v>
      </c>
      <c r="G10" s="24">
        <f t="shared" si="11"/>
        <v>3.5616438356164384</v>
      </c>
      <c r="H10" s="64">
        <f t="shared" ref="H10:AI10" si="27">$G$10/H3</f>
        <v>2.6076390786809958</v>
      </c>
      <c r="I10" s="64">
        <f t="shared" si="27"/>
        <v>2.5959503175046925</v>
      </c>
      <c r="J10" s="64">
        <f t="shared" si="27"/>
        <v>2.6111758325633709</v>
      </c>
      <c r="K10" s="64">
        <f t="shared" si="27"/>
        <v>2.6086895448739753</v>
      </c>
      <c r="L10" s="64">
        <f t="shared" si="27"/>
        <v>2.6086895448739753</v>
      </c>
      <c r="M10" s="64">
        <f t="shared" si="27"/>
        <v>2.6086895448739753</v>
      </c>
      <c r="N10" s="64">
        <f t="shared" si="27"/>
        <v>2.6130915888601898</v>
      </c>
      <c r="O10" s="64">
        <f t="shared" si="27"/>
        <v>2.6123249491099005</v>
      </c>
      <c r="P10" s="64">
        <f t="shared" si="27"/>
        <v>2.6130915888601898</v>
      </c>
      <c r="Q10" s="64">
        <f t="shared" si="27"/>
        <v>2.6169315471098002</v>
      </c>
      <c r="R10" s="64"/>
      <c r="S10" s="64"/>
      <c r="T10" s="64">
        <f t="shared" ref="T10" si="28">$G$10/T3</f>
        <v>2.6172199989833107</v>
      </c>
      <c r="U10" s="64"/>
      <c r="V10" s="64">
        <f t="shared" si="27"/>
        <v>2.6163548340677578</v>
      </c>
      <c r="W10" s="64">
        <f t="shared" si="27"/>
        <v>2.6150101583086918</v>
      </c>
      <c r="X10" s="64">
        <f t="shared" si="27"/>
        <v>2.605350086402427</v>
      </c>
      <c r="Y10" s="64">
        <f t="shared" si="27"/>
        <v>2.608116458418599</v>
      </c>
      <c r="Z10" s="64"/>
      <c r="AA10" s="64">
        <f t="shared" si="27"/>
        <v>2.602399412258102</v>
      </c>
      <c r="AB10" s="64">
        <f t="shared" si="27"/>
        <v>2.6114630169127384</v>
      </c>
      <c r="AC10" s="64">
        <f t="shared" si="27"/>
        <v>2.612133359454667</v>
      </c>
      <c r="AD10" s="64">
        <f t="shared" si="27"/>
        <v>2.5982228155941338</v>
      </c>
      <c r="AE10" s="64">
        <f t="shared" si="27"/>
        <v>2.5884980090965795</v>
      </c>
      <c r="AF10" s="64">
        <f t="shared" si="27"/>
        <v>2.5901922370942425</v>
      </c>
      <c r="AG10" s="64">
        <f t="shared" si="27"/>
        <v>2.5779124461612901</v>
      </c>
      <c r="AH10" s="64">
        <f t="shared" si="27"/>
        <v>2.5919829965915424</v>
      </c>
      <c r="AI10" s="64">
        <f t="shared" si="27"/>
        <v>2.5947210400440306</v>
      </c>
      <c r="AJ10" s="64">
        <f t="shared" ref="AJ10" si="29">$G$10/AJ3</f>
        <v>2.5968967084334222</v>
      </c>
      <c r="AK10" s="64">
        <f t="shared" ref="AK10:BF10" si="30">$G$10/AK3</f>
        <v>2.6040166957531992</v>
      </c>
      <c r="AL10" s="64">
        <f t="shared" si="30"/>
        <v>2.5959503175046925</v>
      </c>
      <c r="AM10" s="64">
        <f t="shared" si="30"/>
        <v>2.6088806296633744</v>
      </c>
      <c r="AN10" s="64">
        <f t="shared" si="30"/>
        <v>2.6131874504687906</v>
      </c>
      <c r="AO10" s="64">
        <f t="shared" si="30"/>
        <v>2.6142423925546376</v>
      </c>
      <c r="AP10" s="64">
        <f t="shared" si="30"/>
        <v>2.6088806296633744</v>
      </c>
      <c r="AQ10" s="64">
        <f t="shared" si="30"/>
        <v>2.6051595184262428</v>
      </c>
      <c r="AR10" s="64">
        <f t="shared" si="30"/>
        <v>2.5996451484372383</v>
      </c>
      <c r="AS10" s="64">
        <f t="shared" ref="AS10" si="31">$G$10/AS3</f>
        <v>2.5970860694300995</v>
      </c>
      <c r="AT10" s="64">
        <f t="shared" si="30"/>
        <v>2.5873697545431975</v>
      </c>
      <c r="AU10" s="64">
        <f t="shared" si="30"/>
        <v>2.5878397410567739</v>
      </c>
      <c r="AV10" s="64">
        <f t="shared" si="30"/>
        <v>2.5912286908813664</v>
      </c>
      <c r="AW10" s="64">
        <f t="shared" si="30"/>
        <v>2.5856792156640447</v>
      </c>
      <c r="AX10" s="64">
        <f t="shared" si="30"/>
        <v>2.582772904725481</v>
      </c>
      <c r="AY10" s="64">
        <f t="shared" si="30"/>
        <v>2.5853038403197024</v>
      </c>
      <c r="AZ10" s="64">
        <f t="shared" si="30"/>
        <v>2.5895331071807752</v>
      </c>
      <c r="BA10" s="64">
        <f t="shared" si="30"/>
        <v>2.5969913854799214</v>
      </c>
      <c r="BB10" s="64">
        <f t="shared" si="30"/>
        <v>2.5963287910894</v>
      </c>
      <c r="BC10" s="64">
        <f t="shared" ref="BC10" si="32">$G$10/BC3</f>
        <v>2.5974648742827</v>
      </c>
      <c r="BD10" s="64">
        <f t="shared" si="30"/>
        <v>2.5984123700419044</v>
      </c>
      <c r="BE10" s="64" t="e">
        <f t="shared" si="30"/>
        <v>#DIV/0!</v>
      </c>
      <c r="BF10" s="64" t="e">
        <f t="shared" si="30"/>
        <v>#DIV/0!</v>
      </c>
      <c r="BG10" s="64" t="e">
        <f t="shared" ref="BG10:CH10" si="33">$G$10/BG3</f>
        <v>#DIV/0!</v>
      </c>
      <c r="BH10" s="64" t="e">
        <f t="shared" si="33"/>
        <v>#DIV/0!</v>
      </c>
      <c r="BI10" s="64" t="e">
        <f t="shared" si="33"/>
        <v>#DIV/0!</v>
      </c>
      <c r="BJ10" s="64" t="e">
        <f t="shared" si="33"/>
        <v>#DIV/0!</v>
      </c>
      <c r="BK10" s="64" t="e">
        <f t="shared" si="33"/>
        <v>#DIV/0!</v>
      </c>
      <c r="BL10" s="64" t="e">
        <f t="shared" si="33"/>
        <v>#DIV/0!</v>
      </c>
      <c r="BM10" s="64" t="e">
        <f t="shared" si="33"/>
        <v>#DIV/0!</v>
      </c>
      <c r="BN10" s="64" t="e">
        <f t="shared" si="33"/>
        <v>#DIV/0!</v>
      </c>
      <c r="BO10" s="64" t="e">
        <f t="shared" si="33"/>
        <v>#DIV/0!</v>
      </c>
      <c r="BP10" s="64" t="e">
        <f t="shared" si="33"/>
        <v>#DIV/0!</v>
      </c>
      <c r="BQ10" s="64" t="e">
        <f t="shared" si="33"/>
        <v>#DIV/0!</v>
      </c>
      <c r="BR10" s="64" t="e">
        <f t="shared" si="33"/>
        <v>#DIV/0!</v>
      </c>
      <c r="BS10" s="64" t="e">
        <f t="shared" si="33"/>
        <v>#DIV/0!</v>
      </c>
      <c r="BT10" s="64" t="e">
        <f t="shared" si="33"/>
        <v>#DIV/0!</v>
      </c>
      <c r="BU10" s="64" t="e">
        <f t="shared" si="33"/>
        <v>#DIV/0!</v>
      </c>
      <c r="BV10" s="64" t="e">
        <f t="shared" si="33"/>
        <v>#DIV/0!</v>
      </c>
      <c r="BW10" s="64" t="e">
        <f t="shared" si="33"/>
        <v>#DIV/0!</v>
      </c>
      <c r="BX10" s="64" t="e">
        <f t="shared" si="33"/>
        <v>#DIV/0!</v>
      </c>
      <c r="BY10" s="64" t="e">
        <f t="shared" si="33"/>
        <v>#DIV/0!</v>
      </c>
      <c r="BZ10" s="64" t="e">
        <f t="shared" si="33"/>
        <v>#DIV/0!</v>
      </c>
      <c r="CA10" s="64" t="e">
        <f t="shared" si="33"/>
        <v>#DIV/0!</v>
      </c>
      <c r="CB10" s="64" t="e">
        <f t="shared" si="33"/>
        <v>#DIV/0!</v>
      </c>
      <c r="CC10" s="64" t="e">
        <f t="shared" si="33"/>
        <v>#DIV/0!</v>
      </c>
      <c r="CD10" s="64" t="e">
        <f t="shared" si="33"/>
        <v>#DIV/0!</v>
      </c>
      <c r="CE10" s="64" t="e">
        <f t="shared" si="33"/>
        <v>#DIV/0!</v>
      </c>
      <c r="CF10" s="64" t="e">
        <f t="shared" si="33"/>
        <v>#DIV/0!</v>
      </c>
      <c r="CG10" s="64" t="e">
        <f t="shared" si="33"/>
        <v>#DIV/0!</v>
      </c>
      <c r="CH10" s="64" t="e">
        <f t="shared" si="33"/>
        <v>#DIV/0!</v>
      </c>
    </row>
    <row r="11" spans="1:123" ht="45.6" x14ac:dyDescent="0.3">
      <c r="A11" s="21" t="s">
        <v>2</v>
      </c>
      <c r="B11" s="230"/>
      <c r="C11" s="25" t="s">
        <v>7</v>
      </c>
      <c r="D11" s="23">
        <f>24500/2</f>
        <v>12250</v>
      </c>
      <c r="E11" s="23">
        <f>+D11*0.07</f>
        <v>857.50000000000011</v>
      </c>
      <c r="F11" s="21">
        <f t="shared" si="19"/>
        <v>1825</v>
      </c>
      <c r="G11" s="24">
        <f t="shared" si="11"/>
        <v>6.7123287671232879</v>
      </c>
      <c r="H11" s="64">
        <f t="shared" ref="H11:AI11" si="34">$G$11/H3</f>
        <v>4.9143967252064922</v>
      </c>
      <c r="I11" s="64">
        <f t="shared" si="34"/>
        <v>4.8923679060665357</v>
      </c>
      <c r="J11" s="64">
        <f t="shared" si="34"/>
        <v>4.9210621459848145</v>
      </c>
      <c r="K11" s="64">
        <f t="shared" si="34"/>
        <v>4.9163764499548002</v>
      </c>
      <c r="L11" s="64">
        <f t="shared" si="34"/>
        <v>4.9163764499548002</v>
      </c>
      <c r="M11" s="64">
        <f t="shared" si="34"/>
        <v>4.9163764499548002</v>
      </c>
      <c r="N11" s="64">
        <f t="shared" si="34"/>
        <v>4.9246726097749729</v>
      </c>
      <c r="O11" s="64">
        <f t="shared" si="34"/>
        <v>4.9232277887071207</v>
      </c>
      <c r="P11" s="64">
        <f t="shared" si="34"/>
        <v>4.9246726097749729</v>
      </c>
      <c r="Q11" s="64">
        <f t="shared" si="34"/>
        <v>4.93190945416847</v>
      </c>
      <c r="R11" s="64"/>
      <c r="S11" s="64"/>
      <c r="T11" s="64">
        <f t="shared" ref="T11" si="35">$G$11/T3</f>
        <v>4.9324530750070092</v>
      </c>
      <c r="U11" s="64"/>
      <c r="V11" s="64">
        <f t="shared" si="34"/>
        <v>4.9308225718969281</v>
      </c>
      <c r="W11" s="64">
        <f t="shared" si="34"/>
        <v>4.9282883752740734</v>
      </c>
      <c r="X11" s="64">
        <f t="shared" si="34"/>
        <v>4.9100828551430364</v>
      </c>
      <c r="Y11" s="64">
        <f t="shared" si="34"/>
        <v>4.9152964024042829</v>
      </c>
      <c r="Z11" s="64"/>
      <c r="AA11" s="64">
        <f t="shared" si="34"/>
        <v>4.9045219692556534</v>
      </c>
      <c r="AB11" s="64">
        <f t="shared" si="34"/>
        <v>4.9216033780278536</v>
      </c>
      <c r="AC11" s="64">
        <f t="shared" si="34"/>
        <v>4.9228667158953341</v>
      </c>
      <c r="AD11" s="64">
        <f t="shared" si="34"/>
        <v>4.8966506909274061</v>
      </c>
      <c r="AE11" s="64">
        <f t="shared" si="34"/>
        <v>4.8783231709897077</v>
      </c>
      <c r="AF11" s="64">
        <f t="shared" si="34"/>
        <v>4.8815161391391495</v>
      </c>
      <c r="AG11" s="64">
        <f t="shared" si="34"/>
        <v>4.8583734562270466</v>
      </c>
      <c r="AH11" s="64">
        <f t="shared" si="34"/>
        <v>4.8848910320379062</v>
      </c>
      <c r="AI11" s="64">
        <f t="shared" si="34"/>
        <v>4.890051190852212</v>
      </c>
      <c r="AJ11" s="64">
        <f t="shared" ref="AJ11" si="36">$G$11/AJ3</f>
        <v>4.8941514889706808</v>
      </c>
      <c r="AK11" s="64">
        <f t="shared" ref="AK11:BF11" si="37">$G$11/AK3</f>
        <v>4.9075699266117985</v>
      </c>
      <c r="AL11" s="64">
        <f t="shared" si="37"/>
        <v>4.8923679060665357</v>
      </c>
      <c r="AM11" s="64">
        <f t="shared" si="37"/>
        <v>4.9167365712886673</v>
      </c>
      <c r="AN11" s="64">
        <f t="shared" si="37"/>
        <v>4.9248532720373364</v>
      </c>
      <c r="AO11" s="64">
        <f t="shared" si="37"/>
        <v>4.9268414321222016</v>
      </c>
      <c r="AP11" s="64">
        <f t="shared" si="37"/>
        <v>4.9167365712886673</v>
      </c>
      <c r="AQ11" s="64">
        <f t="shared" si="37"/>
        <v>4.9097237078033045</v>
      </c>
      <c r="AR11" s="64">
        <f t="shared" si="37"/>
        <v>4.899331241285565</v>
      </c>
      <c r="AS11" s="64">
        <f t="shared" ref="AS11" si="38">$G$11/AS3</f>
        <v>4.8945083616182643</v>
      </c>
      <c r="AT11" s="64">
        <f t="shared" si="37"/>
        <v>4.8761968451006412</v>
      </c>
      <c r="AU11" s="64">
        <f t="shared" si="37"/>
        <v>4.87708258891469</v>
      </c>
      <c r="AV11" s="64">
        <f t="shared" si="37"/>
        <v>4.8834694558918059</v>
      </c>
      <c r="AW11" s="64">
        <f t="shared" si="37"/>
        <v>4.8730108295206991</v>
      </c>
      <c r="AX11" s="64">
        <f t="shared" si="37"/>
        <v>4.8675335512134064</v>
      </c>
      <c r="AY11" s="64">
        <f t="shared" si="37"/>
        <v>4.8723033913717471</v>
      </c>
      <c r="AZ11" s="64">
        <f t="shared" si="37"/>
        <v>4.8802739327637692</v>
      </c>
      <c r="BA11" s="64">
        <f t="shared" si="37"/>
        <v>4.894329918789083</v>
      </c>
      <c r="BB11" s="64">
        <f t="shared" si="37"/>
        <v>4.8930811832069461</v>
      </c>
      <c r="BC11" s="64">
        <f t="shared" ref="BC11" si="39">$G$11/BC3</f>
        <v>4.8952222630712425</v>
      </c>
      <c r="BD11" s="64">
        <f t="shared" si="37"/>
        <v>4.8970079281558965</v>
      </c>
      <c r="BE11" s="64" t="e">
        <f t="shared" si="37"/>
        <v>#DIV/0!</v>
      </c>
      <c r="BF11" s="64" t="e">
        <f t="shared" si="37"/>
        <v>#DIV/0!</v>
      </c>
      <c r="BG11" s="64" t="e">
        <f t="shared" ref="BG11:CH11" si="40">$G$11/BG3</f>
        <v>#DIV/0!</v>
      </c>
      <c r="BH11" s="64" t="e">
        <f t="shared" si="40"/>
        <v>#DIV/0!</v>
      </c>
      <c r="BI11" s="64" t="e">
        <f t="shared" si="40"/>
        <v>#DIV/0!</v>
      </c>
      <c r="BJ11" s="64" t="e">
        <f t="shared" si="40"/>
        <v>#DIV/0!</v>
      </c>
      <c r="BK11" s="64" t="e">
        <f t="shared" si="40"/>
        <v>#DIV/0!</v>
      </c>
      <c r="BL11" s="64" t="e">
        <f t="shared" si="40"/>
        <v>#DIV/0!</v>
      </c>
      <c r="BM11" s="64" t="e">
        <f t="shared" si="40"/>
        <v>#DIV/0!</v>
      </c>
      <c r="BN11" s="64" t="e">
        <f t="shared" si="40"/>
        <v>#DIV/0!</v>
      </c>
      <c r="BO11" s="64" t="e">
        <f t="shared" si="40"/>
        <v>#DIV/0!</v>
      </c>
      <c r="BP11" s="64" t="e">
        <f t="shared" si="40"/>
        <v>#DIV/0!</v>
      </c>
      <c r="BQ11" s="64" t="e">
        <f t="shared" si="40"/>
        <v>#DIV/0!</v>
      </c>
      <c r="BR11" s="64" t="e">
        <f t="shared" si="40"/>
        <v>#DIV/0!</v>
      </c>
      <c r="BS11" s="64" t="e">
        <f t="shared" si="40"/>
        <v>#DIV/0!</v>
      </c>
      <c r="BT11" s="64" t="e">
        <f t="shared" si="40"/>
        <v>#DIV/0!</v>
      </c>
      <c r="BU11" s="64" t="e">
        <f t="shared" si="40"/>
        <v>#DIV/0!</v>
      </c>
      <c r="BV11" s="64" t="e">
        <f t="shared" si="40"/>
        <v>#DIV/0!</v>
      </c>
      <c r="BW11" s="64" t="e">
        <f t="shared" si="40"/>
        <v>#DIV/0!</v>
      </c>
      <c r="BX11" s="64" t="e">
        <f t="shared" si="40"/>
        <v>#DIV/0!</v>
      </c>
      <c r="BY11" s="64" t="e">
        <f t="shared" si="40"/>
        <v>#DIV/0!</v>
      </c>
      <c r="BZ11" s="64" t="e">
        <f t="shared" si="40"/>
        <v>#DIV/0!</v>
      </c>
      <c r="CA11" s="64" t="e">
        <f t="shared" si="40"/>
        <v>#DIV/0!</v>
      </c>
      <c r="CB11" s="64" t="e">
        <f t="shared" si="40"/>
        <v>#DIV/0!</v>
      </c>
      <c r="CC11" s="64" t="e">
        <f t="shared" si="40"/>
        <v>#DIV/0!</v>
      </c>
      <c r="CD11" s="64" t="e">
        <f t="shared" si="40"/>
        <v>#DIV/0!</v>
      </c>
      <c r="CE11" s="64" t="e">
        <f t="shared" si="40"/>
        <v>#DIV/0!</v>
      </c>
      <c r="CF11" s="64" t="e">
        <f t="shared" si="40"/>
        <v>#DIV/0!</v>
      </c>
      <c r="CG11" s="64" t="e">
        <f t="shared" si="40"/>
        <v>#DIV/0!</v>
      </c>
      <c r="CH11" s="64" t="e">
        <f t="shared" si="40"/>
        <v>#DIV/0!</v>
      </c>
    </row>
    <row r="12" spans="1:123" ht="22.8" x14ac:dyDescent="0.3">
      <c r="A12" s="21" t="s">
        <v>2</v>
      </c>
      <c r="B12" s="230"/>
      <c r="C12" s="25" t="s">
        <v>8</v>
      </c>
      <c r="D12" s="26">
        <v>65</v>
      </c>
      <c r="E12" s="26"/>
      <c r="F12" s="21">
        <f t="shared" si="19"/>
        <v>1825</v>
      </c>
      <c r="G12" s="26">
        <f t="shared" si="11"/>
        <v>3.5616438356164383E-2</v>
      </c>
      <c r="H12" s="64">
        <f>$G$12/1</f>
        <v>3.5616438356164383E-2</v>
      </c>
      <c r="I12" s="64">
        <f>$G$12/1</f>
        <v>3.5616438356164383E-2</v>
      </c>
      <c r="J12" s="64">
        <f t="shared" ref="J12:BH12" si="41">$G$12/1</f>
        <v>3.5616438356164383E-2</v>
      </c>
      <c r="K12" s="64">
        <f t="shared" si="41"/>
        <v>3.5616438356164383E-2</v>
      </c>
      <c r="L12" s="64">
        <f t="shared" si="41"/>
        <v>3.5616438356164383E-2</v>
      </c>
      <c r="M12" s="64">
        <f t="shared" si="41"/>
        <v>3.5616438356164383E-2</v>
      </c>
      <c r="N12" s="64">
        <f t="shared" si="41"/>
        <v>3.5616438356164383E-2</v>
      </c>
      <c r="O12" s="64">
        <f t="shared" si="41"/>
        <v>3.5616438356164383E-2</v>
      </c>
      <c r="P12" s="64">
        <f t="shared" si="41"/>
        <v>3.5616438356164383E-2</v>
      </c>
      <c r="Q12" s="64">
        <f t="shared" si="41"/>
        <v>3.5616438356164383E-2</v>
      </c>
      <c r="R12" s="64"/>
      <c r="S12" s="64"/>
      <c r="T12" s="64">
        <f t="shared" si="41"/>
        <v>3.5616438356164383E-2</v>
      </c>
      <c r="U12" s="64"/>
      <c r="V12" s="64">
        <f t="shared" si="41"/>
        <v>3.5616438356164383E-2</v>
      </c>
      <c r="W12" s="64">
        <f t="shared" si="41"/>
        <v>3.5616438356164383E-2</v>
      </c>
      <c r="X12" s="64">
        <f t="shared" si="41"/>
        <v>3.5616438356164383E-2</v>
      </c>
      <c r="Y12" s="64">
        <f t="shared" si="41"/>
        <v>3.5616438356164383E-2</v>
      </c>
      <c r="Z12" s="64"/>
      <c r="AA12" s="64">
        <f t="shared" si="41"/>
        <v>3.5616438356164383E-2</v>
      </c>
      <c r="AB12" s="64">
        <f t="shared" si="41"/>
        <v>3.5616438356164383E-2</v>
      </c>
      <c r="AC12" s="64">
        <f t="shared" si="41"/>
        <v>3.5616438356164383E-2</v>
      </c>
      <c r="AD12" s="64">
        <f t="shared" si="41"/>
        <v>3.5616438356164383E-2</v>
      </c>
      <c r="AE12" s="64">
        <f t="shared" si="41"/>
        <v>3.5616438356164383E-2</v>
      </c>
      <c r="AF12" s="64">
        <f t="shared" si="41"/>
        <v>3.5616438356164383E-2</v>
      </c>
      <c r="AG12" s="64">
        <f t="shared" si="41"/>
        <v>3.5616438356164383E-2</v>
      </c>
      <c r="AH12" s="64">
        <f t="shared" si="41"/>
        <v>3.5616438356164383E-2</v>
      </c>
      <c r="AI12" s="64">
        <f t="shared" si="41"/>
        <v>3.5616438356164383E-2</v>
      </c>
      <c r="AJ12" s="64">
        <f t="shared" si="41"/>
        <v>3.5616438356164383E-2</v>
      </c>
      <c r="AK12" s="64">
        <f t="shared" si="41"/>
        <v>3.5616438356164383E-2</v>
      </c>
      <c r="AL12" s="64">
        <f t="shared" si="41"/>
        <v>3.5616438356164383E-2</v>
      </c>
      <c r="AM12" s="64">
        <f t="shared" si="41"/>
        <v>3.5616438356164383E-2</v>
      </c>
      <c r="AN12" s="64">
        <f t="shared" si="41"/>
        <v>3.5616438356164383E-2</v>
      </c>
      <c r="AO12" s="64">
        <f t="shared" si="41"/>
        <v>3.5616438356164383E-2</v>
      </c>
      <c r="AP12" s="64">
        <f t="shared" si="41"/>
        <v>3.5616438356164383E-2</v>
      </c>
      <c r="AQ12" s="64">
        <f t="shared" si="41"/>
        <v>3.5616438356164383E-2</v>
      </c>
      <c r="AR12" s="64">
        <f t="shared" si="41"/>
        <v>3.5616438356164383E-2</v>
      </c>
      <c r="AS12" s="64">
        <f t="shared" si="41"/>
        <v>3.5616438356164383E-2</v>
      </c>
      <c r="AT12" s="64">
        <f t="shared" si="41"/>
        <v>3.5616438356164383E-2</v>
      </c>
      <c r="AU12" s="64">
        <f t="shared" si="41"/>
        <v>3.5616438356164383E-2</v>
      </c>
      <c r="AV12" s="64">
        <f t="shared" si="41"/>
        <v>3.5616438356164383E-2</v>
      </c>
      <c r="AW12" s="64">
        <f t="shared" si="41"/>
        <v>3.5616438356164383E-2</v>
      </c>
      <c r="AX12" s="64">
        <f t="shared" si="41"/>
        <v>3.5616438356164383E-2</v>
      </c>
      <c r="AY12" s="64">
        <f t="shared" si="41"/>
        <v>3.5616438356164383E-2</v>
      </c>
      <c r="AZ12" s="64">
        <f t="shared" si="41"/>
        <v>3.5616438356164383E-2</v>
      </c>
      <c r="BA12" s="64">
        <f t="shared" si="41"/>
        <v>3.5616438356164383E-2</v>
      </c>
      <c r="BB12" s="64">
        <f t="shared" si="41"/>
        <v>3.5616438356164383E-2</v>
      </c>
      <c r="BC12" s="64">
        <f t="shared" si="41"/>
        <v>3.5616438356164383E-2</v>
      </c>
      <c r="BD12" s="64">
        <f t="shared" si="41"/>
        <v>3.5616438356164383E-2</v>
      </c>
      <c r="BE12" s="64">
        <f t="shared" si="41"/>
        <v>3.5616438356164383E-2</v>
      </c>
      <c r="BF12" s="64">
        <f>$G$12/1</f>
        <v>3.5616438356164383E-2</v>
      </c>
      <c r="BG12" s="64">
        <f t="shared" si="41"/>
        <v>3.5616438356164383E-2</v>
      </c>
      <c r="BH12" s="64">
        <f t="shared" si="41"/>
        <v>3.5616438356164383E-2</v>
      </c>
      <c r="BI12" s="64">
        <f t="shared" ref="BI12:CH12" si="42">$G$12/1</f>
        <v>3.5616438356164383E-2</v>
      </c>
      <c r="BJ12" s="64">
        <f t="shared" si="42"/>
        <v>3.5616438356164383E-2</v>
      </c>
      <c r="BK12" s="64">
        <f t="shared" si="42"/>
        <v>3.5616438356164383E-2</v>
      </c>
      <c r="BL12" s="64">
        <f t="shared" si="42"/>
        <v>3.5616438356164383E-2</v>
      </c>
      <c r="BM12" s="64">
        <f t="shared" si="42"/>
        <v>3.5616438356164383E-2</v>
      </c>
      <c r="BN12" s="64">
        <f t="shared" si="42"/>
        <v>3.5616438356164383E-2</v>
      </c>
      <c r="BO12" s="64">
        <f t="shared" si="42"/>
        <v>3.5616438356164383E-2</v>
      </c>
      <c r="BP12" s="64">
        <f t="shared" si="42"/>
        <v>3.5616438356164383E-2</v>
      </c>
      <c r="BQ12" s="64">
        <f t="shared" si="42"/>
        <v>3.5616438356164383E-2</v>
      </c>
      <c r="BR12" s="64">
        <f t="shared" si="42"/>
        <v>3.5616438356164383E-2</v>
      </c>
      <c r="BS12" s="64">
        <f t="shared" si="42"/>
        <v>3.5616438356164383E-2</v>
      </c>
      <c r="BT12" s="64">
        <f t="shared" si="42"/>
        <v>3.5616438356164383E-2</v>
      </c>
      <c r="BU12" s="64">
        <f t="shared" si="42"/>
        <v>3.5616438356164383E-2</v>
      </c>
      <c r="BV12" s="64">
        <f t="shared" si="42"/>
        <v>3.5616438356164383E-2</v>
      </c>
      <c r="BW12" s="64">
        <f t="shared" si="42"/>
        <v>3.5616438356164383E-2</v>
      </c>
      <c r="BX12" s="64">
        <f t="shared" si="42"/>
        <v>3.5616438356164383E-2</v>
      </c>
      <c r="BY12" s="64">
        <f t="shared" si="42"/>
        <v>3.5616438356164383E-2</v>
      </c>
      <c r="BZ12" s="64">
        <f t="shared" si="42"/>
        <v>3.5616438356164383E-2</v>
      </c>
      <c r="CA12" s="64">
        <f t="shared" si="42"/>
        <v>3.5616438356164383E-2</v>
      </c>
      <c r="CB12" s="64">
        <f t="shared" si="42"/>
        <v>3.5616438356164383E-2</v>
      </c>
      <c r="CC12" s="64">
        <f t="shared" si="42"/>
        <v>3.5616438356164383E-2</v>
      </c>
      <c r="CD12" s="64">
        <f t="shared" si="42"/>
        <v>3.5616438356164383E-2</v>
      </c>
      <c r="CE12" s="64">
        <f t="shared" si="42"/>
        <v>3.5616438356164383E-2</v>
      </c>
      <c r="CF12" s="64">
        <f t="shared" si="42"/>
        <v>3.5616438356164383E-2</v>
      </c>
      <c r="CG12" s="64">
        <f t="shared" si="42"/>
        <v>3.5616438356164383E-2</v>
      </c>
      <c r="CH12" s="64">
        <f t="shared" si="42"/>
        <v>3.5616438356164383E-2</v>
      </c>
    </row>
    <row r="13" spans="1:123" ht="57" x14ac:dyDescent="0.3">
      <c r="A13" s="21" t="s">
        <v>2</v>
      </c>
      <c r="B13" s="230"/>
      <c r="C13" s="25" t="s">
        <v>9</v>
      </c>
      <c r="D13" s="23">
        <f>2500+100</f>
        <v>2600</v>
      </c>
      <c r="E13" s="23">
        <f>+D13*0.07</f>
        <v>182.00000000000003</v>
      </c>
      <c r="F13" s="21">
        <f t="shared" si="19"/>
        <v>1825</v>
      </c>
      <c r="G13" s="24">
        <f t="shared" si="11"/>
        <v>1.4246575342465753</v>
      </c>
      <c r="H13" s="64">
        <f t="shared" ref="H13:AI13" si="43">$G$13/H3</f>
        <v>1.0430556314723984</v>
      </c>
      <c r="I13" s="64">
        <f t="shared" si="43"/>
        <v>1.0383801270018769</v>
      </c>
      <c r="J13" s="64">
        <f t="shared" si="43"/>
        <v>1.0444703330253484</v>
      </c>
      <c r="K13" s="64">
        <f t="shared" si="43"/>
        <v>1.04347581794959</v>
      </c>
      <c r="L13" s="64">
        <f t="shared" si="43"/>
        <v>1.04347581794959</v>
      </c>
      <c r="M13" s="64">
        <f t="shared" si="43"/>
        <v>1.04347581794959</v>
      </c>
      <c r="N13" s="64">
        <f t="shared" si="43"/>
        <v>1.0452366355440759</v>
      </c>
      <c r="O13" s="64">
        <f t="shared" si="43"/>
        <v>1.0449299796439602</v>
      </c>
      <c r="P13" s="64">
        <f t="shared" si="43"/>
        <v>1.0452366355440759</v>
      </c>
      <c r="Q13" s="64">
        <f t="shared" si="43"/>
        <v>1.0467726188439201</v>
      </c>
      <c r="R13" s="64"/>
      <c r="S13" s="64"/>
      <c r="T13" s="64">
        <f t="shared" ref="T13" si="44">$G$13/T3</f>
        <v>1.0468879995933242</v>
      </c>
      <c r="U13" s="64"/>
      <c r="V13" s="64">
        <f t="shared" si="43"/>
        <v>1.0465419336271029</v>
      </c>
      <c r="W13" s="64">
        <f t="shared" si="43"/>
        <v>1.0460040633234766</v>
      </c>
      <c r="X13" s="64">
        <f t="shared" si="43"/>
        <v>1.0421400345609708</v>
      </c>
      <c r="Y13" s="64">
        <f t="shared" si="43"/>
        <v>1.0432465833674394</v>
      </c>
      <c r="Z13" s="64"/>
      <c r="AA13" s="64">
        <f t="shared" si="43"/>
        <v>1.0409597649032407</v>
      </c>
      <c r="AB13" s="64">
        <f t="shared" si="43"/>
        <v>1.0445852067650954</v>
      </c>
      <c r="AC13" s="64">
        <f t="shared" si="43"/>
        <v>1.0448533437818668</v>
      </c>
      <c r="AD13" s="64">
        <f t="shared" si="43"/>
        <v>1.0392891262376533</v>
      </c>
      <c r="AE13" s="64">
        <f t="shared" si="43"/>
        <v>1.0353992036386317</v>
      </c>
      <c r="AF13" s="64">
        <f t="shared" si="43"/>
        <v>1.0360768948376968</v>
      </c>
      <c r="AG13" s="64">
        <f t="shared" si="43"/>
        <v>1.031164978464516</v>
      </c>
      <c r="AH13" s="64">
        <f t="shared" si="43"/>
        <v>1.0367931986366168</v>
      </c>
      <c r="AI13" s="64">
        <f t="shared" si="43"/>
        <v>1.0378884160176121</v>
      </c>
      <c r="AJ13" s="64">
        <f t="shared" ref="AJ13" si="45">$G$13/AJ3</f>
        <v>1.0387586833733689</v>
      </c>
      <c r="AK13" s="64">
        <f t="shared" ref="AK13:BF13" si="46">$G$13/AK3</f>
        <v>1.0416066783012796</v>
      </c>
      <c r="AL13" s="64">
        <f t="shared" si="46"/>
        <v>1.0383801270018769</v>
      </c>
      <c r="AM13" s="64">
        <f t="shared" si="46"/>
        <v>1.0435522518653497</v>
      </c>
      <c r="AN13" s="64">
        <f t="shared" si="46"/>
        <v>1.0452749801875161</v>
      </c>
      <c r="AO13" s="64">
        <f t="shared" si="46"/>
        <v>1.0456969570218551</v>
      </c>
      <c r="AP13" s="64">
        <f t="shared" si="46"/>
        <v>1.0435522518653497</v>
      </c>
      <c r="AQ13" s="64">
        <f t="shared" si="46"/>
        <v>1.0420638073704971</v>
      </c>
      <c r="AR13" s="64">
        <f t="shared" si="46"/>
        <v>1.0398580593748952</v>
      </c>
      <c r="AS13" s="64">
        <f t="shared" ref="AS13" si="47">$G$13/AS3</f>
        <v>1.0388344277720398</v>
      </c>
      <c r="AT13" s="64">
        <f t="shared" si="46"/>
        <v>1.0349479018172789</v>
      </c>
      <c r="AU13" s="64">
        <f t="shared" si="46"/>
        <v>1.0351358964227095</v>
      </c>
      <c r="AV13" s="64">
        <f t="shared" si="46"/>
        <v>1.0364914763525466</v>
      </c>
      <c r="AW13" s="64">
        <f t="shared" si="46"/>
        <v>1.0342716862656178</v>
      </c>
      <c r="AX13" s="64">
        <f t="shared" si="46"/>
        <v>1.0331091618901924</v>
      </c>
      <c r="AY13" s="64">
        <f t="shared" si="46"/>
        <v>1.034121536127881</v>
      </c>
      <c r="AZ13" s="64">
        <f t="shared" si="46"/>
        <v>1.0358132428723101</v>
      </c>
      <c r="BA13" s="64">
        <f t="shared" si="46"/>
        <v>1.0387965541919686</v>
      </c>
      <c r="BB13" s="64">
        <f t="shared" si="46"/>
        <v>1.0385315164357598</v>
      </c>
      <c r="BC13" s="64">
        <f t="shared" ref="BC13" si="48">$G$13/BC3</f>
        <v>1.03898594971308</v>
      </c>
      <c r="BD13" s="64">
        <f t="shared" si="46"/>
        <v>1.0393649480167617</v>
      </c>
      <c r="BE13" s="64" t="e">
        <f t="shared" si="46"/>
        <v>#DIV/0!</v>
      </c>
      <c r="BF13" s="64" t="e">
        <f t="shared" si="46"/>
        <v>#DIV/0!</v>
      </c>
      <c r="BG13" s="64" t="e">
        <f t="shared" ref="BG13:CH13" si="49">$G$13/BG3</f>
        <v>#DIV/0!</v>
      </c>
      <c r="BH13" s="64" t="e">
        <f t="shared" si="49"/>
        <v>#DIV/0!</v>
      </c>
      <c r="BI13" s="64" t="e">
        <f t="shared" si="49"/>
        <v>#DIV/0!</v>
      </c>
      <c r="BJ13" s="64" t="e">
        <f t="shared" si="49"/>
        <v>#DIV/0!</v>
      </c>
      <c r="BK13" s="64" t="e">
        <f t="shared" si="49"/>
        <v>#DIV/0!</v>
      </c>
      <c r="BL13" s="64" t="e">
        <f t="shared" si="49"/>
        <v>#DIV/0!</v>
      </c>
      <c r="BM13" s="64" t="e">
        <f t="shared" si="49"/>
        <v>#DIV/0!</v>
      </c>
      <c r="BN13" s="64" t="e">
        <f t="shared" si="49"/>
        <v>#DIV/0!</v>
      </c>
      <c r="BO13" s="64" t="e">
        <f t="shared" si="49"/>
        <v>#DIV/0!</v>
      </c>
      <c r="BP13" s="64" t="e">
        <f t="shared" si="49"/>
        <v>#DIV/0!</v>
      </c>
      <c r="BQ13" s="64" t="e">
        <f t="shared" si="49"/>
        <v>#DIV/0!</v>
      </c>
      <c r="BR13" s="64" t="e">
        <f t="shared" si="49"/>
        <v>#DIV/0!</v>
      </c>
      <c r="BS13" s="64" t="e">
        <f t="shared" si="49"/>
        <v>#DIV/0!</v>
      </c>
      <c r="BT13" s="64" t="e">
        <f t="shared" si="49"/>
        <v>#DIV/0!</v>
      </c>
      <c r="BU13" s="64" t="e">
        <f t="shared" si="49"/>
        <v>#DIV/0!</v>
      </c>
      <c r="BV13" s="64" t="e">
        <f t="shared" si="49"/>
        <v>#DIV/0!</v>
      </c>
      <c r="BW13" s="64" t="e">
        <f t="shared" si="49"/>
        <v>#DIV/0!</v>
      </c>
      <c r="BX13" s="64" t="e">
        <f t="shared" si="49"/>
        <v>#DIV/0!</v>
      </c>
      <c r="BY13" s="64" t="e">
        <f t="shared" si="49"/>
        <v>#DIV/0!</v>
      </c>
      <c r="BZ13" s="64" t="e">
        <f t="shared" si="49"/>
        <v>#DIV/0!</v>
      </c>
      <c r="CA13" s="64" t="e">
        <f t="shared" si="49"/>
        <v>#DIV/0!</v>
      </c>
      <c r="CB13" s="64" t="e">
        <f t="shared" si="49"/>
        <v>#DIV/0!</v>
      </c>
      <c r="CC13" s="64" t="e">
        <f t="shared" si="49"/>
        <v>#DIV/0!</v>
      </c>
      <c r="CD13" s="64" t="e">
        <f t="shared" si="49"/>
        <v>#DIV/0!</v>
      </c>
      <c r="CE13" s="64" t="e">
        <f t="shared" si="49"/>
        <v>#DIV/0!</v>
      </c>
      <c r="CF13" s="64" t="e">
        <f t="shared" si="49"/>
        <v>#DIV/0!</v>
      </c>
      <c r="CG13" s="64" t="e">
        <f t="shared" si="49"/>
        <v>#DIV/0!</v>
      </c>
      <c r="CH13" s="64" t="e">
        <f t="shared" si="49"/>
        <v>#DIV/0!</v>
      </c>
    </row>
    <row r="14" spans="1:123" x14ac:dyDescent="0.3">
      <c r="A14" s="21"/>
      <c r="B14" s="230"/>
      <c r="C14" s="22"/>
      <c r="D14" s="23"/>
      <c r="E14" s="23"/>
      <c r="F14" s="21"/>
      <c r="G14" s="24"/>
      <c r="H14" s="140">
        <f t="shared" ref="H14:V14" si="50">SUM(H8:H13)</f>
        <v>19.395932484212501</v>
      </c>
      <c r="I14" s="82">
        <f t="shared" si="50"/>
        <v>19.309149726426771</v>
      </c>
      <c r="J14" s="82">
        <f t="shared" si="50"/>
        <v>19.422190977383199</v>
      </c>
      <c r="K14" s="82">
        <f t="shared" si="50"/>
        <v>19.403731630059731</v>
      </c>
      <c r="L14" s="82">
        <f t="shared" si="50"/>
        <v>19.403731630059731</v>
      </c>
      <c r="M14" s="82">
        <f>SUM(M8:M13)*3</f>
        <v>58.211194890179193</v>
      </c>
      <c r="N14" s="82">
        <f t="shared" si="50"/>
        <v>19.436414436325993</v>
      </c>
      <c r="O14" s="82">
        <f t="shared" si="50"/>
        <v>19.430722548986118</v>
      </c>
      <c r="P14" s="82">
        <f t="shared" si="50"/>
        <v>19.436414436325993</v>
      </c>
      <c r="Q14" s="82">
        <f t="shared" si="50"/>
        <v>19.464924058659527</v>
      </c>
      <c r="R14" s="82"/>
      <c r="S14" s="82"/>
      <c r="T14" s="82">
        <f>SUM(T8:T13)*3</f>
        <v>58.401196975500312</v>
      </c>
      <c r="U14" s="82"/>
      <c r="V14" s="82">
        <f t="shared" si="50"/>
        <v>19.460642274860156</v>
      </c>
      <c r="W14" s="82">
        <f>SUM(W8:W13)</f>
        <v>19.450658781405266</v>
      </c>
      <c r="X14" s="82">
        <f t="shared" ref="X14:AR14" si="51">SUM(X8:X13)</f>
        <v>19.378937949078434</v>
      </c>
      <c r="Y14" s="82">
        <f t="shared" si="51"/>
        <v>19.399476771713573</v>
      </c>
      <c r="Z14" s="82"/>
      <c r="AA14" s="82">
        <f>SUM(AA8:AA13)*3</f>
        <v>58.071092347144074</v>
      </c>
      <c r="AB14" s="82">
        <f t="shared" si="51"/>
        <v>19.424323166539526</v>
      </c>
      <c r="AC14" s="82">
        <f t="shared" si="51"/>
        <v>19.429300098959668</v>
      </c>
      <c r="AD14" s="82">
        <f>SUM(AD8:AD13)*2</f>
        <v>38.652043602176121</v>
      </c>
      <c r="AE14" s="82">
        <f>SUM(AE8:AE13)*3</f>
        <v>57.761461047833961</v>
      </c>
      <c r="AF14" s="82">
        <f t="shared" si="51"/>
        <v>19.266399079884017</v>
      </c>
      <c r="AG14" s="82">
        <f t="shared" si="51"/>
        <v>19.175228244401968</v>
      </c>
      <c r="AH14" s="82">
        <f t="shared" si="51"/>
        <v>19.279694504896355</v>
      </c>
      <c r="AI14" s="82">
        <f t="shared" si="51"/>
        <v>19.300023003199993</v>
      </c>
      <c r="AJ14" s="82">
        <f>SUM(AJ8:AJ13)*3</f>
        <v>57.948528508432439</v>
      </c>
      <c r="AK14" s="82">
        <f t="shared" si="51"/>
        <v>19.369038241487491</v>
      </c>
      <c r="AL14" s="82">
        <f>SUM(AL8:AL13)*2</f>
        <v>38.618299452853542</v>
      </c>
      <c r="AM14" s="82">
        <f t="shared" si="51"/>
        <v>19.40515033172921</v>
      </c>
      <c r="AN14" s="82">
        <f>SUM(AN8:AN13)*3</f>
        <v>58.311378471456194</v>
      </c>
      <c r="AO14" s="82">
        <f t="shared" si="51"/>
        <v>19.444958534093743</v>
      </c>
      <c r="AP14" s="82">
        <f t="shared" si="51"/>
        <v>19.40515033172921</v>
      </c>
      <c r="AQ14" s="82">
        <f t="shared" si="51"/>
        <v>19.377523084468788</v>
      </c>
      <c r="AR14" s="82">
        <f t="shared" si="51"/>
        <v>19.336581856576579</v>
      </c>
      <c r="AS14" s="82">
        <f>SUM(AS8:AS13)*3</f>
        <v>57.95274621874259</v>
      </c>
      <c r="AT14" s="82">
        <f t="shared" ref="AT14:BU14" si="52">SUM(AT8:AT13)</f>
        <v>19.245443666740805</v>
      </c>
      <c r="AU14" s="82">
        <f t="shared" si="52"/>
        <v>19.248933063534452</v>
      </c>
      <c r="AV14" s="82">
        <f t="shared" si="52"/>
        <v>19.274094191162909</v>
      </c>
      <c r="AW14" s="82">
        <f t="shared" si="52"/>
        <v>19.23289232585326</v>
      </c>
      <c r="AX14" s="82">
        <f>SUM(AX8:AX13)*3</f>
        <v>57.633943596213257</v>
      </c>
      <c r="AY14" s="82">
        <f t="shared" si="52"/>
        <v>19.230105366046708</v>
      </c>
      <c r="AZ14" s="82">
        <f t="shared" si="52"/>
        <v>19.261505395192632</v>
      </c>
      <c r="BA14" s="82">
        <f t="shared" si="52"/>
        <v>19.316879095567785</v>
      </c>
      <c r="BB14" s="82">
        <f t="shared" si="52"/>
        <v>19.311959688999757</v>
      </c>
      <c r="BC14" s="82">
        <f>SUM(BC8:BC13)*3</f>
        <v>57.96118348491872</v>
      </c>
      <c r="BD14" s="82">
        <f t="shared" si="52"/>
        <v>19.327429140794973</v>
      </c>
      <c r="BE14" s="82" t="e">
        <f t="shared" si="52"/>
        <v>#DIV/0!</v>
      </c>
      <c r="BF14" s="82" t="e">
        <f t="shared" si="52"/>
        <v>#DIV/0!</v>
      </c>
      <c r="BG14" s="82" t="e">
        <f t="shared" si="52"/>
        <v>#DIV/0!</v>
      </c>
      <c r="BH14" s="82" t="e">
        <f t="shared" si="52"/>
        <v>#DIV/0!</v>
      </c>
      <c r="BI14" s="82" t="e">
        <f t="shared" si="52"/>
        <v>#DIV/0!</v>
      </c>
      <c r="BJ14" s="82" t="e">
        <f t="shared" si="52"/>
        <v>#DIV/0!</v>
      </c>
      <c r="BK14" s="82" t="e">
        <f t="shared" si="52"/>
        <v>#DIV/0!</v>
      </c>
      <c r="BL14" s="82" t="e">
        <f t="shared" si="52"/>
        <v>#DIV/0!</v>
      </c>
      <c r="BM14" s="82" t="e">
        <f t="shared" si="52"/>
        <v>#DIV/0!</v>
      </c>
      <c r="BN14" s="82" t="e">
        <f t="shared" si="52"/>
        <v>#DIV/0!</v>
      </c>
      <c r="BO14" s="82" t="e">
        <f t="shared" si="52"/>
        <v>#DIV/0!</v>
      </c>
      <c r="BP14" s="82" t="e">
        <f t="shared" si="52"/>
        <v>#DIV/0!</v>
      </c>
      <c r="BQ14" s="82" t="e">
        <f t="shared" si="52"/>
        <v>#DIV/0!</v>
      </c>
      <c r="BR14" s="82" t="e">
        <f t="shared" si="52"/>
        <v>#DIV/0!</v>
      </c>
      <c r="BS14" s="82" t="e">
        <f t="shared" si="52"/>
        <v>#DIV/0!</v>
      </c>
      <c r="BT14" s="82" t="e">
        <f t="shared" si="52"/>
        <v>#DIV/0!</v>
      </c>
      <c r="BU14" s="82" t="e">
        <f t="shared" si="52"/>
        <v>#DIV/0!</v>
      </c>
      <c r="BV14" s="82" t="e">
        <f t="shared" ref="BV14:CH14" si="53">SUM(BV8:BV13)</f>
        <v>#DIV/0!</v>
      </c>
      <c r="BW14" s="82" t="e">
        <f t="shared" si="53"/>
        <v>#DIV/0!</v>
      </c>
      <c r="BX14" s="82" t="e">
        <f t="shared" si="53"/>
        <v>#DIV/0!</v>
      </c>
      <c r="BY14" s="82" t="e">
        <f t="shared" si="53"/>
        <v>#DIV/0!</v>
      </c>
      <c r="BZ14" s="82" t="e">
        <f t="shared" si="53"/>
        <v>#DIV/0!</v>
      </c>
      <c r="CA14" s="82" t="e">
        <f t="shared" si="53"/>
        <v>#DIV/0!</v>
      </c>
      <c r="CB14" s="82" t="e">
        <f t="shared" si="53"/>
        <v>#DIV/0!</v>
      </c>
      <c r="CC14" s="82" t="e">
        <f t="shared" si="53"/>
        <v>#DIV/0!</v>
      </c>
      <c r="CD14" s="82" t="e">
        <f t="shared" si="53"/>
        <v>#DIV/0!</v>
      </c>
      <c r="CE14" s="82" t="e">
        <f t="shared" si="53"/>
        <v>#DIV/0!</v>
      </c>
      <c r="CF14" s="82" t="e">
        <f t="shared" si="53"/>
        <v>#DIV/0!</v>
      </c>
      <c r="CG14" s="82" t="e">
        <f t="shared" si="53"/>
        <v>#DIV/0!</v>
      </c>
      <c r="CH14" s="82" t="e">
        <f t="shared" si="53"/>
        <v>#DIV/0!</v>
      </c>
    </row>
    <row r="15" spans="1:123" ht="22.8" x14ac:dyDescent="0.3">
      <c r="A15" s="68" t="s">
        <v>11</v>
      </c>
      <c r="B15" s="137" t="s">
        <v>18</v>
      </c>
      <c r="C15" s="96" t="s">
        <v>19</v>
      </c>
      <c r="D15" s="69">
        <v>500</v>
      </c>
      <c r="E15" s="141">
        <f>+(D15+200)*0.07</f>
        <v>49.000000000000007</v>
      </c>
      <c r="F15" s="97">
        <v>348</v>
      </c>
      <c r="G15" s="69">
        <f>D15/F15</f>
        <v>1.4367816091954022</v>
      </c>
      <c r="H15" s="88">
        <f>(200/365)+(G15+20)</f>
        <v>21.984726814674854</v>
      </c>
      <c r="I15" s="88">
        <f>(200/365)+($G$15)</f>
        <v>1.9847268146748542</v>
      </c>
      <c r="J15" s="88">
        <f>(200/365)+($G$15)</f>
        <v>1.9847268146748542</v>
      </c>
      <c r="K15" s="88">
        <f>(200/365)+($G$15)</f>
        <v>1.9847268146748542</v>
      </c>
      <c r="L15" s="88">
        <f>(200/365)+($G$15)</f>
        <v>1.9847268146748542</v>
      </c>
      <c r="M15" s="88">
        <f>(200/365)+($G$15)*3</f>
        <v>4.8582900330656589</v>
      </c>
      <c r="N15" s="88">
        <f>(200/365)+($G$15)</f>
        <v>1.9847268146748542</v>
      </c>
      <c r="O15" s="88">
        <f>(800/363)/1+5</f>
        <v>7.2038567493112948</v>
      </c>
      <c r="P15" s="88">
        <f t="shared" ref="P15:BJ15" si="54">(800/363)/1</f>
        <v>2.2038567493112948</v>
      </c>
      <c r="Q15" s="88">
        <f t="shared" si="54"/>
        <v>2.2038567493112948</v>
      </c>
      <c r="R15" s="88"/>
      <c r="S15" s="88"/>
      <c r="T15" s="88">
        <f>(200/365)+($G$15)*3+10</f>
        <v>14.858290033065659</v>
      </c>
      <c r="U15" s="88"/>
      <c r="V15" s="88">
        <f>(800/363)/1+5</f>
        <v>7.2038567493112948</v>
      </c>
      <c r="W15" s="88">
        <f>(800/363)/1+5</f>
        <v>7.2038567493112948</v>
      </c>
      <c r="X15" s="88">
        <f>(800/363)/1+5</f>
        <v>7.2038567493112948</v>
      </c>
      <c r="Y15" s="88">
        <f t="shared" si="54"/>
        <v>2.2038567493112948</v>
      </c>
      <c r="Z15" s="88"/>
      <c r="AA15" s="88">
        <f>(200/365)+($G$15)*3+10</f>
        <v>14.858290033065659</v>
      </c>
      <c r="AB15" s="88">
        <f t="shared" si="54"/>
        <v>2.2038567493112948</v>
      </c>
      <c r="AC15" s="88">
        <f t="shared" si="54"/>
        <v>2.2038567493112948</v>
      </c>
      <c r="AD15" s="88">
        <f>(800/363)/1*2</f>
        <v>4.4077134986225897</v>
      </c>
      <c r="AE15" s="88">
        <f>(800/363)/1*3</f>
        <v>6.6115702479338845</v>
      </c>
      <c r="AF15" s="88">
        <f t="shared" si="54"/>
        <v>2.2038567493112948</v>
      </c>
      <c r="AG15" s="88">
        <f>(800/363)/1+5</f>
        <v>7.2038567493112948</v>
      </c>
      <c r="AH15" s="88">
        <f>(800/363)/1+5</f>
        <v>7.2038567493112948</v>
      </c>
      <c r="AI15" s="88">
        <f t="shared" si="54"/>
        <v>2.2038567493112948</v>
      </c>
      <c r="AJ15" s="88">
        <f>(800/363)/1*3</f>
        <v>6.6115702479338845</v>
      </c>
      <c r="AK15" s="88">
        <f t="shared" si="54"/>
        <v>2.2038567493112948</v>
      </c>
      <c r="AL15" s="88">
        <f>(800/363)/1*2</f>
        <v>4.4077134986225897</v>
      </c>
      <c r="AM15" s="88">
        <f>(800/363)/1+5</f>
        <v>7.2038567493112948</v>
      </c>
      <c r="AN15" s="88">
        <f>(800/363)/1*3</f>
        <v>6.6115702479338845</v>
      </c>
      <c r="AO15" s="88">
        <f t="shared" si="54"/>
        <v>2.2038567493112948</v>
      </c>
      <c r="AP15" s="88">
        <f>(800/363)/1+5</f>
        <v>7.2038567493112948</v>
      </c>
      <c r="AQ15" s="88">
        <f>(800/363)/1+5</f>
        <v>7.2038567493112948</v>
      </c>
      <c r="AR15" s="88">
        <f t="shared" si="54"/>
        <v>2.2038567493112948</v>
      </c>
      <c r="AS15" s="88">
        <f>(800/363)/1*3+50</f>
        <v>56.611570247933884</v>
      </c>
      <c r="AT15" s="88">
        <f t="shared" si="54"/>
        <v>2.2038567493112948</v>
      </c>
      <c r="AU15" s="88">
        <f t="shared" si="54"/>
        <v>2.2038567493112948</v>
      </c>
      <c r="AV15" s="88">
        <f t="shared" si="54"/>
        <v>2.2038567493112948</v>
      </c>
      <c r="AW15" s="88">
        <f t="shared" si="54"/>
        <v>2.2038567493112948</v>
      </c>
      <c r="AX15" s="88">
        <f>(800/363)/1*3+5</f>
        <v>11.611570247933884</v>
      </c>
      <c r="AY15" s="88">
        <f>(800/363)/1+5</f>
        <v>7.2038567493112948</v>
      </c>
      <c r="AZ15" s="88">
        <f t="shared" si="54"/>
        <v>2.2038567493112948</v>
      </c>
      <c r="BA15" s="88">
        <f t="shared" si="54"/>
        <v>2.2038567493112948</v>
      </c>
      <c r="BB15" s="88">
        <f t="shared" si="54"/>
        <v>2.2038567493112948</v>
      </c>
      <c r="BC15" s="88">
        <f>(800/363)/1*3</f>
        <v>6.6115702479338845</v>
      </c>
      <c r="BD15" s="88">
        <f t="shared" si="54"/>
        <v>2.2038567493112948</v>
      </c>
      <c r="BE15" s="88">
        <f t="shared" si="54"/>
        <v>2.2038567493112948</v>
      </c>
      <c r="BF15" s="88">
        <f t="shared" si="54"/>
        <v>2.2038567493112948</v>
      </c>
      <c r="BG15" s="88">
        <f t="shared" si="54"/>
        <v>2.2038567493112948</v>
      </c>
      <c r="BH15" s="88">
        <f t="shared" si="54"/>
        <v>2.2038567493112948</v>
      </c>
      <c r="BI15" s="88">
        <f t="shared" si="54"/>
        <v>2.2038567493112948</v>
      </c>
      <c r="BJ15" s="88">
        <f t="shared" si="54"/>
        <v>2.2038567493112948</v>
      </c>
      <c r="BK15" s="88">
        <f t="shared" ref="BK15:CH15" si="55">(800/363)/1</f>
        <v>2.2038567493112948</v>
      </c>
      <c r="BL15" s="88">
        <f t="shared" si="55"/>
        <v>2.2038567493112948</v>
      </c>
      <c r="BM15" s="88">
        <f t="shared" si="55"/>
        <v>2.2038567493112948</v>
      </c>
      <c r="BN15" s="88">
        <f t="shared" si="55"/>
        <v>2.2038567493112948</v>
      </c>
      <c r="BO15" s="88">
        <f t="shared" si="55"/>
        <v>2.2038567493112948</v>
      </c>
      <c r="BP15" s="88">
        <f t="shared" si="55"/>
        <v>2.2038567493112948</v>
      </c>
      <c r="BQ15" s="88">
        <f t="shared" si="55"/>
        <v>2.2038567493112948</v>
      </c>
      <c r="BR15" s="88">
        <f t="shared" si="55"/>
        <v>2.2038567493112948</v>
      </c>
      <c r="BS15" s="88">
        <f t="shared" si="55"/>
        <v>2.2038567493112948</v>
      </c>
      <c r="BT15" s="88">
        <f t="shared" si="55"/>
        <v>2.2038567493112948</v>
      </c>
      <c r="BU15" s="88">
        <f t="shared" si="55"/>
        <v>2.2038567493112948</v>
      </c>
      <c r="BV15" s="88">
        <f t="shared" si="55"/>
        <v>2.2038567493112948</v>
      </c>
      <c r="BW15" s="88">
        <f t="shared" si="55"/>
        <v>2.2038567493112948</v>
      </c>
      <c r="BX15" s="88">
        <f t="shared" si="55"/>
        <v>2.2038567493112948</v>
      </c>
      <c r="BY15" s="88">
        <f t="shared" si="55"/>
        <v>2.2038567493112948</v>
      </c>
      <c r="BZ15" s="88">
        <f t="shared" si="55"/>
        <v>2.2038567493112948</v>
      </c>
      <c r="CA15" s="88">
        <f t="shared" si="55"/>
        <v>2.2038567493112948</v>
      </c>
      <c r="CB15" s="88">
        <f t="shared" si="55"/>
        <v>2.2038567493112948</v>
      </c>
      <c r="CC15" s="88">
        <f t="shared" si="55"/>
        <v>2.2038567493112948</v>
      </c>
      <c r="CD15" s="88">
        <f t="shared" si="55"/>
        <v>2.2038567493112948</v>
      </c>
      <c r="CE15" s="88">
        <f t="shared" si="55"/>
        <v>2.2038567493112948</v>
      </c>
      <c r="CF15" s="88">
        <f t="shared" si="55"/>
        <v>2.2038567493112948</v>
      </c>
      <c r="CG15" s="88">
        <f t="shared" si="55"/>
        <v>2.2038567493112948</v>
      </c>
      <c r="CH15" s="88">
        <f t="shared" si="55"/>
        <v>2.2038567493112948</v>
      </c>
    </row>
    <row r="16" spans="1:123" ht="57" x14ac:dyDescent="0.3">
      <c r="A16" s="33" t="s">
        <v>11</v>
      </c>
      <c r="B16" s="87" t="s">
        <v>20</v>
      </c>
      <c r="C16" s="36" t="s">
        <v>21</v>
      </c>
      <c r="D16" s="34">
        <v>25000</v>
      </c>
      <c r="E16" s="34">
        <f>+D16*0.07</f>
        <v>1750.0000000000002</v>
      </c>
      <c r="F16" s="139">
        <v>365</v>
      </c>
      <c r="G16" s="35">
        <f>D16/F16</f>
        <v>68.493150684931507</v>
      </c>
      <c r="H16" s="80">
        <f t="shared" ref="H16:AI16" si="56">$G$16/H3</f>
        <v>50.146905359249921</v>
      </c>
      <c r="I16" s="80">
        <f t="shared" si="56"/>
        <v>49.922121490474858</v>
      </c>
      <c r="J16" s="80">
        <f>$G$16/J3</f>
        <v>50.214919856987905</v>
      </c>
      <c r="K16" s="80">
        <f>$G$16/K3</f>
        <v>50.167106632191832</v>
      </c>
      <c r="L16" s="80">
        <f t="shared" si="56"/>
        <v>50.167106632191832</v>
      </c>
      <c r="M16" s="80">
        <f>$G$16/M3*3</f>
        <v>150.5013198965755</v>
      </c>
      <c r="N16" s="80">
        <f t="shared" si="56"/>
        <v>50.251761324234415</v>
      </c>
      <c r="O16" s="80">
        <f t="shared" si="56"/>
        <v>50.237018252113472</v>
      </c>
      <c r="P16" s="80">
        <f t="shared" si="56"/>
        <v>50.251761324234415</v>
      </c>
      <c r="Q16" s="80">
        <f t="shared" si="56"/>
        <v>50.325606675188467</v>
      </c>
      <c r="R16" s="80"/>
      <c r="S16" s="80"/>
      <c r="T16" s="80">
        <f>$G$16/T3*3</f>
        <v>150.9934614798064</v>
      </c>
      <c r="U16" s="80"/>
      <c r="V16" s="80">
        <f t="shared" si="56"/>
        <v>50.31451603976457</v>
      </c>
      <c r="W16" s="80">
        <f t="shared" si="56"/>
        <v>50.288656890551763</v>
      </c>
      <c r="X16" s="80">
        <f t="shared" si="56"/>
        <v>50.102886276969755</v>
      </c>
      <c r="Y16" s="80">
        <f t="shared" si="56"/>
        <v>50.156085738819208</v>
      </c>
      <c r="Z16" s="80"/>
      <c r="AA16" s="80">
        <f>$G$16/AA3*3</f>
        <v>150.13842763027509</v>
      </c>
      <c r="AB16" s="80">
        <f t="shared" si="56"/>
        <v>50.220442632937278</v>
      </c>
      <c r="AC16" s="80">
        <f t="shared" si="56"/>
        <v>50.233333835666677</v>
      </c>
      <c r="AD16" s="80">
        <f>$G$16/AD3*2</f>
        <v>99.931646753620527</v>
      </c>
      <c r="AE16" s="80">
        <f>$G$16/AE3*3</f>
        <v>149.33642360172573</v>
      </c>
      <c r="AF16" s="80">
        <f t="shared" si="56"/>
        <v>49.811389174889278</v>
      </c>
      <c r="AG16" s="80">
        <f t="shared" si="56"/>
        <v>49.575239349255583</v>
      </c>
      <c r="AH16" s="80">
        <f t="shared" si="56"/>
        <v>49.845826857529659</v>
      </c>
      <c r="AI16" s="80">
        <f t="shared" si="56"/>
        <v>49.898481539308278</v>
      </c>
      <c r="AJ16" s="80">
        <f>$G$16/AJ3*3</f>
        <v>149.82096394808207</v>
      </c>
      <c r="AK16" s="80">
        <f t="shared" ref="AK16:BF16" si="57">$G$16/AK3</f>
        <v>50.07724414909999</v>
      </c>
      <c r="AL16" s="80">
        <f>$G$16/AL3*2</f>
        <v>99.844242980949716</v>
      </c>
      <c r="AM16" s="80">
        <f t="shared" si="57"/>
        <v>50.170781339680275</v>
      </c>
      <c r="AN16" s="80">
        <f>$G$16/AN3*3</f>
        <v>150.76081445012252</v>
      </c>
      <c r="AO16" s="80">
        <f t="shared" si="57"/>
        <v>50.273892164512262</v>
      </c>
      <c r="AP16" s="80">
        <f t="shared" si="57"/>
        <v>50.170781339680275</v>
      </c>
      <c r="AQ16" s="80">
        <f t="shared" si="57"/>
        <v>50.099221508196983</v>
      </c>
      <c r="AR16" s="80">
        <f t="shared" si="57"/>
        <v>49.993175931485354</v>
      </c>
      <c r="AS16" s="80">
        <f>$G$16/AS3*3</f>
        <v>149.83188862096728</v>
      </c>
      <c r="AT16" s="80">
        <f t="shared" si="57"/>
        <v>49.757110664292263</v>
      </c>
      <c r="AU16" s="80">
        <f t="shared" si="57"/>
        <v>49.766148866476428</v>
      </c>
      <c r="AV16" s="80">
        <f t="shared" si="57"/>
        <v>49.831320978487817</v>
      </c>
      <c r="AW16" s="80">
        <f t="shared" si="57"/>
        <v>49.724600301231625</v>
      </c>
      <c r="AX16" s="80">
        <f>$G$16/AX3*3</f>
        <v>149.00612911877775</v>
      </c>
      <c r="AY16" s="80">
        <f t="shared" si="57"/>
        <v>49.717381544609665</v>
      </c>
      <c r="AZ16" s="80">
        <f t="shared" si="57"/>
        <v>49.798713599630297</v>
      </c>
      <c r="BA16" s="80">
        <f t="shared" si="57"/>
        <v>49.942142028460026</v>
      </c>
      <c r="BB16" s="80">
        <f t="shared" si="57"/>
        <v>49.929399828642303</v>
      </c>
      <c r="BC16" s="80">
        <f>$G$16/BC3*3</f>
        <v>149.85374274707885</v>
      </c>
      <c r="BD16" s="80">
        <f t="shared" si="57"/>
        <v>49.969468654652005</v>
      </c>
      <c r="BE16" s="80" t="e">
        <f t="shared" si="57"/>
        <v>#DIV/0!</v>
      </c>
      <c r="BF16" s="80" t="e">
        <f t="shared" si="57"/>
        <v>#DIV/0!</v>
      </c>
      <c r="BG16" s="80" t="e">
        <f t="shared" ref="BG16:CH16" si="58">$G$16/BG3</f>
        <v>#DIV/0!</v>
      </c>
      <c r="BH16" s="80" t="e">
        <f t="shared" si="58"/>
        <v>#DIV/0!</v>
      </c>
      <c r="BI16" s="80" t="e">
        <f t="shared" si="58"/>
        <v>#DIV/0!</v>
      </c>
      <c r="BJ16" s="80" t="e">
        <f t="shared" si="58"/>
        <v>#DIV/0!</v>
      </c>
      <c r="BK16" s="80" t="e">
        <f t="shared" si="58"/>
        <v>#DIV/0!</v>
      </c>
      <c r="BL16" s="80" t="e">
        <f t="shared" si="58"/>
        <v>#DIV/0!</v>
      </c>
      <c r="BM16" s="80" t="e">
        <f t="shared" si="58"/>
        <v>#DIV/0!</v>
      </c>
      <c r="BN16" s="80" t="e">
        <f t="shared" si="58"/>
        <v>#DIV/0!</v>
      </c>
      <c r="BO16" s="80" t="e">
        <f t="shared" si="58"/>
        <v>#DIV/0!</v>
      </c>
      <c r="BP16" s="80" t="e">
        <f t="shared" si="58"/>
        <v>#DIV/0!</v>
      </c>
      <c r="BQ16" s="80" t="e">
        <f t="shared" si="58"/>
        <v>#DIV/0!</v>
      </c>
      <c r="BR16" s="80" t="e">
        <f t="shared" si="58"/>
        <v>#DIV/0!</v>
      </c>
      <c r="BS16" s="80" t="e">
        <f t="shared" si="58"/>
        <v>#DIV/0!</v>
      </c>
      <c r="BT16" s="80" t="e">
        <f t="shared" si="58"/>
        <v>#DIV/0!</v>
      </c>
      <c r="BU16" s="80" t="e">
        <f t="shared" si="58"/>
        <v>#DIV/0!</v>
      </c>
      <c r="BV16" s="80" t="e">
        <f t="shared" si="58"/>
        <v>#DIV/0!</v>
      </c>
      <c r="BW16" s="80" t="e">
        <f t="shared" si="58"/>
        <v>#DIV/0!</v>
      </c>
      <c r="BX16" s="80" t="e">
        <f t="shared" si="58"/>
        <v>#DIV/0!</v>
      </c>
      <c r="BY16" s="80" t="e">
        <f t="shared" si="58"/>
        <v>#DIV/0!</v>
      </c>
      <c r="BZ16" s="80" t="e">
        <f t="shared" si="58"/>
        <v>#DIV/0!</v>
      </c>
      <c r="CA16" s="80" t="e">
        <f t="shared" si="58"/>
        <v>#DIV/0!</v>
      </c>
      <c r="CB16" s="80" t="e">
        <f t="shared" si="58"/>
        <v>#DIV/0!</v>
      </c>
      <c r="CC16" s="80" t="e">
        <f t="shared" si="58"/>
        <v>#DIV/0!</v>
      </c>
      <c r="CD16" s="80" t="e">
        <f t="shared" si="58"/>
        <v>#DIV/0!</v>
      </c>
      <c r="CE16" s="80" t="e">
        <f t="shared" si="58"/>
        <v>#DIV/0!</v>
      </c>
      <c r="CF16" s="80" t="e">
        <f t="shared" si="58"/>
        <v>#DIV/0!</v>
      </c>
      <c r="CG16" s="80" t="e">
        <f t="shared" si="58"/>
        <v>#DIV/0!</v>
      </c>
      <c r="CH16" s="80" t="e">
        <f t="shared" si="58"/>
        <v>#DIV/0!</v>
      </c>
    </row>
    <row r="17" spans="1:86" x14ac:dyDescent="0.3">
      <c r="A17" s="92" t="s">
        <v>2</v>
      </c>
      <c r="B17" s="93"/>
      <c r="C17" s="72" t="s">
        <v>10</v>
      </c>
      <c r="D17" s="77">
        <v>3378.13</v>
      </c>
      <c r="E17" s="77">
        <f>+E8+E9+E10+E11+E13</f>
        <v>3378.1300000000006</v>
      </c>
      <c r="F17" s="92">
        <f t="shared" si="19"/>
        <v>1825</v>
      </c>
      <c r="G17" s="78">
        <f>D17/F17</f>
        <v>1.8510301369863014</v>
      </c>
      <c r="H17" s="64">
        <f>$G$17/H3</f>
        <v>1.3552221232099435</v>
      </c>
      <c r="I17" s="64">
        <f t="shared" ref="I17:BG17" si="59">$G$17/I3</f>
        <v>1.3491473301649426</v>
      </c>
      <c r="J17" s="64">
        <f t="shared" si="59"/>
        <v>1.3570602177318924</v>
      </c>
      <c r="K17" s="64">
        <f t="shared" si="59"/>
        <v>1.3557680634192495</v>
      </c>
      <c r="L17" s="64">
        <f t="shared" si="59"/>
        <v>1.3557680634192495</v>
      </c>
      <c r="M17" s="64">
        <f t="shared" si="59"/>
        <v>1.3557680634192495</v>
      </c>
      <c r="N17" s="64">
        <f t="shared" si="59"/>
        <v>1.358055859857888</v>
      </c>
      <c r="O17" s="64">
        <f t="shared" si="59"/>
        <v>1.3576574277440967</v>
      </c>
      <c r="P17" s="64">
        <f t="shared" si="59"/>
        <v>1.358055859857888</v>
      </c>
      <c r="Q17" s="64">
        <f t="shared" si="59"/>
        <v>1.3600515334212353</v>
      </c>
      <c r="R17" s="64"/>
      <c r="S17" s="64"/>
      <c r="T17" s="64">
        <f t="shared" ref="T17" si="60">$G$17/T3</f>
        <v>1.3602014454100757</v>
      </c>
      <c r="U17" s="64"/>
      <c r="V17" s="64">
        <f t="shared" si="59"/>
        <v>1.3597518085552791</v>
      </c>
      <c r="W17" s="64">
        <f t="shared" si="59"/>
        <v>1.359052964013437</v>
      </c>
      <c r="X17" s="64">
        <f t="shared" si="59"/>
        <v>1.3540325057505587</v>
      </c>
      <c r="Y17" s="64">
        <f t="shared" si="59"/>
        <v>1.3554702233350187</v>
      </c>
      <c r="Z17" s="64"/>
      <c r="AA17" s="64">
        <f t="shared" si="59"/>
        <v>1.3524990040817633</v>
      </c>
      <c r="AB17" s="64">
        <f t="shared" si="59"/>
        <v>1.3572094709728353</v>
      </c>
      <c r="AC17" s="64">
        <f t="shared" si="59"/>
        <v>1.3575578562422452</v>
      </c>
      <c r="AD17" s="64">
        <f t="shared" si="59"/>
        <v>1.3503283753912323</v>
      </c>
      <c r="AE17" s="64">
        <f t="shared" si="59"/>
        <v>1.3452742737645274</v>
      </c>
      <c r="AF17" s="64">
        <f t="shared" si="59"/>
        <v>1.3461547849069497</v>
      </c>
      <c r="AG17" s="64">
        <f t="shared" si="59"/>
        <v>1.3397728264232061</v>
      </c>
      <c r="AH17" s="64">
        <f t="shared" si="59"/>
        <v>1.3470854646578132</v>
      </c>
      <c r="AI17" s="64">
        <f t="shared" si="59"/>
        <v>1.3485084595390677</v>
      </c>
      <c r="AJ17" s="64">
        <f t="shared" ref="AJ17" si="61">$G$17/AJ3</f>
        <v>1.3496391811784918</v>
      </c>
      <c r="AK17" s="64">
        <f t="shared" si="59"/>
        <v>1.3533395262191932</v>
      </c>
      <c r="AL17" s="64">
        <f t="shared" si="59"/>
        <v>1.3491473301649426</v>
      </c>
      <c r="AM17" s="64">
        <f t="shared" si="59"/>
        <v>1.355867372536113</v>
      </c>
      <c r="AN17" s="64">
        <f t="shared" si="59"/>
        <v>1.3581056803157132</v>
      </c>
      <c r="AO17" s="64">
        <f t="shared" si="59"/>
        <v>1.3586539467016305</v>
      </c>
      <c r="AP17" s="64">
        <f t="shared" si="59"/>
        <v>1.355867372536113</v>
      </c>
      <c r="AQ17" s="64">
        <f t="shared" si="59"/>
        <v>1.3539334652278838</v>
      </c>
      <c r="AR17" s="64">
        <f t="shared" si="59"/>
        <v>1.351067579275429</v>
      </c>
      <c r="AS17" s="64">
        <f t="shared" ref="AS17" si="62">$G$17/AS3</f>
        <v>1.3497375944190619</v>
      </c>
      <c r="AT17" s="64">
        <f t="shared" si="59"/>
        <v>1.3446879059869248</v>
      </c>
      <c r="AU17" s="64">
        <f t="shared" si="59"/>
        <v>1.34493216376248</v>
      </c>
      <c r="AV17" s="64">
        <f t="shared" si="59"/>
        <v>1.3466934426964723</v>
      </c>
      <c r="AW17" s="64">
        <f t="shared" si="59"/>
        <v>1.3438093121247967</v>
      </c>
      <c r="AX17" s="64">
        <f t="shared" si="59"/>
        <v>1.3422988665600446</v>
      </c>
      <c r="AY17" s="64">
        <f t="shared" si="59"/>
        <v>1.343614224938338</v>
      </c>
      <c r="AZ17" s="64">
        <f t="shared" si="59"/>
        <v>1.3458122269785526</v>
      </c>
      <c r="BA17" s="64">
        <f t="shared" si="59"/>
        <v>1.3496883860048134</v>
      </c>
      <c r="BB17" s="64">
        <f t="shared" si="59"/>
        <v>1.3493440275450514</v>
      </c>
      <c r="BC17" s="64">
        <f t="shared" ref="BC17" si="63">$G$17/BC3</f>
        <v>1.3499344639631721</v>
      </c>
      <c r="BD17" s="64">
        <f t="shared" si="59"/>
        <v>1.3504268891707167</v>
      </c>
      <c r="BE17" s="64" t="e">
        <f t="shared" si="59"/>
        <v>#DIV/0!</v>
      </c>
      <c r="BF17" s="64" t="e">
        <f t="shared" si="59"/>
        <v>#DIV/0!</v>
      </c>
      <c r="BG17" s="64" t="e">
        <f t="shared" si="59"/>
        <v>#DIV/0!</v>
      </c>
      <c r="BH17" s="64" t="e">
        <f t="shared" ref="BH17:CH17" si="64">$G$17/BH3</f>
        <v>#DIV/0!</v>
      </c>
      <c r="BI17" s="64" t="e">
        <f t="shared" si="64"/>
        <v>#DIV/0!</v>
      </c>
      <c r="BJ17" s="64" t="e">
        <f t="shared" si="64"/>
        <v>#DIV/0!</v>
      </c>
      <c r="BK17" s="64" t="e">
        <f t="shared" si="64"/>
        <v>#DIV/0!</v>
      </c>
      <c r="BL17" s="64" t="e">
        <f t="shared" si="64"/>
        <v>#DIV/0!</v>
      </c>
      <c r="BM17" s="64" t="e">
        <f t="shared" si="64"/>
        <v>#DIV/0!</v>
      </c>
      <c r="BN17" s="64" t="e">
        <f t="shared" si="64"/>
        <v>#DIV/0!</v>
      </c>
      <c r="BO17" s="64" t="e">
        <f t="shared" si="64"/>
        <v>#DIV/0!</v>
      </c>
      <c r="BP17" s="64" t="e">
        <f t="shared" si="64"/>
        <v>#DIV/0!</v>
      </c>
      <c r="BQ17" s="64" t="e">
        <f t="shared" si="64"/>
        <v>#DIV/0!</v>
      </c>
      <c r="BR17" s="64" t="e">
        <f t="shared" si="64"/>
        <v>#DIV/0!</v>
      </c>
      <c r="BS17" s="64" t="e">
        <f t="shared" si="64"/>
        <v>#DIV/0!</v>
      </c>
      <c r="BT17" s="64" t="e">
        <f t="shared" si="64"/>
        <v>#DIV/0!</v>
      </c>
      <c r="BU17" s="64" t="e">
        <f t="shared" si="64"/>
        <v>#DIV/0!</v>
      </c>
      <c r="BV17" s="64" t="e">
        <f t="shared" si="64"/>
        <v>#DIV/0!</v>
      </c>
      <c r="BW17" s="64" t="e">
        <f t="shared" si="64"/>
        <v>#DIV/0!</v>
      </c>
      <c r="BX17" s="64" t="e">
        <f t="shared" si="64"/>
        <v>#DIV/0!</v>
      </c>
      <c r="BY17" s="64" t="e">
        <f t="shared" si="64"/>
        <v>#DIV/0!</v>
      </c>
      <c r="BZ17" s="64" t="e">
        <f t="shared" si="64"/>
        <v>#DIV/0!</v>
      </c>
      <c r="CA17" s="64" t="e">
        <f t="shared" si="64"/>
        <v>#DIV/0!</v>
      </c>
      <c r="CB17" s="64" t="e">
        <f t="shared" si="64"/>
        <v>#DIV/0!</v>
      </c>
      <c r="CC17" s="64" t="e">
        <f t="shared" si="64"/>
        <v>#DIV/0!</v>
      </c>
      <c r="CD17" s="64" t="e">
        <f t="shared" si="64"/>
        <v>#DIV/0!</v>
      </c>
      <c r="CE17" s="64" t="e">
        <f t="shared" si="64"/>
        <v>#DIV/0!</v>
      </c>
      <c r="CF17" s="64" t="e">
        <f t="shared" si="64"/>
        <v>#DIV/0!</v>
      </c>
      <c r="CG17" s="64" t="e">
        <f t="shared" si="64"/>
        <v>#DIV/0!</v>
      </c>
      <c r="CH17" s="64" t="e">
        <f t="shared" si="64"/>
        <v>#DIV/0!</v>
      </c>
    </row>
    <row r="18" spans="1:86" x14ac:dyDescent="0.3">
      <c r="A18" s="92" t="s">
        <v>11</v>
      </c>
      <c r="B18" s="94"/>
      <c r="C18" s="72" t="s">
        <v>22</v>
      </c>
      <c r="D18" s="71">
        <f>+E5+E6+E15</f>
        <v>3969.0000000000005</v>
      </c>
      <c r="E18" s="72"/>
      <c r="F18" s="92">
        <v>365</v>
      </c>
      <c r="G18" s="71">
        <f>(E5+E15)/348+(E6/365)</f>
        <v>10.899267831837506</v>
      </c>
      <c r="H18" s="64">
        <v>10.899267831837506</v>
      </c>
      <c r="I18" s="64">
        <v>10.899267831837506</v>
      </c>
      <c r="J18" s="64">
        <v>10.899267831837506</v>
      </c>
      <c r="K18" s="64">
        <v>10.899267831837506</v>
      </c>
      <c r="L18" s="64">
        <v>10.899267831837506</v>
      </c>
      <c r="M18" s="64">
        <v>10.899267831837506</v>
      </c>
      <c r="N18" s="64">
        <v>10.899267831837506</v>
      </c>
      <c r="O18" s="64">
        <v>10.899267831837506</v>
      </c>
      <c r="P18" s="64">
        <v>10.899267831837506</v>
      </c>
      <c r="Q18" s="64">
        <v>10.899267831837506</v>
      </c>
      <c r="R18" s="64"/>
      <c r="S18" s="64"/>
      <c r="T18" s="64">
        <v>10.899267831837506</v>
      </c>
      <c r="U18" s="64"/>
      <c r="V18" s="64">
        <v>10.899267831837506</v>
      </c>
      <c r="W18" s="64">
        <v>10.899267831837506</v>
      </c>
      <c r="X18" s="64">
        <v>10.899267831837506</v>
      </c>
      <c r="Y18" s="64">
        <v>10.899267831837506</v>
      </c>
      <c r="Z18" s="64"/>
      <c r="AA18" s="64">
        <v>10.899267831837506</v>
      </c>
      <c r="AB18" s="64">
        <v>10.899267831837506</v>
      </c>
      <c r="AC18" s="64">
        <v>10.899267831837506</v>
      </c>
      <c r="AD18" s="64">
        <v>10.899267831837506</v>
      </c>
      <c r="AE18" s="64">
        <v>10.899267831837506</v>
      </c>
      <c r="AF18" s="64">
        <v>10.899267831837506</v>
      </c>
      <c r="AG18" s="64">
        <v>10.899267831837506</v>
      </c>
      <c r="AH18" s="64">
        <v>10.899267831837506</v>
      </c>
      <c r="AI18" s="64">
        <v>10.899267831837506</v>
      </c>
      <c r="AJ18" s="64">
        <v>10.899267831837506</v>
      </c>
      <c r="AK18" s="64">
        <v>10.899267831837506</v>
      </c>
      <c r="AL18" s="64">
        <v>10.899267831837506</v>
      </c>
      <c r="AM18" s="64">
        <v>10.899267831837506</v>
      </c>
      <c r="AN18" s="64">
        <v>10.899267831837506</v>
      </c>
      <c r="AO18" s="64">
        <v>10.899267831837506</v>
      </c>
      <c r="AP18" s="64">
        <v>10.899267831837506</v>
      </c>
      <c r="AQ18" s="64">
        <v>10.899267831837506</v>
      </c>
      <c r="AR18" s="64">
        <v>10.899267831837506</v>
      </c>
      <c r="AS18" s="64">
        <v>10.899267831837506</v>
      </c>
      <c r="AT18" s="64">
        <v>10.899267831837506</v>
      </c>
      <c r="AU18" s="64">
        <v>10.899267831837506</v>
      </c>
      <c r="AV18" s="64">
        <v>10.899267831837506</v>
      </c>
      <c r="AW18" s="64">
        <v>10.899267831837506</v>
      </c>
      <c r="AX18" s="64">
        <v>10.899267831837506</v>
      </c>
      <c r="AY18" s="64">
        <v>10.899267831837506</v>
      </c>
      <c r="AZ18" s="64">
        <v>10.899267831837506</v>
      </c>
      <c r="BA18" s="64">
        <v>10.899267831837506</v>
      </c>
      <c r="BB18" s="64">
        <v>10.899267831837506</v>
      </c>
      <c r="BC18" s="64">
        <v>10.899267831837506</v>
      </c>
      <c r="BD18" s="64">
        <v>10.899267831837506</v>
      </c>
      <c r="BE18" s="64">
        <v>10.899267831837506</v>
      </c>
      <c r="BF18" s="64">
        <v>10.899267831837506</v>
      </c>
      <c r="BG18" s="64">
        <v>10.899267831837506</v>
      </c>
      <c r="BH18" s="64">
        <v>10.899267831837506</v>
      </c>
      <c r="BI18" s="64">
        <v>10.899267831837506</v>
      </c>
      <c r="BJ18" s="64">
        <v>10.899267831837506</v>
      </c>
      <c r="BK18" s="64">
        <v>10.899267831837506</v>
      </c>
      <c r="BL18" s="64">
        <v>10.899267831837506</v>
      </c>
      <c r="BM18" s="64">
        <v>10.899267831837506</v>
      </c>
      <c r="BN18" s="64">
        <v>10.899267831837506</v>
      </c>
      <c r="BO18" s="64">
        <v>10.899267831837506</v>
      </c>
      <c r="BP18" s="64">
        <v>10.899267831837506</v>
      </c>
      <c r="BQ18" s="64">
        <v>10.899267831837506</v>
      </c>
      <c r="BR18" s="64">
        <v>10.899267831837506</v>
      </c>
      <c r="BS18" s="64">
        <v>10.899267831837506</v>
      </c>
      <c r="BT18" s="64">
        <v>10.899267831837506</v>
      </c>
      <c r="BU18" s="64">
        <v>10.899267831837506</v>
      </c>
      <c r="BV18" s="64">
        <v>10.899267831837506</v>
      </c>
      <c r="BW18" s="64">
        <v>10.899267831837506</v>
      </c>
      <c r="BX18" s="64">
        <v>10.899267831837506</v>
      </c>
      <c r="BY18" s="64">
        <v>10.899267831837506</v>
      </c>
      <c r="BZ18" s="64">
        <v>10.899267831837506</v>
      </c>
      <c r="CA18" s="64">
        <v>10.899267831837506</v>
      </c>
      <c r="CB18" s="64">
        <v>10.899267831837506</v>
      </c>
      <c r="CC18" s="64">
        <v>10.899267831837506</v>
      </c>
      <c r="CD18" s="64">
        <v>10.899267831837506</v>
      </c>
      <c r="CE18" s="64">
        <v>10.899267831837506</v>
      </c>
      <c r="CF18" s="64">
        <v>10.899267831837506</v>
      </c>
      <c r="CG18" s="64">
        <v>10.899267831837506</v>
      </c>
      <c r="CH18" s="64">
        <v>10.899267831837506</v>
      </c>
    </row>
    <row r="19" spans="1:86" x14ac:dyDescent="0.3">
      <c r="A19" s="92" t="s">
        <v>11</v>
      </c>
      <c r="B19" s="94"/>
      <c r="C19" s="72" t="s">
        <v>10</v>
      </c>
      <c r="D19" s="77">
        <f>E4</f>
        <v>770.00000000000011</v>
      </c>
      <c r="E19" s="72"/>
      <c r="F19" s="92">
        <v>348</v>
      </c>
      <c r="G19" s="78">
        <f>D19/F19</f>
        <v>2.2126436781609198</v>
      </c>
      <c r="H19" s="64">
        <f>$G$19/H3</f>
        <v>1.6199756035881829</v>
      </c>
      <c r="I19" s="64">
        <f t="shared" ref="I19:BG19" si="65">$G$19/I3</f>
        <v>1.6127140511376965</v>
      </c>
      <c r="J19" s="64">
        <f t="shared" si="65"/>
        <v>1.6221727845754543</v>
      </c>
      <c r="K19" s="64">
        <f t="shared" si="65"/>
        <v>1.6206281975836225</v>
      </c>
      <c r="L19" s="64">
        <f t="shared" si="65"/>
        <v>1.6206281975836225</v>
      </c>
      <c r="M19" s="64">
        <f t="shared" si="65"/>
        <v>1.6206281975836225</v>
      </c>
      <c r="N19" s="64">
        <f t="shared" si="65"/>
        <v>1.6233629333535728</v>
      </c>
      <c r="O19" s="64">
        <f t="shared" si="65"/>
        <v>1.6228866643398268</v>
      </c>
      <c r="P19" s="64">
        <f t="shared" si="65"/>
        <v>1.6233629333535728</v>
      </c>
      <c r="Q19" s="64">
        <f t="shared" si="65"/>
        <v>1.6257484777082438</v>
      </c>
      <c r="R19" s="64"/>
      <c r="S19" s="64"/>
      <c r="T19" s="64">
        <f t="shared" ref="T19" si="66">$G$19/T3</f>
        <v>1.6259276762030495</v>
      </c>
      <c r="U19" s="64"/>
      <c r="V19" s="64">
        <f t="shared" si="65"/>
        <v>1.6253901991926245</v>
      </c>
      <c r="W19" s="64">
        <f t="shared" si="65"/>
        <v>1.6245548297804109</v>
      </c>
      <c r="X19" s="64">
        <f t="shared" si="65"/>
        <v>1.6185535848439483</v>
      </c>
      <c r="Y19" s="64">
        <f t="shared" si="65"/>
        <v>1.6202721720569127</v>
      </c>
      <c r="Z19" s="64"/>
      <c r="AA19" s="64">
        <f t="shared" si="65"/>
        <v>1.616720501359725</v>
      </c>
      <c r="AB19" s="64">
        <f t="shared" si="65"/>
        <v>1.6223511956306924</v>
      </c>
      <c r="AC19" s="64">
        <f t="shared" si="65"/>
        <v>1.6227676407487495</v>
      </c>
      <c r="AD19" s="64">
        <f t="shared" si="65"/>
        <v>1.6141258229945432</v>
      </c>
      <c r="AE19" s="64">
        <f t="shared" si="65"/>
        <v>1.6080843621940621</v>
      </c>
      <c r="AF19" s="64">
        <f t="shared" si="65"/>
        <v>1.6091368882301877</v>
      </c>
      <c r="AG19" s="64">
        <f t="shared" si="65"/>
        <v>1.6015081631158945</v>
      </c>
      <c r="AH19" s="64">
        <f t="shared" si="65"/>
        <v>1.6102493837136451</v>
      </c>
      <c r="AI19" s="64">
        <f t="shared" si="65"/>
        <v>1.6119503720255854</v>
      </c>
      <c r="AJ19" s="64">
        <f t="shared" ref="AJ19" si="67">$G$19/AJ3</f>
        <v>1.613301989180401</v>
      </c>
      <c r="AK19" s="64">
        <f t="shared" si="65"/>
        <v>1.6177252262189141</v>
      </c>
      <c r="AL19" s="64">
        <f t="shared" si="65"/>
        <v>1.6127140511376965</v>
      </c>
      <c r="AM19" s="64">
        <f t="shared" si="65"/>
        <v>1.6207469075307059</v>
      </c>
      <c r="AN19" s="64">
        <f t="shared" si="65"/>
        <v>1.6234224866362814</v>
      </c>
      <c r="AO19" s="64">
        <f t="shared" si="65"/>
        <v>1.6240778612455371</v>
      </c>
      <c r="AP19" s="64">
        <f t="shared" si="65"/>
        <v>1.6207469075307059</v>
      </c>
      <c r="AQ19" s="64">
        <f t="shared" si="65"/>
        <v>1.6184351959630763</v>
      </c>
      <c r="AR19" s="64">
        <f t="shared" si="65"/>
        <v>1.6150094362694207</v>
      </c>
      <c r="AS19" s="64">
        <f t="shared" ref="AS19" si="68">$G$19/AS3</f>
        <v>1.6134196282345923</v>
      </c>
      <c r="AT19" s="64">
        <f t="shared" si="65"/>
        <v>1.6073834427815334</v>
      </c>
      <c r="AU19" s="64">
        <f t="shared" si="65"/>
        <v>1.6076754182670345</v>
      </c>
      <c r="AV19" s="64">
        <f t="shared" si="65"/>
        <v>1.6097807771268968</v>
      </c>
      <c r="AW19" s="64">
        <f t="shared" si="65"/>
        <v>1.6063332085817414</v>
      </c>
      <c r="AX19" s="64">
        <f t="shared" si="65"/>
        <v>1.604527685395881</v>
      </c>
      <c r="AY19" s="64">
        <f t="shared" si="65"/>
        <v>1.6061000095531663</v>
      </c>
      <c r="AZ19" s="64">
        <f t="shared" si="65"/>
        <v>1.6087274088708157</v>
      </c>
      <c r="BA19" s="64">
        <f t="shared" si="65"/>
        <v>1.613360806563068</v>
      </c>
      <c r="BB19" s="64">
        <f t="shared" si="65"/>
        <v>1.6129491749241289</v>
      </c>
      <c r="BC19" s="64">
        <f t="shared" ref="BC19" si="69">$G$19/BC3</f>
        <v>1.6136549578186405</v>
      </c>
      <c r="BD19" s="64">
        <f t="shared" si="65"/>
        <v>1.6142435822287295</v>
      </c>
      <c r="BE19" s="64" t="e">
        <f t="shared" si="65"/>
        <v>#DIV/0!</v>
      </c>
      <c r="BF19" s="64" t="e">
        <f t="shared" si="65"/>
        <v>#DIV/0!</v>
      </c>
      <c r="BG19" s="64" t="e">
        <f t="shared" si="65"/>
        <v>#DIV/0!</v>
      </c>
      <c r="BH19" s="64" t="e">
        <f t="shared" ref="BH19:CH19" si="70">$G$19/BH3</f>
        <v>#DIV/0!</v>
      </c>
      <c r="BI19" s="64" t="e">
        <f t="shared" si="70"/>
        <v>#DIV/0!</v>
      </c>
      <c r="BJ19" s="64" t="e">
        <f t="shared" si="70"/>
        <v>#DIV/0!</v>
      </c>
      <c r="BK19" s="64" t="e">
        <f t="shared" si="70"/>
        <v>#DIV/0!</v>
      </c>
      <c r="BL19" s="64" t="e">
        <f t="shared" si="70"/>
        <v>#DIV/0!</v>
      </c>
      <c r="BM19" s="64" t="e">
        <f t="shared" si="70"/>
        <v>#DIV/0!</v>
      </c>
      <c r="BN19" s="64" t="e">
        <f t="shared" si="70"/>
        <v>#DIV/0!</v>
      </c>
      <c r="BO19" s="64" t="e">
        <f t="shared" si="70"/>
        <v>#DIV/0!</v>
      </c>
      <c r="BP19" s="64" t="e">
        <f t="shared" si="70"/>
        <v>#DIV/0!</v>
      </c>
      <c r="BQ19" s="64" t="e">
        <f t="shared" si="70"/>
        <v>#DIV/0!</v>
      </c>
      <c r="BR19" s="64" t="e">
        <f t="shared" si="70"/>
        <v>#DIV/0!</v>
      </c>
      <c r="BS19" s="64" t="e">
        <f t="shared" si="70"/>
        <v>#DIV/0!</v>
      </c>
      <c r="BT19" s="64" t="e">
        <f t="shared" si="70"/>
        <v>#DIV/0!</v>
      </c>
      <c r="BU19" s="64" t="e">
        <f t="shared" si="70"/>
        <v>#DIV/0!</v>
      </c>
      <c r="BV19" s="64" t="e">
        <f t="shared" si="70"/>
        <v>#DIV/0!</v>
      </c>
      <c r="BW19" s="64" t="e">
        <f t="shared" si="70"/>
        <v>#DIV/0!</v>
      </c>
      <c r="BX19" s="64" t="e">
        <f t="shared" si="70"/>
        <v>#DIV/0!</v>
      </c>
      <c r="BY19" s="64" t="e">
        <f t="shared" si="70"/>
        <v>#DIV/0!</v>
      </c>
      <c r="BZ19" s="64" t="e">
        <f t="shared" si="70"/>
        <v>#DIV/0!</v>
      </c>
      <c r="CA19" s="64" t="e">
        <f t="shared" si="70"/>
        <v>#DIV/0!</v>
      </c>
      <c r="CB19" s="64" t="e">
        <f t="shared" si="70"/>
        <v>#DIV/0!</v>
      </c>
      <c r="CC19" s="64" t="e">
        <f t="shared" si="70"/>
        <v>#DIV/0!</v>
      </c>
      <c r="CD19" s="64" t="e">
        <f t="shared" si="70"/>
        <v>#DIV/0!</v>
      </c>
      <c r="CE19" s="64" t="e">
        <f t="shared" si="70"/>
        <v>#DIV/0!</v>
      </c>
      <c r="CF19" s="64" t="e">
        <f t="shared" si="70"/>
        <v>#DIV/0!</v>
      </c>
      <c r="CG19" s="64" t="e">
        <f t="shared" si="70"/>
        <v>#DIV/0!</v>
      </c>
      <c r="CH19" s="64" t="e">
        <f t="shared" si="70"/>
        <v>#DIV/0!</v>
      </c>
    </row>
    <row r="20" spans="1:86" x14ac:dyDescent="0.3">
      <c r="A20" s="92" t="s">
        <v>11</v>
      </c>
      <c r="B20" s="94"/>
      <c r="C20" s="72" t="s">
        <v>10</v>
      </c>
      <c r="D20" s="77">
        <f>E16</f>
        <v>1750.0000000000002</v>
      </c>
      <c r="E20" s="72"/>
      <c r="F20" s="92">
        <v>365</v>
      </c>
      <c r="G20" s="78">
        <f>D20/F20</f>
        <v>4.794520547945206</v>
      </c>
      <c r="H20" s="64">
        <f>$G$20/H3</f>
        <v>3.5102833751474951</v>
      </c>
      <c r="I20" s="64">
        <f t="shared" ref="I20:BG20" si="71">$G$20/I3</f>
        <v>3.49454850433324</v>
      </c>
      <c r="J20" s="64">
        <f t="shared" si="71"/>
        <v>3.5150443899891535</v>
      </c>
      <c r="K20" s="64">
        <f t="shared" si="71"/>
        <v>3.5116974642534284</v>
      </c>
      <c r="L20" s="64">
        <f t="shared" si="71"/>
        <v>3.5116974642534284</v>
      </c>
      <c r="M20" s="64">
        <f t="shared" si="71"/>
        <v>3.5116974642534284</v>
      </c>
      <c r="N20" s="64">
        <f t="shared" si="71"/>
        <v>3.5176232926964093</v>
      </c>
      <c r="O20" s="64">
        <f t="shared" si="71"/>
        <v>3.5165912776479433</v>
      </c>
      <c r="P20" s="64">
        <f t="shared" si="71"/>
        <v>3.5176232926964093</v>
      </c>
      <c r="Q20" s="64">
        <f t="shared" si="71"/>
        <v>3.5227924672631934</v>
      </c>
      <c r="R20" s="64"/>
      <c r="S20" s="64"/>
      <c r="T20" s="64">
        <f t="shared" ref="T20" si="72">$G$20/T3</f>
        <v>3.5231807678621498</v>
      </c>
      <c r="U20" s="64"/>
      <c r="V20" s="64">
        <f t="shared" si="71"/>
        <v>3.5220161227835201</v>
      </c>
      <c r="W20" s="64">
        <f t="shared" si="71"/>
        <v>3.520205982338624</v>
      </c>
      <c r="X20" s="64">
        <f t="shared" si="71"/>
        <v>3.5072020393878831</v>
      </c>
      <c r="Y20" s="64">
        <f t="shared" si="71"/>
        <v>3.5109260017173449</v>
      </c>
      <c r="Z20" s="64"/>
      <c r="AA20" s="64">
        <f t="shared" si="71"/>
        <v>3.5032299780397529</v>
      </c>
      <c r="AB20" s="64">
        <f t="shared" si="71"/>
        <v>3.5154309843056097</v>
      </c>
      <c r="AC20" s="64">
        <f t="shared" si="71"/>
        <v>3.5163333684966678</v>
      </c>
      <c r="AD20" s="64">
        <f t="shared" si="71"/>
        <v>3.4976076363767188</v>
      </c>
      <c r="AE20" s="64">
        <f t="shared" si="71"/>
        <v>3.484516550706934</v>
      </c>
      <c r="AF20" s="64">
        <f t="shared" si="71"/>
        <v>3.48679724224225</v>
      </c>
      <c r="AG20" s="64">
        <f t="shared" si="71"/>
        <v>3.4702667544478909</v>
      </c>
      <c r="AH20" s="64">
        <f t="shared" si="71"/>
        <v>3.4892078800270765</v>
      </c>
      <c r="AI20" s="64">
        <f t="shared" si="71"/>
        <v>3.49289370775158</v>
      </c>
      <c r="AJ20" s="64">
        <f t="shared" ref="AJ20" si="73">$G$20/AJ3</f>
        <v>3.4958224921219148</v>
      </c>
      <c r="AK20" s="64">
        <f t="shared" si="71"/>
        <v>3.5054070904369996</v>
      </c>
      <c r="AL20" s="64">
        <f t="shared" si="71"/>
        <v>3.49454850433324</v>
      </c>
      <c r="AM20" s="64">
        <f t="shared" si="71"/>
        <v>3.5119546937776196</v>
      </c>
      <c r="AN20" s="64">
        <f t="shared" si="71"/>
        <v>3.5177523371695263</v>
      </c>
      <c r="AO20" s="64">
        <f t="shared" si="71"/>
        <v>3.5191724515158587</v>
      </c>
      <c r="AP20" s="64">
        <f t="shared" si="71"/>
        <v>3.5119546937776196</v>
      </c>
      <c r="AQ20" s="64">
        <f t="shared" si="71"/>
        <v>3.506945505573789</v>
      </c>
      <c r="AR20" s="64">
        <f t="shared" si="71"/>
        <v>3.4995223152039752</v>
      </c>
      <c r="AS20" s="64">
        <f t="shared" ref="AS20" si="74">$G$20/AS3</f>
        <v>3.4960774011559037</v>
      </c>
      <c r="AT20" s="64">
        <f t="shared" si="71"/>
        <v>3.4829977465004585</v>
      </c>
      <c r="AU20" s="64">
        <f t="shared" si="71"/>
        <v>3.4836304206533502</v>
      </c>
      <c r="AV20" s="64">
        <f t="shared" si="71"/>
        <v>3.4881924684941477</v>
      </c>
      <c r="AW20" s="64">
        <f t="shared" si="71"/>
        <v>3.4807220210862142</v>
      </c>
      <c r="AX20" s="64">
        <f t="shared" si="71"/>
        <v>3.4768096794381478</v>
      </c>
      <c r="AY20" s="64">
        <f t="shared" si="71"/>
        <v>3.4802167081226769</v>
      </c>
      <c r="AZ20" s="64">
        <f t="shared" si="71"/>
        <v>3.4859099519741212</v>
      </c>
      <c r="BA20" s="64">
        <f t="shared" si="71"/>
        <v>3.4959499419922024</v>
      </c>
      <c r="BB20" s="64">
        <f t="shared" si="71"/>
        <v>3.4950579880049615</v>
      </c>
      <c r="BC20" s="64">
        <f t="shared" ref="BC20" si="75">$G$20/BC3</f>
        <v>3.4965873307651738</v>
      </c>
      <c r="BD20" s="64">
        <f t="shared" si="71"/>
        <v>3.4978628058256409</v>
      </c>
      <c r="BE20" s="64" t="e">
        <f t="shared" si="71"/>
        <v>#DIV/0!</v>
      </c>
      <c r="BF20" s="64" t="e">
        <f t="shared" si="71"/>
        <v>#DIV/0!</v>
      </c>
      <c r="BG20" s="64" t="e">
        <f t="shared" si="71"/>
        <v>#DIV/0!</v>
      </c>
      <c r="BH20" s="64" t="e">
        <f t="shared" ref="BH20:CH20" si="76">$G$20/BH3</f>
        <v>#DIV/0!</v>
      </c>
      <c r="BI20" s="64" t="e">
        <f t="shared" si="76"/>
        <v>#DIV/0!</v>
      </c>
      <c r="BJ20" s="64" t="e">
        <f t="shared" si="76"/>
        <v>#DIV/0!</v>
      </c>
      <c r="BK20" s="64" t="e">
        <f t="shared" si="76"/>
        <v>#DIV/0!</v>
      </c>
      <c r="BL20" s="64" t="e">
        <f t="shared" si="76"/>
        <v>#DIV/0!</v>
      </c>
      <c r="BM20" s="64" t="e">
        <f t="shared" si="76"/>
        <v>#DIV/0!</v>
      </c>
      <c r="BN20" s="64" t="e">
        <f t="shared" si="76"/>
        <v>#DIV/0!</v>
      </c>
      <c r="BO20" s="64" t="e">
        <f t="shared" si="76"/>
        <v>#DIV/0!</v>
      </c>
      <c r="BP20" s="64" t="e">
        <f t="shared" si="76"/>
        <v>#DIV/0!</v>
      </c>
      <c r="BQ20" s="64" t="e">
        <f t="shared" si="76"/>
        <v>#DIV/0!</v>
      </c>
      <c r="BR20" s="64" t="e">
        <f t="shared" si="76"/>
        <v>#DIV/0!</v>
      </c>
      <c r="BS20" s="64" t="e">
        <f t="shared" si="76"/>
        <v>#DIV/0!</v>
      </c>
      <c r="BT20" s="64" t="e">
        <f t="shared" si="76"/>
        <v>#DIV/0!</v>
      </c>
      <c r="BU20" s="64" t="e">
        <f t="shared" si="76"/>
        <v>#DIV/0!</v>
      </c>
      <c r="BV20" s="64" t="e">
        <f t="shared" si="76"/>
        <v>#DIV/0!</v>
      </c>
      <c r="BW20" s="64" t="e">
        <f t="shared" si="76"/>
        <v>#DIV/0!</v>
      </c>
      <c r="BX20" s="64" t="e">
        <f t="shared" si="76"/>
        <v>#DIV/0!</v>
      </c>
      <c r="BY20" s="64" t="e">
        <f t="shared" si="76"/>
        <v>#DIV/0!</v>
      </c>
      <c r="BZ20" s="64" t="e">
        <f t="shared" si="76"/>
        <v>#DIV/0!</v>
      </c>
      <c r="CA20" s="64" t="e">
        <f t="shared" si="76"/>
        <v>#DIV/0!</v>
      </c>
      <c r="CB20" s="64" t="e">
        <f t="shared" si="76"/>
        <v>#DIV/0!</v>
      </c>
      <c r="CC20" s="64" t="e">
        <f t="shared" si="76"/>
        <v>#DIV/0!</v>
      </c>
      <c r="CD20" s="64" t="e">
        <f t="shared" si="76"/>
        <v>#DIV/0!</v>
      </c>
      <c r="CE20" s="64" t="e">
        <f t="shared" si="76"/>
        <v>#DIV/0!</v>
      </c>
      <c r="CF20" s="64" t="e">
        <f t="shared" si="76"/>
        <v>#DIV/0!</v>
      </c>
      <c r="CG20" s="64" t="e">
        <f t="shared" si="76"/>
        <v>#DIV/0!</v>
      </c>
      <c r="CH20" s="64" t="e">
        <f t="shared" si="76"/>
        <v>#DIV/0!</v>
      </c>
    </row>
    <row r="21" spans="1:86" x14ac:dyDescent="0.3">
      <c r="A21" s="92"/>
      <c r="B21" s="94"/>
      <c r="C21" s="72"/>
      <c r="D21" s="77"/>
      <c r="E21" s="72"/>
      <c r="F21" s="92"/>
      <c r="G21" s="78"/>
      <c r="H21" s="102">
        <f>SUM(H17:H20)</f>
        <v>17.384748933783126</v>
      </c>
      <c r="I21" s="102">
        <f>SUM(I17:I20)</f>
        <v>17.355677717473384</v>
      </c>
      <c r="J21" s="102">
        <f t="shared" ref="J21:BG21" si="77">SUM(J17:J20)</f>
        <v>17.393545224134005</v>
      </c>
      <c r="K21" s="102">
        <f t="shared" si="77"/>
        <v>17.387361557093804</v>
      </c>
      <c r="L21" s="102">
        <f t="shared" si="77"/>
        <v>17.387361557093804</v>
      </c>
      <c r="M21" s="102">
        <f>SUM(M17:M20)*3</f>
        <v>52.162084671281413</v>
      </c>
      <c r="N21" s="102">
        <f t="shared" si="77"/>
        <v>17.398309917745376</v>
      </c>
      <c r="O21" s="102">
        <f t="shared" si="77"/>
        <v>17.396403201569374</v>
      </c>
      <c r="P21" s="102">
        <f t="shared" si="77"/>
        <v>17.398309917745376</v>
      </c>
      <c r="Q21" s="102">
        <f t="shared" si="77"/>
        <v>17.407860310230177</v>
      </c>
      <c r="R21" s="102"/>
      <c r="S21" s="102"/>
      <c r="T21" s="102">
        <f>SUM(T17:T20)*3</f>
        <v>52.225733163938344</v>
      </c>
      <c r="U21" s="102"/>
      <c r="V21" s="102">
        <f t="shared" si="77"/>
        <v>17.406425962368928</v>
      </c>
      <c r="W21" s="102">
        <f t="shared" si="77"/>
        <v>17.403081607969977</v>
      </c>
      <c r="X21" s="102">
        <f t="shared" si="77"/>
        <v>17.379055961819894</v>
      </c>
      <c r="Y21" s="102">
        <f t="shared" si="77"/>
        <v>17.385936228946782</v>
      </c>
      <c r="Z21" s="102"/>
      <c r="AA21" s="102">
        <f>SUM(AA17:AA20)*3</f>
        <v>52.115151945956242</v>
      </c>
      <c r="AB21" s="102">
        <f t="shared" si="77"/>
        <v>17.394259482746641</v>
      </c>
      <c r="AC21" s="102">
        <f t="shared" si="77"/>
        <v>17.395926697325169</v>
      </c>
      <c r="AD21" s="102">
        <f>SUM(AD17:AD20)*2</f>
        <v>34.722659333199999</v>
      </c>
      <c r="AE21" s="102">
        <f>SUM(AE17:AE20)*3</f>
        <v>52.011429055509097</v>
      </c>
      <c r="AF21" s="102">
        <f t="shared" si="77"/>
        <v>17.341356747216892</v>
      </c>
      <c r="AG21" s="102">
        <f t="shared" si="77"/>
        <v>17.310815575824495</v>
      </c>
      <c r="AH21" s="102">
        <f t="shared" si="77"/>
        <v>17.345810560236039</v>
      </c>
      <c r="AI21" s="102">
        <f t="shared" si="77"/>
        <v>17.352620371153737</v>
      </c>
      <c r="AJ21" s="102">
        <f>SUM(AJ17:AJ20)*3</f>
        <v>52.074094482954948</v>
      </c>
      <c r="AK21" s="102">
        <f t="shared" si="77"/>
        <v>17.375739674712612</v>
      </c>
      <c r="AL21" s="102">
        <f>SUM(AL17:AL20)*2</f>
        <v>34.711355434946768</v>
      </c>
      <c r="AM21" s="102">
        <f t="shared" si="77"/>
        <v>17.387836805681943</v>
      </c>
      <c r="AN21" s="102">
        <f>SUM(AN17:AN20)*3</f>
        <v>52.195645007877083</v>
      </c>
      <c r="AO21" s="102">
        <f t="shared" si="77"/>
        <v>17.401172091300531</v>
      </c>
      <c r="AP21" s="102">
        <f t="shared" si="77"/>
        <v>17.387836805681943</v>
      </c>
      <c r="AQ21" s="102">
        <f t="shared" si="77"/>
        <v>17.378581998602257</v>
      </c>
      <c r="AR21" s="102">
        <f t="shared" si="77"/>
        <v>17.364867162586332</v>
      </c>
      <c r="AS21" s="102">
        <f>SUM(AS17:AS20)*3</f>
        <v>52.075507366941189</v>
      </c>
      <c r="AT21" s="102">
        <f t="shared" si="77"/>
        <v>17.33433692710642</v>
      </c>
      <c r="AU21" s="102">
        <f t="shared" si="77"/>
        <v>17.335505834520369</v>
      </c>
      <c r="AV21" s="102">
        <f t="shared" si="77"/>
        <v>17.34393452015502</v>
      </c>
      <c r="AW21" s="102">
        <f t="shared" si="77"/>
        <v>17.33013237363026</v>
      </c>
      <c r="AX21" s="102">
        <f>SUM(AX17:AX20)*3</f>
        <v>51.968712189694742</v>
      </c>
      <c r="AY21" s="102">
        <f t="shared" si="77"/>
        <v>17.329198774451687</v>
      </c>
      <c r="AZ21" s="102">
        <f t="shared" si="77"/>
        <v>17.339717419660996</v>
      </c>
      <c r="BA21" s="102">
        <f t="shared" si="77"/>
        <v>17.35826696639759</v>
      </c>
      <c r="BB21" s="102">
        <f t="shared" si="77"/>
        <v>17.356619022311648</v>
      </c>
      <c r="BC21" s="102">
        <f>SUM(BC17:BC20)*3</f>
        <v>52.078333753153487</v>
      </c>
      <c r="BD21" s="102">
        <f t="shared" si="77"/>
        <v>17.361801109062593</v>
      </c>
      <c r="BE21" s="102" t="e">
        <f t="shared" si="77"/>
        <v>#DIV/0!</v>
      </c>
      <c r="BF21" s="102" t="e">
        <f t="shared" si="77"/>
        <v>#DIV/0!</v>
      </c>
      <c r="BG21" s="102" t="e">
        <f t="shared" si="77"/>
        <v>#DIV/0!</v>
      </c>
      <c r="BH21" s="102" t="e">
        <f t="shared" ref="BH21:CH21" si="78">SUM(BH17:BH20)</f>
        <v>#DIV/0!</v>
      </c>
      <c r="BI21" s="102" t="e">
        <f t="shared" si="78"/>
        <v>#DIV/0!</v>
      </c>
      <c r="BJ21" s="102" t="e">
        <f t="shared" si="78"/>
        <v>#DIV/0!</v>
      </c>
      <c r="BK21" s="102" t="e">
        <f t="shared" si="78"/>
        <v>#DIV/0!</v>
      </c>
      <c r="BL21" s="102" t="e">
        <f t="shared" si="78"/>
        <v>#DIV/0!</v>
      </c>
      <c r="BM21" s="102" t="e">
        <f t="shared" si="78"/>
        <v>#DIV/0!</v>
      </c>
      <c r="BN21" s="102" t="e">
        <f t="shared" si="78"/>
        <v>#DIV/0!</v>
      </c>
      <c r="BO21" s="102" t="e">
        <f t="shared" si="78"/>
        <v>#DIV/0!</v>
      </c>
      <c r="BP21" s="102" t="e">
        <f t="shared" si="78"/>
        <v>#DIV/0!</v>
      </c>
      <c r="BQ21" s="102" t="e">
        <f t="shared" si="78"/>
        <v>#DIV/0!</v>
      </c>
      <c r="BR21" s="102" t="e">
        <f t="shared" si="78"/>
        <v>#DIV/0!</v>
      </c>
      <c r="BS21" s="102" t="e">
        <f t="shared" si="78"/>
        <v>#DIV/0!</v>
      </c>
      <c r="BT21" s="102" t="e">
        <f t="shared" si="78"/>
        <v>#DIV/0!</v>
      </c>
      <c r="BU21" s="102" t="e">
        <f t="shared" si="78"/>
        <v>#DIV/0!</v>
      </c>
      <c r="BV21" s="102" t="e">
        <f t="shared" si="78"/>
        <v>#DIV/0!</v>
      </c>
      <c r="BW21" s="102" t="e">
        <f t="shared" si="78"/>
        <v>#DIV/0!</v>
      </c>
      <c r="BX21" s="102" t="e">
        <f t="shared" si="78"/>
        <v>#DIV/0!</v>
      </c>
      <c r="BY21" s="102" t="e">
        <f t="shared" si="78"/>
        <v>#DIV/0!</v>
      </c>
      <c r="BZ21" s="102" t="e">
        <f t="shared" si="78"/>
        <v>#DIV/0!</v>
      </c>
      <c r="CA21" s="102" t="e">
        <f t="shared" si="78"/>
        <v>#DIV/0!</v>
      </c>
      <c r="CB21" s="102" t="e">
        <f t="shared" si="78"/>
        <v>#DIV/0!</v>
      </c>
      <c r="CC21" s="102" t="e">
        <f t="shared" si="78"/>
        <v>#DIV/0!</v>
      </c>
      <c r="CD21" s="102" t="e">
        <f t="shared" si="78"/>
        <v>#DIV/0!</v>
      </c>
      <c r="CE21" s="102" t="e">
        <f t="shared" si="78"/>
        <v>#DIV/0!</v>
      </c>
      <c r="CF21" s="102" t="e">
        <f t="shared" si="78"/>
        <v>#DIV/0!</v>
      </c>
      <c r="CG21" s="102" t="e">
        <f t="shared" si="78"/>
        <v>#DIV/0!</v>
      </c>
      <c r="CH21" s="102" t="e">
        <f t="shared" si="78"/>
        <v>#DIV/0!</v>
      </c>
    </row>
    <row r="22" spans="1:86" s="154" customFormat="1" x14ac:dyDescent="0.3">
      <c r="B22" s="155"/>
      <c r="C22" s="156"/>
      <c r="D22" s="59"/>
      <c r="E22" s="156"/>
      <c r="G22" s="157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>
        <f>-T21-T16-T14-T15-T4-T7</f>
        <v>-807.23829209542805</v>
      </c>
      <c r="U22" s="158"/>
      <c r="V22" s="158">
        <f>-V21-V16-V14-V15-V4-V7</f>
        <v>-271.29763293100467</v>
      </c>
      <c r="W22" s="158">
        <f>-W21-W16-W14-W15-W4-W7</f>
        <v>-271.24651208519214</v>
      </c>
      <c r="X22" s="158">
        <f t="shared" ref="X22:AE22" si="79">-X21-X16-X14-X15-X4-X7</f>
        <v>-270.87926292261227</v>
      </c>
      <c r="Y22" s="158">
        <f t="shared" si="79"/>
        <v>-265.98443272012327</v>
      </c>
      <c r="Z22" s="158"/>
      <c r="AA22" s="158">
        <f t="shared" si="79"/>
        <v>-805.54797919198745</v>
      </c>
      <c r="AB22" s="158">
        <f t="shared" si="79"/>
        <v>-266.1116595996354</v>
      </c>
      <c r="AC22" s="158">
        <f t="shared" si="79"/>
        <v>-266.13714416533577</v>
      </c>
      <c r="AD22" s="158">
        <f t="shared" si="79"/>
        <v>-531.21660767707351</v>
      </c>
      <c r="AE22" s="158">
        <f t="shared" si="79"/>
        <v>-795.71578093859193</v>
      </c>
      <c r="AF22" s="158">
        <f t="shared" ref="AF22:AI22" si="80">-AF21-AF16-AF14-AF15-AF4-AF7</f>
        <v>-265.30300349939495</v>
      </c>
      <c r="AG22" s="158">
        <f t="shared" si="80"/>
        <v>-269.83615987953976</v>
      </c>
      <c r="AH22" s="158">
        <f t="shared" si="80"/>
        <v>-270.37108321268761</v>
      </c>
      <c r="AI22" s="158">
        <f t="shared" si="80"/>
        <v>-265.47517603671531</v>
      </c>
      <c r="AJ22" s="158">
        <f t="shared" ref="AJ22:AW22" si="81">-AJ21-AJ16-AJ14-AJ15-AJ4-AJ7</f>
        <v>-796.6736667581215</v>
      </c>
      <c r="AK22" s="158">
        <f t="shared" si="81"/>
        <v>-265.82857110540095</v>
      </c>
      <c r="AL22" s="158">
        <f>-AL21-AL16-AL14-AL15-AL4-AL7</f>
        <v>-531.04381951805988</v>
      </c>
      <c r="AM22" s="158">
        <f t="shared" si="81"/>
        <v>-271.01348439307503</v>
      </c>
      <c r="AN22" s="158">
        <f t="shared" ref="AN22" si="82">-AN21-AN16-AN14-AN15-AN4-AN7</f>
        <v>-798.53165335335984</v>
      </c>
      <c r="AO22" s="158">
        <f t="shared" si="81"/>
        <v>-266.2173237589592</v>
      </c>
      <c r="AP22" s="158">
        <f t="shared" si="81"/>
        <v>-271.01348439307503</v>
      </c>
      <c r="AQ22" s="158">
        <f t="shared" si="81"/>
        <v>-270.87201805628547</v>
      </c>
      <c r="AR22" s="158">
        <f t="shared" si="81"/>
        <v>-265.66237699147064</v>
      </c>
      <c r="AS22" s="158">
        <f t="shared" si="81"/>
        <v>-846.69526369905407</v>
      </c>
      <c r="AT22" s="158">
        <f t="shared" si="81"/>
        <v>-265.19570053484921</v>
      </c>
      <c r="AU22" s="158">
        <f t="shared" si="81"/>
        <v>-265.21356811960527</v>
      </c>
      <c r="AV22" s="158">
        <f t="shared" si="81"/>
        <v>-265.34240660002069</v>
      </c>
      <c r="AW22" s="158">
        <f t="shared" si="81"/>
        <v>-265.13143093171357</v>
      </c>
      <c r="AX22" s="158">
        <f t="shared" ref="AX22:BB22" si="83">-AX21-AX16-AX14-AX15-AX4-AX7</f>
        <v>-800.06282313257259</v>
      </c>
      <c r="AY22" s="158">
        <f t="shared" si="83"/>
        <v>-270.1171602014125</v>
      </c>
      <c r="AZ22" s="158">
        <f t="shared" si="83"/>
        <v>-265.27794520675479</v>
      </c>
      <c r="BA22" s="158">
        <f t="shared" si="83"/>
        <v>-265.56148827829992</v>
      </c>
      <c r="BB22" s="158">
        <f t="shared" si="83"/>
        <v>-265.53629827584336</v>
      </c>
      <c r="BC22" s="158">
        <f t="shared" ref="BC22:CH22" si="84">-BC21-BC16-BC14-BC15-BC4-BC7</f>
        <v>-796.73846703115623</v>
      </c>
      <c r="BD22" s="158">
        <f t="shared" si="84"/>
        <v>-265.61551017332209</v>
      </c>
      <c r="BE22" s="158" t="e">
        <f t="shared" si="84"/>
        <v>#DIV/0!</v>
      </c>
      <c r="BF22" s="158" t="e">
        <f t="shared" si="84"/>
        <v>#DIV/0!</v>
      </c>
      <c r="BG22" s="158" t="e">
        <f t="shared" si="84"/>
        <v>#DIV/0!</v>
      </c>
      <c r="BH22" s="158" t="e">
        <f t="shared" si="84"/>
        <v>#DIV/0!</v>
      </c>
      <c r="BI22" s="158" t="e">
        <f t="shared" si="84"/>
        <v>#DIV/0!</v>
      </c>
      <c r="BJ22" s="158" t="e">
        <f t="shared" si="84"/>
        <v>#DIV/0!</v>
      </c>
      <c r="BK22" s="158" t="e">
        <f t="shared" si="84"/>
        <v>#DIV/0!</v>
      </c>
      <c r="BL22" s="158" t="e">
        <f t="shared" si="84"/>
        <v>#DIV/0!</v>
      </c>
      <c r="BM22" s="158" t="e">
        <f t="shared" si="84"/>
        <v>#DIV/0!</v>
      </c>
      <c r="BN22" s="158" t="e">
        <f t="shared" si="84"/>
        <v>#DIV/0!</v>
      </c>
      <c r="BO22" s="158" t="e">
        <f t="shared" si="84"/>
        <v>#DIV/0!</v>
      </c>
      <c r="BP22" s="158" t="e">
        <f t="shared" si="84"/>
        <v>#DIV/0!</v>
      </c>
      <c r="BQ22" s="158" t="e">
        <f t="shared" si="84"/>
        <v>#DIV/0!</v>
      </c>
      <c r="BR22" s="158" t="e">
        <f t="shared" si="84"/>
        <v>#DIV/0!</v>
      </c>
      <c r="BS22" s="158" t="e">
        <f t="shared" si="84"/>
        <v>#DIV/0!</v>
      </c>
      <c r="BT22" s="158" t="e">
        <f t="shared" si="84"/>
        <v>#DIV/0!</v>
      </c>
      <c r="BU22" s="158" t="e">
        <f t="shared" si="84"/>
        <v>#DIV/0!</v>
      </c>
      <c r="BV22" s="158" t="e">
        <f t="shared" si="84"/>
        <v>#DIV/0!</v>
      </c>
      <c r="BW22" s="158" t="e">
        <f t="shared" si="84"/>
        <v>#DIV/0!</v>
      </c>
      <c r="BX22" s="158" t="e">
        <f t="shared" si="84"/>
        <v>#DIV/0!</v>
      </c>
      <c r="BY22" s="158" t="e">
        <f t="shared" si="84"/>
        <v>#DIV/0!</v>
      </c>
      <c r="BZ22" s="158" t="e">
        <f t="shared" si="84"/>
        <v>#DIV/0!</v>
      </c>
      <c r="CA22" s="158" t="e">
        <f t="shared" si="84"/>
        <v>#DIV/0!</v>
      </c>
      <c r="CB22" s="158" t="e">
        <f t="shared" si="84"/>
        <v>#DIV/0!</v>
      </c>
      <c r="CC22" s="158" t="e">
        <f t="shared" si="84"/>
        <v>#DIV/0!</v>
      </c>
      <c r="CD22" s="158" t="e">
        <f t="shared" si="84"/>
        <v>#DIV/0!</v>
      </c>
      <c r="CE22" s="158" t="e">
        <f t="shared" si="84"/>
        <v>#DIV/0!</v>
      </c>
      <c r="CF22" s="158" t="e">
        <f t="shared" si="84"/>
        <v>#DIV/0!</v>
      </c>
      <c r="CG22" s="158" t="e">
        <f t="shared" si="84"/>
        <v>#DIV/0!</v>
      </c>
      <c r="CH22" s="158" t="e">
        <f t="shared" si="84"/>
        <v>#DIV/0!</v>
      </c>
    </row>
    <row r="23" spans="1:86" x14ac:dyDescent="0.3">
      <c r="A23" s="51"/>
      <c r="B23" s="95"/>
      <c r="C23" s="52"/>
      <c r="D23" s="70"/>
      <c r="E23" s="52"/>
      <c r="F23" s="51"/>
      <c r="G23" s="62"/>
      <c r="H23" s="81">
        <f>-H4-H7-H14-H15-H16-H21+G23</f>
        <v>-285.74715413084232</v>
      </c>
      <c r="I23" s="81">
        <f>-I4-I7-I14-I15-I16-I21+H23</f>
        <v>-551.04993395523582</v>
      </c>
      <c r="J23" s="81">
        <f t="shared" ref="J23:W23" si="85">-J4-J7-J14-J15-J16-J21+I23</f>
        <v>-816.93154566715589</v>
      </c>
      <c r="K23" s="81">
        <f t="shared" si="85"/>
        <v>-1390.1032994439288</v>
      </c>
      <c r="L23" s="81">
        <f t="shared" si="85"/>
        <v>-1655.8903893882343</v>
      </c>
      <c r="M23" s="81">
        <f>-M4-M7-M14-M15-M16-M21+J23</f>
        <v>-1613.1969250891138</v>
      </c>
      <c r="N23" s="81">
        <f t="shared" si="85"/>
        <v>-1879.1513685462364</v>
      </c>
      <c r="O23" s="81">
        <f t="shared" si="85"/>
        <v>-2150.2957964193051</v>
      </c>
      <c r="P23" s="81">
        <f t="shared" si="85"/>
        <v>-2416.4693698110641</v>
      </c>
      <c r="Q23" s="81">
        <f t="shared" si="85"/>
        <v>-2682.7889277736622</v>
      </c>
      <c r="R23" s="81"/>
      <c r="S23" s="81"/>
      <c r="T23" s="81">
        <f>-T4-T7-T14-T15-T16-T21+Q23</f>
        <v>-3490.0272198690905</v>
      </c>
      <c r="U23" s="81"/>
      <c r="V23" s="81">
        <f>-V4-V7-V14-V15-V16-V21+T23</f>
        <v>-3761.324852800095</v>
      </c>
      <c r="W23" s="81">
        <f t="shared" si="85"/>
        <v>-4032.571364885287</v>
      </c>
      <c r="X23" s="81">
        <f>-X4-X7-X14-X15-X16-X21+W23</f>
        <v>-4303.4506278078989</v>
      </c>
      <c r="Y23" s="81">
        <f t="shared" ref="Y23:AR23" si="86">-Y4-Y7-Y14-Y15-Y16-Y21+X23</f>
        <v>-4569.4350605280224</v>
      </c>
      <c r="Z23" s="81"/>
      <c r="AA23" s="81">
        <f>-AA4-AA7-AA14-AA15-AA16-AA21+Y23</f>
        <v>-5374.9830397200094</v>
      </c>
      <c r="AB23" s="81">
        <f>-AB4-AB7-AB14-AB15-AB16-AB21+AA23</f>
        <v>-5641.0946993196449</v>
      </c>
      <c r="AC23" s="81">
        <f t="shared" ref="AC23:AD23" si="87">-AC4-AC7-AC14-AC15-AC16-AC21+AB23</f>
        <v>-5907.2318434849803</v>
      </c>
      <c r="AD23" s="81">
        <f t="shared" si="87"/>
        <v>-6438.448451162054</v>
      </c>
      <c r="AE23" s="81">
        <f>-AE4-AE7-AE14-AE15-AE16-AE21+AD23</f>
        <v>-7234.1642321006457</v>
      </c>
      <c r="AF23" s="81">
        <f>-AF4-AF7-AF14-AF15-AF16-AF21+AE23</f>
        <v>-7499.467235600041</v>
      </c>
      <c r="AG23" s="81">
        <f t="shared" si="86"/>
        <v>-7769.303395479581</v>
      </c>
      <c r="AH23" s="81">
        <f t="shared" si="86"/>
        <v>-8039.6744786922691</v>
      </c>
      <c r="AI23" s="81">
        <f t="shared" si="86"/>
        <v>-8305.1496547289844</v>
      </c>
      <c r="AJ23" s="81">
        <f t="shared" si="86"/>
        <v>-9101.8233214871052</v>
      </c>
      <c r="AK23" s="81">
        <f t="shared" si="86"/>
        <v>-9367.6518925925066</v>
      </c>
      <c r="AL23" s="81">
        <f t="shared" si="86"/>
        <v>-9898.6957121105661</v>
      </c>
      <c r="AM23" s="81">
        <f t="shared" si="86"/>
        <v>-10169.709196503642</v>
      </c>
      <c r="AN23" s="81">
        <f t="shared" si="86"/>
        <v>-10968.240849857002</v>
      </c>
      <c r="AO23" s="81">
        <f t="shared" si="86"/>
        <v>-11234.458173615962</v>
      </c>
      <c r="AP23" s="81">
        <f t="shared" si="86"/>
        <v>-11505.471658009037</v>
      </c>
      <c r="AQ23" s="81">
        <f>-AQ4-AQ7-AQ14-AQ15-AQ16-AQ21+AP23</f>
        <v>-11776.343676065322</v>
      </c>
      <c r="AR23" s="81">
        <f t="shared" si="86"/>
        <v>-12042.006053056793</v>
      </c>
      <c r="AS23" s="81">
        <f t="shared" ref="AS23" si="88">-AS4-AS7-AS14-AS15-AS16-AS21+AR23</f>
        <v>-12888.701316755847</v>
      </c>
      <c r="AT23" s="81">
        <f t="shared" ref="AT23" si="89">-AT4-AT7-AT14-AT15-AT16-AT21+AS23</f>
        <v>-13153.897017290696</v>
      </c>
      <c r="AU23" s="81">
        <f t="shared" ref="AU23" si="90">-AU4-AU7-AU14-AU15-AU16-AU21+AT23</f>
        <v>-13419.110585410301</v>
      </c>
      <c r="AV23" s="81">
        <f t="shared" ref="AV23" si="91">-AV4-AV7-AV14-AV15-AV16-AV21+AU23</f>
        <v>-13684.452992010321</v>
      </c>
      <c r="AW23" s="81">
        <f t="shared" ref="AW23" si="92">-AW4-AW7-AW14-AW15-AW16-AW21+AV23</f>
        <v>-13949.584422942035</v>
      </c>
      <c r="AX23" s="81">
        <f t="shared" ref="AX23" si="93">-AX4-AX7-AX14-AX15-AX16-AX21+AW23</f>
        <v>-14749.647246074606</v>
      </c>
      <c r="AY23" s="81">
        <f t="shared" ref="AY23" si="94">-AY4-AY7-AY14-AY15-AY16-AY21+AX23</f>
        <v>-15019.764406276019</v>
      </c>
      <c r="AZ23" s="81">
        <f t="shared" ref="AZ23" si="95">-AZ4-AZ7-AZ14-AZ15-AZ16-AZ21+AY23</f>
        <v>-15285.042351482774</v>
      </c>
      <c r="BA23" s="81">
        <f t="shared" ref="BA23" si="96">-BA4-BA7-BA14-BA15-BA16-BA21+AZ23</f>
        <v>-15550.603839761074</v>
      </c>
      <c r="BB23" s="81">
        <f t="shared" ref="BB23" si="97">-BB4-BB7-BB14-BB15-BB16-BB21+BA23</f>
        <v>-15816.140138036917</v>
      </c>
      <c r="BC23" s="81">
        <f t="shared" ref="BC23" si="98">-BC4-BC7-BC14-BC15-BC16-BC21+BB23</f>
        <v>-16612.878605068072</v>
      </c>
      <c r="BD23" s="81">
        <f t="shared" ref="BD23" si="99">-BD4-BD7-BD14-BD15-BD16-BD21+BC23</f>
        <v>-16878.494115241396</v>
      </c>
      <c r="BE23" s="81" t="e">
        <f t="shared" ref="BE23" si="100">-BE4-BE7-BE14-BE15-BE16-BE21+BD23</f>
        <v>#DIV/0!</v>
      </c>
      <c r="BF23" s="81" t="e">
        <f t="shared" ref="BF23" si="101">-BF4-BF7-BF14-BF15-BF16-BF21+BE23</f>
        <v>#DIV/0!</v>
      </c>
      <c r="BG23" s="81" t="e">
        <f t="shared" ref="BG23" si="102">-BG4-BG7-BG14-BG15-BG16-BG21+BF23</f>
        <v>#DIV/0!</v>
      </c>
      <c r="BH23" s="81" t="e">
        <f t="shared" ref="BH23" si="103">-BH4-BH7-BH14-BH15-BH16-BH21+BG23</f>
        <v>#DIV/0!</v>
      </c>
      <c r="BI23" s="81" t="e">
        <f t="shared" ref="BI23" si="104">-BI4-BI7-BI14-BI15-BI16-BI21+BH23</f>
        <v>#DIV/0!</v>
      </c>
      <c r="BJ23" s="81" t="e">
        <f t="shared" ref="BJ23" si="105">-BJ4-BJ7-BJ14-BJ15-BJ16-BJ21+BI23</f>
        <v>#DIV/0!</v>
      </c>
      <c r="BK23" s="81" t="e">
        <f t="shared" ref="BK23" si="106">-BK4-BK7-BK14-BK15-BK16-BK21+BJ23</f>
        <v>#DIV/0!</v>
      </c>
      <c r="BL23" s="81" t="e">
        <f t="shared" ref="BL23" si="107">-BL4-BL7-BL14-BL15-BL16-BL21+BK23</f>
        <v>#DIV/0!</v>
      </c>
      <c r="BM23" s="81" t="e">
        <f t="shared" ref="BM23" si="108">-BM4-BM7-BM14-BM15-BM16-BM21+BL23</f>
        <v>#DIV/0!</v>
      </c>
      <c r="BN23" s="81" t="e">
        <f t="shared" ref="BN23" si="109">-BN4-BN7-BN14-BN15-BN16-BN21+BM23</f>
        <v>#DIV/0!</v>
      </c>
      <c r="BO23" s="81" t="e">
        <f t="shared" ref="BO23" si="110">-BO4-BO7-BO14-BO15-BO16-BO21+BN23</f>
        <v>#DIV/0!</v>
      </c>
      <c r="BP23" s="81" t="e">
        <f t="shared" ref="BP23" si="111">-BP4-BP7-BP14-BP15-BP16-BP21+BO23</f>
        <v>#DIV/0!</v>
      </c>
      <c r="BQ23" s="81" t="e">
        <f t="shared" ref="BQ23" si="112">-BQ4-BQ7-BQ14-BQ15-BQ16-BQ21+BP23</f>
        <v>#DIV/0!</v>
      </c>
      <c r="BR23" s="81" t="e">
        <f t="shared" ref="BR23" si="113">-BR4-BR7-BR14-BR15-BR16-BR21+BQ23</f>
        <v>#DIV/0!</v>
      </c>
      <c r="BS23" s="81" t="e">
        <f t="shared" ref="BS23" si="114">-BS4-BS7-BS14-BS15-BS16-BS21+BR23</f>
        <v>#DIV/0!</v>
      </c>
      <c r="BT23" s="81" t="e">
        <f t="shared" ref="BT23" si="115">-BT4-BT7-BT14-BT15-BT16-BT21+BS23</f>
        <v>#DIV/0!</v>
      </c>
      <c r="BU23" s="81" t="e">
        <f t="shared" ref="BU23" si="116">-BU4-BU7-BU14-BU15-BU16-BU21+BT23</f>
        <v>#DIV/0!</v>
      </c>
      <c r="BV23" s="81" t="e">
        <f t="shared" ref="BV23" si="117">-BV4-BV7-BV14-BV15-BV16-BV21+BU23</f>
        <v>#DIV/0!</v>
      </c>
      <c r="BW23" s="81" t="e">
        <f t="shared" ref="BW23" si="118">-BW4-BW7-BW14-BW15-BW16-BW21+BV23</f>
        <v>#DIV/0!</v>
      </c>
      <c r="BX23" s="81" t="e">
        <f t="shared" ref="BX23" si="119">-BX4-BX7-BX14-BX15-BX16-BX21+BW23</f>
        <v>#DIV/0!</v>
      </c>
      <c r="BY23" s="81" t="e">
        <f t="shared" ref="BY23" si="120">-BY4-BY7-BY14-BY15-BY16-BY21+BX23</f>
        <v>#DIV/0!</v>
      </c>
      <c r="BZ23" s="81" t="e">
        <f t="shared" ref="BZ23" si="121">-BZ4-BZ7-BZ14-BZ15-BZ16-BZ21+BY23</f>
        <v>#DIV/0!</v>
      </c>
      <c r="CA23" s="81" t="e">
        <f t="shared" ref="CA23" si="122">-CA4-CA7-CA14-CA15-CA16-CA21+BZ23</f>
        <v>#DIV/0!</v>
      </c>
      <c r="CB23" s="81" t="e">
        <f t="shared" ref="CB23" si="123">-CB4-CB7-CB14-CB15-CB16-CB21+CA23</f>
        <v>#DIV/0!</v>
      </c>
      <c r="CC23" s="81" t="e">
        <f t="shared" ref="CC23" si="124">-CC4-CC7-CC14-CC15-CC16-CC21+CB23</f>
        <v>#DIV/0!</v>
      </c>
      <c r="CD23" s="81" t="e">
        <f t="shared" ref="CD23" si="125">-CD4-CD7-CD14-CD15-CD16-CD21+CC23</f>
        <v>#DIV/0!</v>
      </c>
      <c r="CE23" s="81" t="e">
        <f t="shared" ref="CE23" si="126">-CE4-CE7-CE14-CE15-CE16-CE21+CD23</f>
        <v>#DIV/0!</v>
      </c>
      <c r="CF23" s="81" t="e">
        <f t="shared" ref="CF23" si="127">-CF4-CF7-CF14-CF15-CF16-CF21+CE23</f>
        <v>#DIV/0!</v>
      </c>
      <c r="CG23" s="81" t="e">
        <f t="shared" ref="CG23" si="128">-CG4-CG7-CG14-CG15-CG16-CG21+CF23</f>
        <v>#DIV/0!</v>
      </c>
      <c r="CH23" s="81" t="e">
        <f t="shared" ref="CH23" si="129">-CH4-CH7-CH14-CH15-CH16-CH21+CG23</f>
        <v>#DIV/0!</v>
      </c>
    </row>
    <row r="24" spans="1:86" s="101" customFormat="1" ht="32.25" customHeight="1" x14ac:dyDescent="0.3">
      <c r="A24" s="227" t="s">
        <v>88</v>
      </c>
      <c r="B24" s="227"/>
      <c r="C24" s="227"/>
      <c r="D24" s="227"/>
      <c r="E24" s="227"/>
      <c r="F24" s="227"/>
      <c r="G24" s="227"/>
      <c r="H24" s="99">
        <f>4231*42.47</f>
        <v>179690.57</v>
      </c>
      <c r="I24" s="99">
        <v>1487575.92</v>
      </c>
      <c r="J24" s="103">
        <v>2457601.87</v>
      </c>
      <c r="K24" s="103">
        <v>2941042.02</v>
      </c>
      <c r="L24" s="103">
        <v>2305094.16</v>
      </c>
      <c r="M24" s="103">
        <v>2941042.02</v>
      </c>
      <c r="N24" s="103">
        <v>3853322.95</v>
      </c>
      <c r="O24" s="103">
        <v>3844776.25</v>
      </c>
      <c r="P24" s="103">
        <v>3877614.7499999995</v>
      </c>
      <c r="Q24" s="103">
        <v>3986942.9924500003</v>
      </c>
      <c r="R24" s="103"/>
      <c r="S24" s="103"/>
      <c r="T24" s="103">
        <v>3993150.9599999995</v>
      </c>
      <c r="U24" s="103"/>
      <c r="V24" s="126">
        <v>4039126.1399999997</v>
      </c>
      <c r="W24" s="126">
        <v>4177668.95</v>
      </c>
      <c r="X24" s="126">
        <v>4203554.25</v>
      </c>
      <c r="Y24" s="126">
        <v>4282786.96</v>
      </c>
      <c r="Z24" s="126"/>
      <c r="AA24" s="126">
        <v>4390782.62</v>
      </c>
      <c r="AB24" s="126">
        <v>4419288.42</v>
      </c>
      <c r="AC24" s="126">
        <v>4417071.38</v>
      </c>
      <c r="AD24" s="126">
        <v>4418338.6000000006</v>
      </c>
      <c r="AE24" s="126">
        <v>4397168.83</v>
      </c>
      <c r="AF24" s="126">
        <v>4434223.13</v>
      </c>
      <c r="AG24" s="126">
        <v>4400292.16</v>
      </c>
      <c r="AH24" s="126">
        <v>4416074.7</v>
      </c>
      <c r="AI24" s="126">
        <v>4464193.82</v>
      </c>
      <c r="AJ24" s="126">
        <v>4539638.47</v>
      </c>
      <c r="AK24" s="126">
        <v>4579333.3699999992</v>
      </c>
      <c r="AL24" s="126">
        <v>4591895.4499999993</v>
      </c>
      <c r="AM24" s="126">
        <v>4602691.92</v>
      </c>
      <c r="AN24" s="126">
        <v>4630966.1500000004</v>
      </c>
      <c r="AO24" s="126">
        <v>4648790.42</v>
      </c>
      <c r="AP24" s="126">
        <v>4486214.58</v>
      </c>
      <c r="AQ24" s="126">
        <v>4752684.2799999993</v>
      </c>
      <c r="AR24" s="126">
        <v>4746382.3800000008</v>
      </c>
      <c r="AS24" s="126">
        <v>4819594.0600000005</v>
      </c>
      <c r="AT24" s="126">
        <v>4852398.5</v>
      </c>
      <c r="AU24" s="126">
        <v>4842384.99</v>
      </c>
      <c r="AV24" s="126">
        <v>4815473.79</v>
      </c>
      <c r="AW24" s="126">
        <v>4934759.99</v>
      </c>
      <c r="AX24" s="126">
        <v>4958976.4700000007</v>
      </c>
      <c r="AY24" s="126">
        <v>5010107.8699999992</v>
      </c>
      <c r="AZ24" s="126">
        <v>5030779.3400000008</v>
      </c>
      <c r="BA24" s="126">
        <v>5065583.8800000008</v>
      </c>
      <c r="BB24" s="126">
        <v>5082824.0599999996</v>
      </c>
      <c r="BC24" s="126">
        <v>5050725.2300000004</v>
      </c>
      <c r="BD24" s="126">
        <v>5080346.42</v>
      </c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6"/>
    </row>
    <row r="25" spans="1:86" s="101" customFormat="1" ht="32.25" customHeight="1" x14ac:dyDescent="0.3">
      <c r="A25" s="200" t="s">
        <v>89</v>
      </c>
      <c r="B25" s="200"/>
      <c r="C25" s="200"/>
      <c r="D25" s="200"/>
      <c r="E25" s="200"/>
      <c r="F25" s="200"/>
      <c r="G25" s="200"/>
      <c r="H25" s="99"/>
      <c r="I25" s="99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  <c r="BC25" s="126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6"/>
    </row>
    <row r="26" spans="1:86" x14ac:dyDescent="0.3">
      <c r="A26" s="228" t="s">
        <v>90</v>
      </c>
      <c r="B26" s="228"/>
      <c r="C26" s="228"/>
      <c r="D26" s="228"/>
      <c r="E26" s="228"/>
      <c r="F26" s="228"/>
      <c r="G26" s="228"/>
      <c r="H26" s="64">
        <f>+(B43*100/H3)-179331.78+150000</f>
        <v>5786474.3480521282</v>
      </c>
      <c r="I26" s="64">
        <f>4434220.56+(43518.97/I3)</f>
        <v>4465939.9258892126</v>
      </c>
      <c r="J26" s="64">
        <v>3510121.31</v>
      </c>
      <c r="K26" s="64">
        <v>3032090.94</v>
      </c>
      <c r="L26" s="64">
        <f>1165360.19+494100</f>
        <v>1659460.19</v>
      </c>
      <c r="M26" s="64">
        <v>3032090.94</v>
      </c>
      <c r="N26" s="64">
        <f>2097220.58+(43518.97/N3)</f>
        <v>2129149.3914453411</v>
      </c>
      <c r="O26" s="64">
        <f>2097220.58+((43518.97+169882.49)/O3)</f>
        <v>2253742.1143992958</v>
      </c>
      <c r="P26" s="64">
        <f>2269284.75+((45208.66)/P3)</f>
        <v>2302453.2459647837</v>
      </c>
      <c r="Q26" s="64">
        <f>2156913.31+((45208.66)/Q3)</f>
        <v>2190130.5473254961</v>
      </c>
      <c r="R26" s="64"/>
      <c r="S26" s="64"/>
      <c r="T26" s="64">
        <f>2132410.49+((45208.66+297898.25)/T3)+(428.8/7.84795)</f>
        <v>2384592.0417986973</v>
      </c>
      <c r="U26" s="64"/>
      <c r="V26" s="64">
        <f>2073010.53+217906.96+((45208.66+898.25+201.17)/V3)+(428.8/7.84715)+6.25</f>
        <v>2324995.9260981302</v>
      </c>
      <c r="W26" s="64">
        <f>2151107.06+((681691.19+201.17)/W3)+(428.8/7.8488)+6.25</f>
        <v>2651823.1261088927</v>
      </c>
      <c r="X26" s="64">
        <f>2675035.52-90410.43+(46308.08/X3)</f>
        <v>2618499.549602794</v>
      </c>
      <c r="Y26" s="64">
        <f>(2506668.68)+(46308.08/Y3)</f>
        <v>2540579.1076508495</v>
      </c>
      <c r="Z26" s="64"/>
      <c r="AA26" s="64">
        <f>2518899.02+6.25+(65241.14/AA3)-40.66</f>
        <v>2566534.593925179</v>
      </c>
      <c r="AB26" s="64">
        <f>2518899.02+6.25+(65241.14/AB3)</f>
        <v>2566741.2783586904</v>
      </c>
      <c r="AC26" s="64">
        <f>2518905.27+(65241.14/AC3)</f>
        <v>2566753.5574954161</v>
      </c>
      <c r="AD26" s="64">
        <f>2505205.27+(65241.14/AD3)</f>
        <v>2552798.7482608696</v>
      </c>
      <c r="AE26" s="64">
        <f>2505205.27+(65241.14/AE3)</f>
        <v>2552620.6121272575</v>
      </c>
      <c r="AF26" s="64">
        <f>2456955.61+(359763.58/AF3)</f>
        <v>2718592.3359372383</v>
      </c>
      <c r="AG26" s="64">
        <f>2456955.61+213197.97+(65763.58/AG3)+(17000/AG3)</f>
        <v>2730057.7346033584</v>
      </c>
      <c r="AH26" s="64">
        <f>2670153.58+(82763.58/AH3)+50000</f>
        <v>2780384.698550324</v>
      </c>
      <c r="AI26" s="64">
        <f>2774318.7+(65763.85/AI3)</f>
        <v>2822228.8373256112</v>
      </c>
      <c r="AJ26" s="64">
        <f>2714318.7+(65763.85/AJ3)</f>
        <v>2762269.0098796939</v>
      </c>
      <c r="AK26" s="64">
        <f>2714318.7+(65763.85/AK3)</f>
        <v>2762400.476640468</v>
      </c>
      <c r="AL26" s="64">
        <f>2714318.7+((65763.85+8042.35)/AL3)</f>
        <v>2768113.3064139942</v>
      </c>
      <c r="AM26" s="64">
        <f>2714318.7+((65763.85+8042.35)/AM3)</f>
        <v>2768381.2549370057</v>
      </c>
      <c r="AN26" s="64">
        <f>2714318.7+((73806.2)/AN3)</f>
        <v>2768470.5030742143</v>
      </c>
      <c r="AO26" s="64">
        <f>2714318.7+((73806.2)/AO3)</f>
        <v>2768492.3641221374</v>
      </c>
      <c r="AP26" s="64">
        <f>2909862.6+((433756.57)/AP3)</f>
        <v>3227586.428010548</v>
      </c>
      <c r="AQ26" s="64">
        <f>2902532.36+((65763.85)/AQ3)</f>
        <v>2950635.2382503748</v>
      </c>
      <c r="AR26" s="64">
        <f>2902532.36+3081.51+2.08+((65763.85+77.76+39.3-43051.45)/AR3)+(43051.45/$AQ$3)</f>
        <v>2953769.1055639978</v>
      </c>
      <c r="AS26" s="64">
        <f>2842422.2+((22829.46)/AS3)+(43051.45/$AQ$3)</f>
        <v>2890558.9523539846</v>
      </c>
      <c r="AT26" s="64">
        <f>2799622.26+((22829.46)/AT3)+(43051.45/$AQ$3)</f>
        <v>2847696.7326224064</v>
      </c>
      <c r="AU26" s="64">
        <f>2785722.26+((22829.46)/AU3)+(43051.45/$AQ$3)</f>
        <v>2833799.7451466247</v>
      </c>
      <c r="AV26" s="64">
        <f>2785722.26+((22829.46)/AV3)+(43051.45/$AQ$3)</f>
        <v>2833821.4676708393</v>
      </c>
      <c r="AW26" s="64">
        <f>2667232.11+((412721.35)/AW3)+(43051.45/$AQ$3)</f>
        <v>2998349.1350972732</v>
      </c>
      <c r="AX26" s="64">
        <f>2980217.62+(22829.46/AX3)+(43051.45/$AQ$3)</f>
        <v>3028262.6276888303</v>
      </c>
      <c r="AY26" s="64">
        <f>2926517.62+(22829.46/AY3)+(43051.45/$AQ$3)</f>
        <v>2974578.8505049166</v>
      </c>
      <c r="AZ26" s="64">
        <f>2904517.62+(22829.46/AZ3)+(43051.45/$AQ$3)</f>
        <v>2952605.95930161</v>
      </c>
      <c r="BA26" s="64">
        <f>2884317.62+(22829.46/BA3)+(43051.45/$AQ$3)</f>
        <v>2932453.765447861</v>
      </c>
      <c r="BB26" s="64">
        <f>2884317.62+(22829.46/BB3)+(43051.45/$AQ$3)+26.68</f>
        <v>2932476.1983437617</v>
      </c>
      <c r="BC26" s="64">
        <f>2884317.62+(22829.46/BC3)+(43051.45/$AQ$3)+26.68</f>
        <v>2932483.4804210877</v>
      </c>
      <c r="BD26" s="64">
        <f>2884317.62+(22829.46/BD3)+(43051.45/$AQ$3)+26.68</f>
        <v>2932489.5536888069</v>
      </c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</row>
    <row r="27" spans="1:86" x14ac:dyDescent="0.3">
      <c r="A27" s="201" t="s">
        <v>91</v>
      </c>
      <c r="B27" s="201"/>
      <c r="C27" s="201"/>
      <c r="D27" s="201"/>
      <c r="E27" s="201"/>
      <c r="F27" s="201"/>
      <c r="G27" s="201"/>
      <c r="H27" s="64"/>
      <c r="I27" s="64">
        <f>-H44</f>
        <v>-239.00865764046796</v>
      </c>
      <c r="J27" s="64">
        <f>+I27-I44</f>
        <v>-476.55192860153431</v>
      </c>
      <c r="K27" s="64"/>
      <c r="L27" s="64"/>
      <c r="M27" s="64">
        <f>+(J27-(L44))</f>
        <v>-715.79247791613159</v>
      </c>
      <c r="N27" s="64">
        <f>+(M27-(M44))</f>
        <v>-1433.9700808513521</v>
      </c>
      <c r="O27" s="64">
        <f>+(N27-(N44+(169882.49*1.5%/365)))</f>
        <v>-1681.07331206752</v>
      </c>
      <c r="P27" s="64">
        <f>+(O27-(O44+(169882.49*1.5%/365)))</f>
        <v>-1927.7577915739823</v>
      </c>
      <c r="Q27" s="64">
        <f>+(P27-P44-P55-P65)</f>
        <v>-2175.9486842430779</v>
      </c>
      <c r="R27" s="64"/>
      <c r="S27" s="64"/>
      <c r="T27" s="64">
        <f>+(Q27-Q44-Q55-Q65-Q75)</f>
        <v>-2433.3320919803882</v>
      </c>
      <c r="U27" s="64"/>
      <c r="V27" s="64">
        <f>+(T27-T44-T55-T65-T75)</f>
        <v>-3203.1962098787708</v>
      </c>
      <c r="W27" s="64">
        <f>+(V27-V44-V55-V65)</f>
        <v>-3459.1354943199267</v>
      </c>
      <c r="X27" s="64">
        <f>+(W27-W44-W55-W65)</f>
        <v>-3714.8619018060722</v>
      </c>
      <c r="Y27" s="64">
        <f>+(X27-X44-X55-X65)</f>
        <v>-3988.4570562603362</v>
      </c>
      <c r="Z27" s="64"/>
      <c r="AA27" s="64">
        <f>+(Y27-Y44-Y55-Y65)</f>
        <v>-4262.3470467225607</v>
      </c>
      <c r="AB27" s="64">
        <f t="shared" ref="AB27:AG27" si="130">+(AA27-AA44-AA55-AA65)</f>
        <v>-5098.5687266472332</v>
      </c>
      <c r="AC27" s="64">
        <f t="shared" si="130"/>
        <v>-5379.3902962531192</v>
      </c>
      <c r="AD27" s="64">
        <f t="shared" si="130"/>
        <v>-5660.1903890605317</v>
      </c>
      <c r="AE27" s="64">
        <f t="shared" si="130"/>
        <v>-6217.6738826405617</v>
      </c>
      <c r="AF27" s="64">
        <f t="shared" si="130"/>
        <v>-7047.9310185460336</v>
      </c>
      <c r="AG27" s="64">
        <f t="shared" si="130"/>
        <v>-7324.3712015898118</v>
      </c>
      <c r="AH27" s="64">
        <f>+(AG27-AG44-AG55-AG65-AG75)</f>
        <v>-7606.8488657836097</v>
      </c>
      <c r="AI27" s="64">
        <f>+(AH27-AH44-AH55-AH65-AH75-AH85-AH136)</f>
        <v>-7894.0800190665514</v>
      </c>
      <c r="AJ27" s="64">
        <f t="shared" ref="AJ27:AO27" si="131">+(AI27-AI44-AI55-AI65-AI75-AI85-AI95-AI136)</f>
        <v>-8185.2900554879025</v>
      </c>
      <c r="AK27" s="64">
        <f t="shared" si="131"/>
        <v>-9061.3217093213916</v>
      </c>
      <c r="AL27" s="64">
        <f t="shared" si="131"/>
        <v>-9355.6612523479962</v>
      </c>
      <c r="AM27" s="64">
        <f t="shared" si="131"/>
        <v>-9943.443169698603</v>
      </c>
      <c r="AN27" s="64">
        <f t="shared" si="131"/>
        <v>-10239.155911368247</v>
      </c>
      <c r="AO27" s="64">
        <f t="shared" si="131"/>
        <v>-11130.934342809802</v>
      </c>
      <c r="AP27" s="64">
        <f t="shared" ref="AP27" si="132">+(AO27-AO44-AO55-AO65-AO75-AO85-AO95-AO136)</f>
        <v>-11428.976827385284</v>
      </c>
      <c r="AQ27" s="64">
        <f>+(AP27-AP44-AP55-AP65-AP75)</f>
        <v>-11720.332647678979</v>
      </c>
      <c r="AR27" s="64">
        <f>+(AQ27-AQ44-AQ55-AQ65-AQ75)</f>
        <v>-12010.865813147131</v>
      </c>
      <c r="AS27" s="64">
        <f t="shared" ref="AS27:AU27" si="133">+(AR27-AR44-AR55-AR65-AR75-AR85-AR95-AR105-AR115-AR125-AR136)</f>
        <v>-12319.055988859851</v>
      </c>
      <c r="AT27" s="64">
        <f t="shared" si="133"/>
        <v>-13243.765447468644</v>
      </c>
      <c r="AU27" s="64">
        <f t="shared" si="133"/>
        <v>-13550.439611881156</v>
      </c>
      <c r="AV27" s="64">
        <f t="shared" ref="AV27:BD27" si="134">+(AU27-AU44-AU55-AU65-AU75-AU85-AU95-AU105-AU115-AU125-AU136-AU147)</f>
        <v>-13856.198342534424</v>
      </c>
      <c r="AW27" s="64">
        <f t="shared" si="134"/>
        <v>-14161.22892309417</v>
      </c>
      <c r="AX27" s="64">
        <f t="shared" si="134"/>
        <v>-14465.620802362813</v>
      </c>
      <c r="AY27" s="64">
        <f t="shared" si="134"/>
        <v>-15413.042803353925</v>
      </c>
      <c r="AZ27" s="64">
        <f t="shared" si="134"/>
        <v>-15731.051720292751</v>
      </c>
      <c r="BA27" s="64">
        <f t="shared" si="134"/>
        <v>-16049.482605335232</v>
      </c>
      <c r="BB27" s="64">
        <f t="shared" si="134"/>
        <v>-16369.365154541689</v>
      </c>
      <c r="BC27" s="64">
        <f t="shared" si="134"/>
        <v>-16689.814594874635</v>
      </c>
      <c r="BD27" s="64">
        <f t="shared" si="134"/>
        <v>-17647.518646226203</v>
      </c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</row>
    <row r="28" spans="1:86" x14ac:dyDescent="0.3">
      <c r="A28" s="201" t="s">
        <v>92</v>
      </c>
      <c r="B28" s="201"/>
      <c r="C28" s="201"/>
      <c r="D28" s="201"/>
      <c r="E28" s="201"/>
      <c r="F28" s="201"/>
      <c r="G28" s="201"/>
      <c r="H28" s="64"/>
      <c r="I28" s="64">
        <v>-23390.87</v>
      </c>
      <c r="J28" s="64">
        <v>10186.280000000001</v>
      </c>
      <c r="K28" s="64"/>
      <c r="L28" s="64"/>
      <c r="M28" s="64">
        <v>3996.27</v>
      </c>
      <c r="N28" s="64">
        <v>13612.41</v>
      </c>
      <c r="O28" s="64">
        <v>12256.54</v>
      </c>
      <c r="P28" s="64">
        <v>13579.65</v>
      </c>
      <c r="Q28" s="64">
        <v>21928.75</v>
      </c>
      <c r="R28" s="64"/>
      <c r="S28" s="64"/>
      <c r="T28" s="64">
        <v>22449.7</v>
      </c>
      <c r="U28" s="64"/>
      <c r="V28" s="64">
        <v>19856.52</v>
      </c>
      <c r="W28" s="64">
        <v>16452.53</v>
      </c>
      <c r="X28" s="64">
        <v>-7615.96</v>
      </c>
      <c r="Y28" s="64">
        <v>-1137.9000000000001</v>
      </c>
      <c r="Z28" s="64"/>
      <c r="AA28" s="64">
        <v>-15986.05</v>
      </c>
      <c r="AB28" s="64">
        <v>7653.27</v>
      </c>
      <c r="AC28" s="64">
        <v>9835.89</v>
      </c>
      <c r="AD28" s="64">
        <v>-27034.1</v>
      </c>
      <c r="AE28" s="64">
        <v>-53217.88</v>
      </c>
      <c r="AF28" s="64">
        <v>-48801.89</v>
      </c>
      <c r="AG28" s="64">
        <v>-81498.09</v>
      </c>
      <c r="AH28" s="64">
        <v>-43360.52</v>
      </c>
      <c r="AI28" s="64">
        <v>-35921.89</v>
      </c>
      <c r="AJ28" s="64">
        <v>-30540.75</v>
      </c>
      <c r="AK28" s="64">
        <v>-11743.23</v>
      </c>
      <c r="AL28" s="64">
        <v>-34003.9</v>
      </c>
      <c r="AM28" s="64">
        <v>378.47</v>
      </c>
      <c r="AN28" s="64">
        <v>11338.97</v>
      </c>
      <c r="AO28" s="64">
        <v>14013.7</v>
      </c>
      <c r="AP28" s="64">
        <v>-535.9</v>
      </c>
      <c r="AQ28" s="64">
        <v>-11034.99</v>
      </c>
      <c r="AR28" s="64">
        <v>-26626.1</v>
      </c>
      <c r="AS28" s="64">
        <v>-34200.86</v>
      </c>
      <c r="AT28" s="64">
        <v>-61281.83</v>
      </c>
      <c r="AU28" s="64">
        <v>-59553.48</v>
      </c>
      <c r="AV28" s="64">
        <v>-50346.25</v>
      </c>
      <c r="AW28" s="64">
        <v>-66068.55</v>
      </c>
      <c r="AX28" s="64">
        <v>-74308.100000000006</v>
      </c>
      <c r="AY28" s="64">
        <v>-67019.7</v>
      </c>
      <c r="AZ28" s="64">
        <v>-54877.21</v>
      </c>
      <c r="BA28" s="64">
        <v>-33350.28</v>
      </c>
      <c r="BB28" s="64">
        <v>-35444.239999999998</v>
      </c>
      <c r="BC28" s="64">
        <v>-32415.599999999999</v>
      </c>
      <c r="BD28" s="64">
        <v>-29758.71</v>
      </c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</row>
    <row r="29" spans="1:86" x14ac:dyDescent="0.3">
      <c r="A29" s="107"/>
      <c r="B29" s="106"/>
      <c r="C29" s="108"/>
      <c r="D29" s="108"/>
      <c r="E29" s="108"/>
      <c r="F29" s="109"/>
      <c r="G29" s="109"/>
      <c r="H29" s="110">
        <f>SUM(H23:H28)</f>
        <v>5965879.170897997</v>
      </c>
      <c r="I29" s="110">
        <f>SUM(I23:I28)</f>
        <v>5929334.9172976166</v>
      </c>
      <c r="J29" s="110">
        <f t="shared" ref="J29:AB29" si="135">SUM(J23:J28)</f>
        <v>5976615.9765257314</v>
      </c>
      <c r="K29" s="110">
        <f>SUM(K23:K28)</f>
        <v>5971742.8567005564</v>
      </c>
      <c r="L29" s="110">
        <f>SUM(L23:L28)</f>
        <v>3962898.4596106117</v>
      </c>
      <c r="M29" s="110">
        <f>SUM(M23:M28)</f>
        <v>5974800.2405969938</v>
      </c>
      <c r="N29" s="110">
        <f t="shared" si="135"/>
        <v>5992771.629995943</v>
      </c>
      <c r="O29" s="110">
        <f>SUM(O23:O28)</f>
        <v>6106943.5352908093</v>
      </c>
      <c r="P29" s="110">
        <f t="shared" si="135"/>
        <v>6189303.4188033985</v>
      </c>
      <c r="Q29" s="110">
        <f t="shared" si="135"/>
        <v>6194143.5521634798</v>
      </c>
      <c r="R29" s="110"/>
      <c r="S29" s="110"/>
      <c r="T29" s="110">
        <f>SUM(T23:T28)</f>
        <v>6394269.3424868472</v>
      </c>
      <c r="U29" s="110"/>
      <c r="V29" s="110">
        <f>SUM(V23:V28)</f>
        <v>6377014.0650354503</v>
      </c>
      <c r="W29" s="110">
        <f>SUM(W23:W28)</f>
        <v>6838452.8992496887</v>
      </c>
      <c r="X29" s="110">
        <f t="shared" si="135"/>
        <v>6806419.5270731803</v>
      </c>
      <c r="Y29" s="110">
        <f t="shared" si="135"/>
        <v>6813670.2755340608</v>
      </c>
      <c r="Z29" s="110"/>
      <c r="AA29" s="110">
        <f t="shared" si="135"/>
        <v>6931693.8338387366</v>
      </c>
      <c r="AB29" s="110">
        <f t="shared" si="135"/>
        <v>6982943.3049327228</v>
      </c>
      <c r="AC29" s="110">
        <f t="shared" ref="AC29:AD29" si="136">SUM(AC23:AC28)</f>
        <v>6982374.2053556778</v>
      </c>
      <c r="AD29" s="110">
        <f t="shared" si="136"/>
        <v>6932004.6094206478</v>
      </c>
      <c r="AE29" s="110">
        <f t="shared" ref="AE29" si="137">SUM(AE23:AE28)</f>
        <v>6883119.7240125164</v>
      </c>
      <c r="AF29" s="110">
        <f t="shared" ref="AF29:AM29" si="138">SUM(AF23:AF28)</f>
        <v>7089466.1776830927</v>
      </c>
      <c r="AG29" s="110">
        <f t="shared" si="138"/>
        <v>7033758.1300062891</v>
      </c>
      <c r="AH29" s="110">
        <f t="shared" si="138"/>
        <v>7137452.3552058488</v>
      </c>
      <c r="AI29" s="110">
        <f t="shared" si="138"/>
        <v>7234301.5376518164</v>
      </c>
      <c r="AJ29" s="110">
        <f t="shared" si="138"/>
        <v>7254079.6165027181</v>
      </c>
      <c r="AK29" s="110">
        <f t="shared" si="138"/>
        <v>7311561.6430385523</v>
      </c>
      <c r="AL29" s="110">
        <f t="shared" si="138"/>
        <v>7306750.4994495343</v>
      </c>
      <c r="AM29" s="110">
        <f t="shared" si="138"/>
        <v>7351338.4925708026</v>
      </c>
      <c r="AN29" s="110">
        <f t="shared" ref="AN29:AO29" si="139">SUM(AN23:AN28)</f>
        <v>7389568.2263129894</v>
      </c>
      <c r="AO29" s="110">
        <f t="shared" si="139"/>
        <v>7408931.0916057117</v>
      </c>
      <c r="AP29" s="110">
        <f t="shared" ref="AP29:AV29" si="140">SUM(AP23:AP28)</f>
        <v>7690330.6595251542</v>
      </c>
      <c r="AQ29" s="110">
        <f t="shared" si="140"/>
        <v>7668787.8519266294</v>
      </c>
      <c r="AR29" s="110">
        <f t="shared" si="140"/>
        <v>7649472.5136977956</v>
      </c>
      <c r="AS29" s="110">
        <f t="shared" si="140"/>
        <v>7650744.3950483697</v>
      </c>
      <c r="AT29" s="110">
        <f t="shared" si="140"/>
        <v>7612415.7401576471</v>
      </c>
      <c r="AU29" s="110">
        <f t="shared" si="140"/>
        <v>7589661.7049493333</v>
      </c>
      <c r="AV29" s="110">
        <f t="shared" si="140"/>
        <v>7571408.3563362947</v>
      </c>
      <c r="AW29" s="110">
        <f t="shared" ref="AW29:AX29" si="141">SUM(AW23:AW28)</f>
        <v>7838929.7617512364</v>
      </c>
      <c r="AX29" s="110">
        <f t="shared" si="141"/>
        <v>7883715.7296403935</v>
      </c>
      <c r="AY29" s="110">
        <f t="shared" ref="AY29:AZ29" si="142">SUM(AY23:AY28)</f>
        <v>7887234.2132952865</v>
      </c>
      <c r="AZ29" s="110">
        <f t="shared" si="142"/>
        <v>7897491.9952298366</v>
      </c>
      <c r="BA29" s="110">
        <f t="shared" ref="BA29" si="143">SUM(BA23:BA28)</f>
        <v>7933087.2790027652</v>
      </c>
      <c r="BB29" s="110">
        <f>SUM(BB23:BB28)</f>
        <v>7947670.513051182</v>
      </c>
      <c r="BC29" s="110">
        <f>SUM(BC23:BC28)</f>
        <v>7917490.4172211457</v>
      </c>
      <c r="BD29" s="110">
        <f>SUM(BD23:BD28)</f>
        <v>7948551.2509273384</v>
      </c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10"/>
      <c r="BX29" s="110"/>
      <c r="BY29" s="110"/>
      <c r="BZ29" s="110"/>
      <c r="CA29" s="110"/>
      <c r="CB29" s="110"/>
      <c r="CC29" s="110"/>
      <c r="CD29" s="110"/>
      <c r="CE29" s="110"/>
      <c r="CF29" s="110"/>
      <c r="CG29" s="110"/>
      <c r="CH29" s="110"/>
    </row>
    <row r="30" spans="1:86" x14ac:dyDescent="0.3">
      <c r="A30" s="226" t="s">
        <v>93</v>
      </c>
      <c r="B30" s="226"/>
      <c r="C30" s="226"/>
      <c r="D30" s="226"/>
      <c r="E30" s="226"/>
      <c r="F30" s="226"/>
      <c r="G30" s="226"/>
      <c r="H30" s="110">
        <f>+(7943518.97/H3)+150000</f>
        <v>5965806.2525167475</v>
      </c>
      <c r="I30" s="110">
        <f t="shared" ref="I30:N30" si="144">+I38+I153</f>
        <v>5965639.7952443669</v>
      </c>
      <c r="J30" s="110">
        <f t="shared" si="144"/>
        <v>5929097.3740266552</v>
      </c>
      <c r="K30" s="110">
        <f t="shared" si="144"/>
        <v>5976376.5046035917</v>
      </c>
      <c r="L30" s="110">
        <f t="shared" si="144"/>
        <v>5971025.0465554716</v>
      </c>
      <c r="M30" s="110">
        <f t="shared" si="144"/>
        <v>5976376.5046035917</v>
      </c>
      <c r="N30" s="110">
        <f t="shared" si="144"/>
        <v>5974082.0629940582</v>
      </c>
      <c r="O30" s="110">
        <f>+O38+O153+124638.28</f>
        <v>6117169.7882369179</v>
      </c>
      <c r="P30" s="110">
        <v>6170939.71</v>
      </c>
      <c r="Q30" s="110">
        <f>+Q38+Q49+Q59+Q153</f>
        <v>6189064.1167955277</v>
      </c>
      <c r="R30" s="110"/>
      <c r="S30" s="110"/>
      <c r="T30" s="110">
        <f>+T38+T49+T59+T153+218881.19</f>
        <v>6412776.3494698787</v>
      </c>
      <c r="U30" s="110"/>
      <c r="V30" s="110">
        <f>U38+T160</f>
        <v>6393159.4612921048</v>
      </c>
      <c r="W30" s="110">
        <f>V45+V160+(635584.28/W3)</f>
        <v>6843413.3734744648</v>
      </c>
      <c r="X30" s="110">
        <f>+W45+X49+W160</f>
        <v>6838192.8123069284</v>
      </c>
      <c r="Y30" s="110">
        <f>+X45+X56+X160</f>
        <v>6806145.9319187263</v>
      </c>
      <c r="Z30" s="110"/>
      <c r="AA30" s="110">
        <f>+Y45+Y56+Y160+Z62</f>
        <v>6944372.1755435979</v>
      </c>
      <c r="AB30" s="110">
        <f>AB38+AB49+AB59+AB153</f>
        <v>6930857.6121588117</v>
      </c>
      <c r="AC30" s="110">
        <f>AC38+AC49+AC59+AC153</f>
        <v>6982662.483363118</v>
      </c>
      <c r="AD30" s="110">
        <f>AD38+AD49+AD59+AD153</f>
        <v>6982093.4052628707</v>
      </c>
      <c r="AE30" s="110">
        <f>AE38+AE49+AE59+AE153</f>
        <v>6931447.1259270683</v>
      </c>
      <c r="AF30" s="110">
        <f>+AF38+AF49+AF59+AF153+(294522.44/AF3)</f>
        <v>7096479.8163184486</v>
      </c>
      <c r="AG30" s="110">
        <f>+AG38+AG49+AG59+AG153+AG69+(12304.57)</f>
        <v>7101494.0080582099</v>
      </c>
      <c r="AH30" s="110">
        <f>+AH38+AH49+AH59+AH153+AH69+AH79+AH130</f>
        <v>7083475.5623420961</v>
      </c>
      <c r="AI30" s="110">
        <f>+AI38+AI49+AI59+AI153+AI69+AI79+AI130+AI89</f>
        <v>7226400.9440525658</v>
      </c>
      <c r="AJ30" s="110">
        <f>+AJ38+AJ49+AJ59+AJ153+AJ69+AJ79+AJ130+AJ89</f>
        <v>7234108.087615395</v>
      </c>
      <c r="AK30" s="110">
        <f>+AK38+AK49+AK59+AK153+AK69+AK79+AK130+AK89</f>
        <v>7253203.5848488854</v>
      </c>
      <c r="AL30" s="110">
        <f>+AL38+AL49+AL59+AL153+AL69+AL79+AL130+AL89+(8042.35/AL3)</f>
        <v>7317129.0746325515</v>
      </c>
      <c r="AM30" s="110">
        <f>+AM38+AM49+AM59+AM153+AM69+AM79+AM130+AM89+AM99</f>
        <v>7306162.717532184</v>
      </c>
      <c r="AN30" s="110">
        <f>+AN38+AN49+AN59+AN153+AN69+AN79+AN130+AN89+AN99</f>
        <v>7351042.5374129955</v>
      </c>
      <c r="AO30" s="110">
        <f>+AO38+AO49+AO59+AO153+AO69+AO79+AO130+AO89+AO99</f>
        <v>7388610.9168213932</v>
      </c>
      <c r="AP30" s="110">
        <f>+AP38+AP49+AP59+AP153+AP69+AP79+AP130+AP89+AP99+(359950.37/AP3)+AP109</f>
        <v>7697506.1578654321</v>
      </c>
      <c r="AQ30" s="110">
        <f>+AP45+AP56+AP76+AP86+AP96+AP106+AP116+AP160+AP66+AP137+263661.27</f>
        <v>7689902.941722339</v>
      </c>
      <c r="AR30" s="110">
        <f>+AQ45+AQ56+AQ76+AQ86+AQ96+AQ106+AQ116+AQ160+AQ66+AQ137+AQ126</f>
        <v>7668417.3732951367</v>
      </c>
      <c r="AS30" s="110">
        <f>+AR45+AR56+AR76+AR86+AR96+AR106+AR116+AR160+AR66+AR137+AR126</f>
        <v>7649128.9235220822</v>
      </c>
      <c r="AT30" s="110">
        <f>+AS45+AS56+AS76+AS86+AS96+AS106+AS116+AS160+AS66+AS137+AS126</f>
        <v>7649755.1855897615</v>
      </c>
      <c r="AU30" s="110">
        <f>+AT45+AT56+AT76+AT86+AT96+AT106+AT116+AT160+AT66+AT137+AT126</f>
        <v>7612106.965993234</v>
      </c>
      <c r="AV30" s="110">
        <f>+AU45+AU56+AU76+AU86+AU96+AU106+AU116+AU160+AU66+AU137+AU126</f>
        <v>7589355.9462186797</v>
      </c>
      <c r="AW30" s="110">
        <f>+AV45+AV56+AV76+AV86+AV96+AV106+AV116+AV160+AV66+AV137+AV126+(389891.89/AW3)</f>
        <v>7854156.7142634857</v>
      </c>
      <c r="AX30" s="110">
        <f>+AW45+AW56+AW76+AW86+AW96+AW106+AW116+AW160+AW66+AW137+AW126+AX49+50000</f>
        <v>7888625.3713642173</v>
      </c>
      <c r="AY30" s="110">
        <f>+AX45+AX56+AX76+AX86+AX96+AX106+AX116+AX160+AX66+AX137+AX126+AY141</f>
        <v>7882768.3076394033</v>
      </c>
      <c r="AZ30" s="110">
        <f>+AY45+AY56+AY76+AY86+AY96+AY106+AY116+AY160+AY66+AY137+AY126+AY148</f>
        <v>7886916.2043783469</v>
      </c>
      <c r="BA30" s="110">
        <f>+AZ45+AZ56+AZ76+AZ86+AZ96+AZ106+AZ116+AZ160+AZ66+AZ137+AZ126+AZ148</f>
        <v>7897173.5643447954</v>
      </c>
      <c r="BB30" s="110">
        <f>+BA45+BA56+BA76+BA86+BA96+BA106+BA116+BA155+BA66+BA137+BA126+BA148</f>
        <v>7932767.3964535575</v>
      </c>
      <c r="BC30" s="110">
        <f>+BB45+BB56+BB76+BB86+BB96+BB106+BB116+BB155+BB66+BB137+BB126+BB148</f>
        <v>7947350.0636108499</v>
      </c>
      <c r="BD30" s="110">
        <f>+BC45+BC56+BC76+BC86+BC96+BC106+BC116+BC155+BC66+BC137+BC126+BC148</f>
        <v>7916532.7131697927</v>
      </c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10"/>
      <c r="BX30" s="110"/>
      <c r="BY30" s="110"/>
      <c r="BZ30" s="110"/>
      <c r="CA30" s="110"/>
      <c r="CB30" s="110"/>
      <c r="CC30" s="110"/>
      <c r="CD30" s="110"/>
      <c r="CE30" s="110"/>
      <c r="CF30" s="110"/>
      <c r="CG30" s="110"/>
      <c r="CH30" s="110"/>
    </row>
    <row r="31" spans="1:86" x14ac:dyDescent="0.3">
      <c r="A31" s="144" t="s">
        <v>94</v>
      </c>
      <c r="B31"/>
      <c r="C31"/>
      <c r="D31"/>
      <c r="E31"/>
      <c r="H31" s="64">
        <f>+H29-H30</f>
        <v>72.918381249532104</v>
      </c>
      <c r="I31" s="64">
        <f>+I29-I30</f>
        <v>-36304.877946750261</v>
      </c>
      <c r="J31" s="64">
        <f>+J29-J30</f>
        <v>47518.602499076165</v>
      </c>
      <c r="K31" s="64">
        <f>+K29-K30</f>
        <v>-4633.6479030353948</v>
      </c>
      <c r="L31" s="64">
        <f>+L29-L30</f>
        <v>-2008126.5869448599</v>
      </c>
      <c r="M31" s="64">
        <f t="shared" ref="M31:AC31" si="145">+M29-M30</f>
        <v>-1576.2640065979213</v>
      </c>
      <c r="N31" s="64">
        <f t="shared" si="145"/>
        <v>18689.567001884803</v>
      </c>
      <c r="O31" s="64">
        <f t="shared" si="145"/>
        <v>-10226.25294610858</v>
      </c>
      <c r="P31" s="64">
        <f t="shared" si="145"/>
        <v>18363.708803398535</v>
      </c>
      <c r="Q31" s="64">
        <f t="shared" si="145"/>
        <v>5079.4353679521009</v>
      </c>
      <c r="R31" s="64"/>
      <c r="S31" s="64"/>
      <c r="T31" s="64">
        <f>+T29-T30</f>
        <v>-18507.006983031519</v>
      </c>
      <c r="U31" s="64"/>
      <c r="V31" s="64">
        <f t="shared" si="145"/>
        <v>-16145.396256654523</v>
      </c>
      <c r="W31" s="64">
        <f>+W29-W30</f>
        <v>-4960.4742247760296</v>
      </c>
      <c r="X31" s="64">
        <f t="shared" si="145"/>
        <v>-31773.285233748145</v>
      </c>
      <c r="Y31" s="64">
        <f t="shared" si="145"/>
        <v>7524.343615334481</v>
      </c>
      <c r="Z31" s="64"/>
      <c r="AA31" s="64">
        <f t="shared" si="145"/>
        <v>-12678.341704861261</v>
      </c>
      <c r="AB31" s="64">
        <f t="shared" si="145"/>
        <v>52085.692773911171</v>
      </c>
      <c r="AC31" s="64">
        <f t="shared" si="145"/>
        <v>-288.27800744026899</v>
      </c>
      <c r="AD31" s="64">
        <f t="shared" ref="AD31" si="146">+AD29-AD30</f>
        <v>-50088.795842222869</v>
      </c>
      <c r="AE31" s="64">
        <f>+AE29-AE30</f>
        <v>-48327.401914551854</v>
      </c>
      <c r="AF31" s="64">
        <f t="shared" ref="AF31" si="147">+AF29-AF30</f>
        <v>-7013.6386353559792</v>
      </c>
      <c r="AG31" s="64">
        <f t="shared" ref="AG31:AM31" si="148">+AG29-AG30</f>
        <v>-67735.878051920794</v>
      </c>
      <c r="AH31" s="64">
        <f t="shared" si="148"/>
        <v>53976.792863752693</v>
      </c>
      <c r="AI31" s="64">
        <f t="shared" si="148"/>
        <v>7900.5935992505401</v>
      </c>
      <c r="AJ31" s="64">
        <f t="shared" si="148"/>
        <v>19971.528887323104</v>
      </c>
      <c r="AK31" s="64">
        <f t="shared" si="148"/>
        <v>58358.05818966683</v>
      </c>
      <c r="AL31" s="64">
        <f t="shared" si="148"/>
        <v>-10378.575183017179</v>
      </c>
      <c r="AM31" s="64">
        <f t="shared" si="148"/>
        <v>45175.775038618594</v>
      </c>
      <c r="AN31" s="64">
        <f t="shared" ref="AN31:AO31" si="149">+AN29-AN30</f>
        <v>38525.688899993896</v>
      </c>
      <c r="AO31" s="64">
        <f t="shared" si="149"/>
        <v>20320.174784318544</v>
      </c>
      <c r="AP31" s="64">
        <f>+AP29-AP30</f>
        <v>-7175.4983402779326</v>
      </c>
      <c r="AQ31" s="64">
        <f>+AQ29-AQ30</f>
        <v>-21115.089795709588</v>
      </c>
      <c r="AR31" s="64">
        <f>+AR29-AR30</f>
        <v>-18944.859597341157</v>
      </c>
      <c r="AS31" s="64">
        <f t="shared" ref="AS31" si="150">+AS29-AS30</f>
        <v>1615.4715262874961</v>
      </c>
      <c r="AT31" s="64">
        <f t="shared" ref="AT31:AY31" si="151">+AT29-AT30</f>
        <v>-37339.445432114415</v>
      </c>
      <c r="AU31" s="64">
        <f t="shared" si="151"/>
        <v>-22445.261043900624</v>
      </c>
      <c r="AV31" s="64">
        <f t="shared" si="151"/>
        <v>-17947.589882384986</v>
      </c>
      <c r="AW31" s="64">
        <f t="shared" si="151"/>
        <v>-15226.952512249351</v>
      </c>
      <c r="AX31" s="64">
        <f t="shared" si="151"/>
        <v>-4909.6417238237336</v>
      </c>
      <c r="AY31" s="64">
        <f t="shared" si="151"/>
        <v>4465.9056558832526</v>
      </c>
      <c r="AZ31" s="64">
        <f t="shared" ref="AZ31:BA31" si="152">+AZ29-AZ30</f>
        <v>10575.790851489641</v>
      </c>
      <c r="BA31" s="64">
        <f t="shared" si="152"/>
        <v>35913.714657969773</v>
      </c>
      <c r="BB31" s="64">
        <f>+BB29-BB30</f>
        <v>14903.116597624496</v>
      </c>
      <c r="BC31" s="64">
        <f>+BC29-BC30</f>
        <v>-29859.646389704198</v>
      </c>
      <c r="BD31" s="64">
        <f>+BD29-BD30</f>
        <v>32018.53775754571</v>
      </c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</row>
    <row r="32" spans="1:86" x14ac:dyDescent="0.3">
      <c r="A32" t="s">
        <v>95</v>
      </c>
      <c r="B32" s="201" t="s">
        <v>96</v>
      </c>
      <c r="C32" s="201"/>
      <c r="D32" s="201"/>
      <c r="E32" s="201"/>
      <c r="F32" s="201"/>
      <c r="G32" s="201"/>
      <c r="H32" s="64"/>
      <c r="I32" s="64">
        <f>23390.87-22329.33</f>
        <v>1061.5399999999972</v>
      </c>
      <c r="J32" s="64">
        <v>33577.15</v>
      </c>
      <c r="K32" s="64">
        <v>-6190.01</v>
      </c>
      <c r="L32" s="64"/>
      <c r="M32" s="64">
        <v>-6190.01</v>
      </c>
      <c r="N32" s="64">
        <v>9616.14</v>
      </c>
      <c r="O32" s="64">
        <f>+O28-N28</f>
        <v>-1355.869999999999</v>
      </c>
      <c r="P32" s="64">
        <v>1491.91</v>
      </c>
      <c r="Q32" s="64">
        <f>+Q28-P28</f>
        <v>8349.1</v>
      </c>
      <c r="R32" s="64"/>
      <c r="S32" s="64"/>
      <c r="T32" s="64">
        <f>+T28-Q28</f>
        <v>520.95000000000073</v>
      </c>
      <c r="U32" s="64"/>
      <c r="V32" s="64">
        <f>+V28-T28</f>
        <v>-2593.1800000000003</v>
      </c>
      <c r="W32" s="64">
        <f t="shared" ref="W32:Y32" si="153">+W28-V28</f>
        <v>-3403.9900000000016</v>
      </c>
      <c r="X32" s="64">
        <f>+X28-W28+748.74</f>
        <v>-23319.749999999996</v>
      </c>
      <c r="Y32" s="64">
        <f t="shared" si="153"/>
        <v>6478.0599999999995</v>
      </c>
      <c r="Z32" s="64"/>
      <c r="AA32" s="64">
        <f>+AA28-Y28</f>
        <v>-14848.15</v>
      </c>
      <c r="AB32" s="64">
        <f>+AB28-AA28</f>
        <v>23639.32</v>
      </c>
      <c r="AC32" s="64">
        <f>+AC28-AB28-300.87</f>
        <v>1881.7499999999991</v>
      </c>
      <c r="AD32" s="64">
        <f>+AD28-AC28</f>
        <v>-36869.99</v>
      </c>
      <c r="AE32" s="64">
        <f>+AE28-AD28</f>
        <v>-26183.78</v>
      </c>
      <c r="AF32" s="64">
        <f>+AF28-AE28</f>
        <v>4415.989999999998</v>
      </c>
      <c r="AG32" s="64">
        <f>+AG28-AF28</f>
        <v>-32696.199999999997</v>
      </c>
      <c r="AH32" s="64">
        <f>+AH28-AG28</f>
        <v>38137.57</v>
      </c>
      <c r="AI32" s="64">
        <f>+AI28-AH28-986.27</f>
        <v>6452.3599999999969</v>
      </c>
      <c r="AJ32" s="64">
        <f t="shared" ref="AJ32:AO32" si="154">+AJ28-AI28</f>
        <v>5381.1399999999994</v>
      </c>
      <c r="AK32" s="64">
        <f t="shared" si="154"/>
        <v>18797.52</v>
      </c>
      <c r="AL32" s="64">
        <f t="shared" si="154"/>
        <v>-22260.670000000002</v>
      </c>
      <c r="AM32" s="64">
        <f t="shared" si="154"/>
        <v>34382.370000000003</v>
      </c>
      <c r="AN32" s="64">
        <f t="shared" si="154"/>
        <v>10960.5</v>
      </c>
      <c r="AO32" s="64">
        <f t="shared" si="154"/>
        <v>2674.7300000000014</v>
      </c>
      <c r="AP32" s="64">
        <f>+AP28-AO28</f>
        <v>-14549.6</v>
      </c>
      <c r="AQ32" s="64">
        <f>+AQ28-AP28</f>
        <v>-10499.09</v>
      </c>
      <c r="AR32" s="64">
        <f>+AR28-AQ28+121.03</f>
        <v>-15470.079999999998</v>
      </c>
      <c r="AS32" s="64">
        <f>+AS28-AR28</f>
        <v>-7574.760000000002</v>
      </c>
      <c r="AT32" s="64">
        <f>+AT28-AS28+2349.93</f>
        <v>-24731.040000000001</v>
      </c>
      <c r="AU32" s="64">
        <f>+AU28-AT28</f>
        <v>1728.3499999999985</v>
      </c>
      <c r="AV32" s="64">
        <f>+AV28-AU28</f>
        <v>9207.2300000000032</v>
      </c>
      <c r="AW32" s="64">
        <f>+AW28-AV28</f>
        <v>-15722.300000000003</v>
      </c>
      <c r="AX32" s="64">
        <f>+AX28-AW28</f>
        <v>-8239.5500000000029</v>
      </c>
      <c r="AY32" s="64">
        <f>+AY28-AX28</f>
        <v>7288.4000000000087</v>
      </c>
      <c r="AZ32" s="64">
        <f>+AZ28-AY28-1031.69</f>
        <v>11110.799999999997</v>
      </c>
      <c r="BA32" s="64">
        <f>+BA28-AZ28</f>
        <v>21526.93</v>
      </c>
      <c r="BB32" s="64">
        <f>+BB28-BA28</f>
        <v>-2093.9599999999991</v>
      </c>
      <c r="BC32" s="64">
        <f>+BC28-BB28</f>
        <v>3028.6399999999994</v>
      </c>
      <c r="BD32" s="64">
        <f>+BD28-BC28</f>
        <v>2656.8899999999994</v>
      </c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</row>
    <row r="33" spans="1:86" x14ac:dyDescent="0.3">
      <c r="A33" t="s">
        <v>97</v>
      </c>
      <c r="B33" s="201"/>
      <c r="C33" s="201"/>
      <c r="D33" s="201"/>
      <c r="E33" s="201"/>
      <c r="F33" s="201"/>
      <c r="G33" s="201"/>
      <c r="H33" s="64"/>
      <c r="I33" s="64">
        <f>+I31+I32</f>
        <v>-35243.337946750267</v>
      </c>
      <c r="J33" s="64">
        <f>+J31-J32</f>
        <v>13941.452499076164</v>
      </c>
      <c r="K33" s="64">
        <f>+K31-K32</f>
        <v>1556.3620969646054</v>
      </c>
      <c r="L33" s="64"/>
      <c r="M33" s="64">
        <f>+M31-M32</f>
        <v>4613.745993402079</v>
      </c>
      <c r="N33" s="64">
        <f>+N31-N32</f>
        <v>9073.4270018848038</v>
      </c>
      <c r="O33" s="64">
        <f>+O31-O32</f>
        <v>-8870.3829461085807</v>
      </c>
      <c r="P33" s="64">
        <f>+P31-P32</f>
        <v>16871.798803398535</v>
      </c>
      <c r="Q33" s="64">
        <f>+Q31-Q32</f>
        <v>-3269.6646320478994</v>
      </c>
      <c r="R33" s="64"/>
      <c r="S33" s="64"/>
      <c r="T33" s="64">
        <f>+T31-T32</f>
        <v>-19027.956983031519</v>
      </c>
      <c r="U33" s="64"/>
      <c r="V33" s="64">
        <f t="shared" ref="V33:Y33" si="155">+V31-V32</f>
        <v>-13552.216256654523</v>
      </c>
      <c r="W33" s="64">
        <f>+W31-W32</f>
        <v>-1556.484224776028</v>
      </c>
      <c r="X33" s="64">
        <f t="shared" si="155"/>
        <v>-8453.535233748149</v>
      </c>
      <c r="Y33" s="64">
        <f t="shared" si="155"/>
        <v>1046.2836153344815</v>
      </c>
      <c r="Z33" s="64"/>
      <c r="AA33" s="64">
        <f t="shared" ref="AA33" si="156">+AA31-AA32</f>
        <v>2169.8082951387387</v>
      </c>
      <c r="AB33" s="64">
        <f t="shared" ref="AB33:AH33" si="157">+AB31-AB32</f>
        <v>28446.372773911171</v>
      </c>
      <c r="AC33" s="64">
        <f t="shared" si="157"/>
        <v>-2170.0280074402681</v>
      </c>
      <c r="AD33" s="64">
        <f t="shared" si="157"/>
        <v>-13218.805842222871</v>
      </c>
      <c r="AE33" s="64">
        <f t="shared" si="157"/>
        <v>-22143.621914551855</v>
      </c>
      <c r="AF33" s="64">
        <f t="shared" si="157"/>
        <v>-11429.628635355977</v>
      </c>
      <c r="AG33" s="64">
        <f t="shared" si="157"/>
        <v>-35039.678051920797</v>
      </c>
      <c r="AH33" s="64">
        <f t="shared" si="157"/>
        <v>15839.222863752693</v>
      </c>
      <c r="AI33" s="64">
        <f t="shared" ref="AI33:AN33" si="158">+AI31-AI32</f>
        <v>1448.2335992505432</v>
      </c>
      <c r="AJ33" s="64">
        <f t="shared" si="158"/>
        <v>14590.388887323104</v>
      </c>
      <c r="AK33" s="64">
        <f t="shared" si="158"/>
        <v>39560.538189666826</v>
      </c>
      <c r="AL33" s="64">
        <f t="shared" si="158"/>
        <v>11882.094816982823</v>
      </c>
      <c r="AM33" s="64">
        <f t="shared" si="158"/>
        <v>10793.405038618592</v>
      </c>
      <c r="AN33" s="64">
        <f t="shared" si="158"/>
        <v>27565.188899993896</v>
      </c>
      <c r="AO33" s="64">
        <f t="shared" ref="AO33:AP33" si="159">+AO31-AO32</f>
        <v>17645.444784318541</v>
      </c>
      <c r="AP33" s="64">
        <f t="shared" si="159"/>
        <v>7374.1016597220678</v>
      </c>
      <c r="AQ33" s="64">
        <f t="shared" ref="AQ33:AR33" si="160">+AQ31-AQ32</f>
        <v>-10615.999795709587</v>
      </c>
      <c r="AR33" s="64">
        <f t="shared" si="160"/>
        <v>-3474.7795973411594</v>
      </c>
      <c r="AS33" s="64">
        <f t="shared" ref="AS33:AY33" si="161">+AS31-AS32</f>
        <v>9190.2315262874981</v>
      </c>
      <c r="AT33" s="64">
        <f t="shared" si="161"/>
        <v>-12608.405432114414</v>
      </c>
      <c r="AU33" s="64">
        <f t="shared" si="161"/>
        <v>-24173.611043900622</v>
      </c>
      <c r="AV33" s="64">
        <f t="shared" si="161"/>
        <v>-27154.819882384989</v>
      </c>
      <c r="AW33" s="64">
        <f t="shared" si="161"/>
        <v>495.34748775065236</v>
      </c>
      <c r="AX33" s="64">
        <f t="shared" si="161"/>
        <v>3329.9082761762693</v>
      </c>
      <c r="AY33" s="64">
        <f t="shared" si="161"/>
        <v>-2822.4943441167561</v>
      </c>
      <c r="AZ33" s="64">
        <f>+AZ31-AZ32</f>
        <v>-535.00914851035668</v>
      </c>
      <c r="BA33" s="64">
        <f>+BA31-BA32</f>
        <v>14386.784657969773</v>
      </c>
      <c r="BB33" s="64">
        <f>+BB31-BB32</f>
        <v>16997.076597624495</v>
      </c>
      <c r="BC33" s="64">
        <f>+BC31-BC32</f>
        <v>-32888.286389704197</v>
      </c>
      <c r="BD33" s="64">
        <f>+BD31-BD32</f>
        <v>29361.64775754571</v>
      </c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</row>
    <row r="34" spans="1:86" x14ac:dyDescent="0.3">
      <c r="A34" s="201"/>
      <c r="B34" s="201"/>
      <c r="C34" s="201" t="s">
        <v>98</v>
      </c>
      <c r="D34" s="201"/>
      <c r="E34" s="201"/>
      <c r="F34" s="201"/>
      <c r="G34" s="201"/>
      <c r="H34" s="64"/>
      <c r="I34" s="64"/>
      <c r="J34" s="143"/>
      <c r="K34" s="43"/>
      <c r="L34" s="64"/>
      <c r="M34" s="64"/>
      <c r="N34" s="64"/>
      <c r="O34" s="146">
        <v>-1508.5999999999997</v>
      </c>
      <c r="P34" s="64">
        <v>1491.91</v>
      </c>
      <c r="Q34" s="64">
        <v>8349.1</v>
      </c>
      <c r="R34" s="64"/>
      <c r="S34" s="64"/>
      <c r="T34" s="64">
        <f>520.95-338.99</f>
        <v>181.96000000000004</v>
      </c>
      <c r="U34" s="64"/>
      <c r="V34" s="64">
        <v>-2593.1799999999998</v>
      </c>
      <c r="W34" s="64">
        <v>-3403.99</v>
      </c>
      <c r="X34" s="64">
        <f>+X32</f>
        <v>-23319.749999999996</v>
      </c>
      <c r="Y34" s="64">
        <f>+Y32-53.51</f>
        <v>6424.5499999999993</v>
      </c>
      <c r="Z34" s="64"/>
      <c r="AA34" s="64">
        <f t="shared" ref="AA34:AF34" si="162">+AA32</f>
        <v>-14848.15</v>
      </c>
      <c r="AB34" s="64">
        <f t="shared" si="162"/>
        <v>23639.32</v>
      </c>
      <c r="AC34" s="64">
        <f t="shared" si="162"/>
        <v>1881.7499999999991</v>
      </c>
      <c r="AD34" s="64">
        <f t="shared" si="162"/>
        <v>-36869.99</v>
      </c>
      <c r="AE34" s="64">
        <f t="shared" si="162"/>
        <v>-26183.78</v>
      </c>
      <c r="AF34" s="64">
        <f t="shared" si="162"/>
        <v>4415.989999999998</v>
      </c>
      <c r="AG34" s="64">
        <f t="shared" ref="AG34:AH34" si="163">+AG32</f>
        <v>-32696.199999999997</v>
      </c>
      <c r="AH34" s="64">
        <f t="shared" si="163"/>
        <v>38137.57</v>
      </c>
      <c r="AI34" s="64">
        <f t="shared" ref="AI34:AJ34" si="164">+AI32</f>
        <v>6452.3599999999969</v>
      </c>
      <c r="AJ34" s="64">
        <f t="shared" si="164"/>
        <v>5381.1399999999994</v>
      </c>
      <c r="AK34" s="64">
        <f t="shared" ref="AK34:AM34" si="165">+AK32</f>
        <v>18797.52</v>
      </c>
      <c r="AL34" s="64">
        <f t="shared" si="165"/>
        <v>-22260.670000000002</v>
      </c>
      <c r="AM34" s="64">
        <f t="shared" si="165"/>
        <v>34382.370000000003</v>
      </c>
      <c r="AN34" s="64">
        <f t="shared" ref="AN34:AO34" si="166">+AN32</f>
        <v>10960.5</v>
      </c>
      <c r="AO34" s="64">
        <f t="shared" si="166"/>
        <v>2674.7300000000014</v>
      </c>
      <c r="AP34" s="64">
        <f t="shared" ref="AP34" si="167">+AP32</f>
        <v>-14549.6</v>
      </c>
      <c r="AQ34" s="64">
        <f t="shared" ref="AQ34:AS34" si="168">+AQ32</f>
        <v>-10499.09</v>
      </c>
      <c r="AR34" s="64">
        <f t="shared" si="168"/>
        <v>-15470.079999999998</v>
      </c>
      <c r="AS34" s="64">
        <f t="shared" si="168"/>
        <v>-7574.760000000002</v>
      </c>
      <c r="AT34" s="64">
        <f t="shared" ref="AT34:AU34" si="169">+AT32</f>
        <v>-24731.040000000001</v>
      </c>
      <c r="AU34" s="64">
        <f t="shared" si="169"/>
        <v>1728.3499999999985</v>
      </c>
      <c r="AV34" s="64">
        <f t="shared" ref="AV34" si="170">+AV32</f>
        <v>9207.2300000000032</v>
      </c>
      <c r="AW34" s="64">
        <f t="shared" ref="AW34:AX34" si="171">+AW32</f>
        <v>-15722.300000000003</v>
      </c>
      <c r="AX34" s="64">
        <f t="shared" si="171"/>
        <v>-8239.5500000000029</v>
      </c>
      <c r="AY34" s="64">
        <f t="shared" ref="AY34:AZ34" si="172">+AY32</f>
        <v>7288.4000000000087</v>
      </c>
      <c r="AZ34" s="64">
        <f t="shared" si="172"/>
        <v>11110.799999999997</v>
      </c>
      <c r="BA34" s="64">
        <f t="shared" ref="BA34:BB34" si="173">+BA32</f>
        <v>21526.93</v>
      </c>
      <c r="BB34" s="64">
        <f t="shared" si="173"/>
        <v>-2093.9599999999991</v>
      </c>
      <c r="BC34" s="64">
        <f t="shared" ref="BC34:BD34" si="174">+BC32</f>
        <v>3028.6399999999994</v>
      </c>
      <c r="BD34" s="64">
        <f t="shared" si="174"/>
        <v>2656.8899999999994</v>
      </c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</row>
    <row r="35" spans="1:86" x14ac:dyDescent="0.3">
      <c r="A35" s="201"/>
      <c r="B35" s="201"/>
      <c r="C35" s="201"/>
      <c r="D35" s="201"/>
      <c r="E35" s="201"/>
      <c r="F35" s="201"/>
      <c r="G35" s="201"/>
      <c r="H35" s="64"/>
      <c r="I35" s="64"/>
      <c r="J35" s="143"/>
      <c r="K35" s="43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162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>
        <f>+AH28-7438.63</f>
        <v>-50799.149999999994</v>
      </c>
      <c r="AJ35" s="64"/>
      <c r="AK35" s="64"/>
      <c r="AL35" s="64"/>
      <c r="AM35" s="64"/>
      <c r="AN35" s="64"/>
      <c r="AO35" s="64"/>
      <c r="AP35" s="64"/>
      <c r="AQ35" s="162"/>
      <c r="AR35" s="162"/>
      <c r="AS35" s="162"/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</row>
    <row r="36" spans="1:86" x14ac:dyDescent="0.3">
      <c r="A36" s="201"/>
      <c r="B36" s="201"/>
      <c r="C36" s="201"/>
      <c r="D36" s="201"/>
      <c r="E36" s="201"/>
      <c r="F36" s="201"/>
      <c r="G36" s="201"/>
      <c r="H36" s="64"/>
      <c r="I36" s="64"/>
      <c r="J36" s="143"/>
      <c r="K36" s="43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190"/>
      <c r="AT36" s="190"/>
      <c r="AU36" s="190"/>
      <c r="AV36" s="190"/>
      <c r="AW36" s="190"/>
      <c r="AX36" s="190"/>
      <c r="AY36" s="190"/>
      <c r="AZ36" s="190"/>
      <c r="BA36" s="190"/>
      <c r="BB36" s="190"/>
      <c r="BC36" s="190"/>
      <c r="BD36" s="190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</row>
    <row r="37" spans="1:86" x14ac:dyDescent="0.3">
      <c r="A37" s="201"/>
      <c r="B37" s="201">
        <f>+B39+B152</f>
        <v>5965806.1900000004</v>
      </c>
      <c r="C37" s="201"/>
      <c r="D37" s="201"/>
      <c r="E37" s="201"/>
      <c r="F37" s="201"/>
      <c r="G37" s="201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</row>
    <row r="38" spans="1:86" x14ac:dyDescent="0.3">
      <c r="A38" s="201"/>
      <c r="B38" s="201"/>
      <c r="C38" s="201"/>
      <c r="D38" s="201"/>
      <c r="E38" s="201"/>
      <c r="F38" s="201"/>
      <c r="G38" s="201"/>
      <c r="H38" s="64">
        <f>+$B$43*100/H3</f>
        <v>5815806.1280521285</v>
      </c>
      <c r="I38" s="64">
        <f>H45</f>
        <v>5815638.3272604132</v>
      </c>
      <c r="J38" s="64">
        <f>I45</f>
        <v>5779982.0501149865</v>
      </c>
      <c r="K38" s="64">
        <f t="shared" ref="K38" si="175">J45</f>
        <v>5826910.6334895324</v>
      </c>
      <c r="L38" s="64">
        <f t="shared" ref="L38" si="176">K45</f>
        <v>5821520.0333218668</v>
      </c>
      <c r="M38" s="64">
        <f>J45</f>
        <v>5826910.6334895324</v>
      </c>
      <c r="N38" s="64">
        <f t="shared" ref="N38" si="177">M45</f>
        <v>5824500.1573160756</v>
      </c>
      <c r="O38" s="64">
        <f>N45</f>
        <v>5842722.6811677245</v>
      </c>
      <c r="P38" s="64">
        <f>O45</f>
        <v>5832533.4749832712</v>
      </c>
      <c r="Q38" s="64">
        <f>P45</f>
        <v>5849684.7408743193</v>
      </c>
      <c r="R38" s="64"/>
      <c r="S38" s="64"/>
      <c r="T38" s="64">
        <f>Q45</f>
        <v>5854441.0468816096</v>
      </c>
      <c r="U38" s="64">
        <f>+T45+T56+T66+T76</f>
        <v>6243683.536613429</v>
      </c>
      <c r="V38" s="64">
        <f>+U38</f>
        <v>6243683.536613429</v>
      </c>
      <c r="W38" s="64">
        <f>+V45</f>
        <v>6227599.9821170243</v>
      </c>
      <c r="X38" s="64">
        <f>W45</f>
        <v>6222420.1890887218</v>
      </c>
      <c r="Y38" s="64">
        <f>X45</f>
        <v>6192780.4880326521</v>
      </c>
      <c r="Z38" s="64"/>
      <c r="AA38" s="64">
        <f>Y45</f>
        <v>6199454.0516814925</v>
      </c>
      <c r="AB38" s="64">
        <f t="shared" ref="AB38:AG38" si="178">AA45</f>
        <v>6187082.2542212494</v>
      </c>
      <c r="AC38" s="64">
        <f t="shared" si="178"/>
        <v>6233785.9015313815</v>
      </c>
      <c r="AD38" s="64">
        <f t="shared" si="178"/>
        <v>6233309.151245689</v>
      </c>
      <c r="AE38" s="64">
        <f t="shared" si="178"/>
        <v>6187362.8935257439</v>
      </c>
      <c r="AF38" s="64">
        <f t="shared" si="178"/>
        <v>6142951.4628992034</v>
      </c>
      <c r="AG38" s="64">
        <f t="shared" si="178"/>
        <v>6136526.186694094</v>
      </c>
      <c r="AH38" s="64">
        <f t="shared" ref="AH38:AR38" si="179">AG45</f>
        <v>6077037.2606591089</v>
      </c>
      <c r="AI38" s="64">
        <f t="shared" si="179"/>
        <v>6124033.251205924</v>
      </c>
      <c r="AJ38" s="64">
        <f t="shared" si="179"/>
        <v>6130630.9365967372</v>
      </c>
      <c r="AK38" s="64">
        <f t="shared" si="179"/>
        <v>6146926.6477617556</v>
      </c>
      <c r="AL38" s="64">
        <f t="shared" si="179"/>
        <v>6196577.8323084814</v>
      </c>
      <c r="AM38" s="64">
        <f t="shared" si="179"/>
        <v>6186743.0262965802</v>
      </c>
      <c r="AN38" s="64">
        <f t="shared" ref="AN38" si="180">AM45</f>
        <v>6225561.1562356008</v>
      </c>
      <c r="AO38" s="64">
        <f t="shared" si="179"/>
        <v>6257676.9203896979</v>
      </c>
      <c r="AP38" s="64">
        <f t="shared" si="179"/>
        <v>6274692.2978863548</v>
      </c>
      <c r="AQ38" s="64">
        <f t="shared" si="179"/>
        <v>6268036.0271598212</v>
      </c>
      <c r="AR38" s="64">
        <f t="shared" si="179"/>
        <v>6250337.9764422514</v>
      </c>
      <c r="AS38" s="64">
        <f>+AR45+AR56+AR66+AR76+AR86+AR96+AR106+AR116+AR126</f>
        <v>7448097.4980451707</v>
      </c>
      <c r="AT38" s="64">
        <f t="shared" ref="AT38:BA38" si="181">AS45</f>
        <v>7448553.0075027514</v>
      </c>
      <c r="AU38" s="64">
        <f t="shared" si="181"/>
        <v>7411240.6015279749</v>
      </c>
      <c r="AV38" s="64">
        <f t="shared" si="181"/>
        <v>7389129.55231544</v>
      </c>
      <c r="AW38" s="64">
        <f t="shared" si="181"/>
        <v>7371595.4204945704</v>
      </c>
      <c r="AX38" s="64">
        <f t="shared" si="181"/>
        <v>7356053.0989894643</v>
      </c>
      <c r="AY38" s="64">
        <f t="shared" si="181"/>
        <v>7350337.4408808108</v>
      </c>
      <c r="AZ38" s="64">
        <f t="shared" si="181"/>
        <v>7354421.6805606242</v>
      </c>
      <c r="BA38" s="64">
        <f t="shared" si="181"/>
        <v>7364319.2467297241</v>
      </c>
      <c r="BB38" s="64">
        <f>BA45-463.15</f>
        <v>7397697.3884271979</v>
      </c>
      <c r="BC38" s="64">
        <f>BB45</f>
        <v>7411227.0509773549</v>
      </c>
      <c r="BD38" s="64">
        <f>BC45</f>
        <v>7382563.5078425277</v>
      </c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</row>
    <row r="39" spans="1:86" x14ac:dyDescent="0.3">
      <c r="A39" s="127" t="s">
        <v>99</v>
      </c>
      <c r="B39" s="201">
        <v>5815806.1900000004</v>
      </c>
      <c r="C39" s="201" t="s">
        <v>100</v>
      </c>
      <c r="D39" s="201"/>
      <c r="E39" s="201"/>
      <c r="F39" s="201"/>
      <c r="G39" s="201"/>
      <c r="H39" s="118">
        <f>+$B$39/($B$39+$B$152)</f>
        <v>0.97485670918183143</v>
      </c>
      <c r="I39" s="118">
        <f>+H38/(H38+H153)</f>
        <v>0.97485640907158788</v>
      </c>
      <c r="J39" s="118">
        <f>+I38/(I38+I153)</f>
        <v>0.97485576180721967</v>
      </c>
      <c r="K39" s="118">
        <f>+J38/(J38+J153)</f>
        <v>0.97485024878071802</v>
      </c>
      <c r="L39" s="118">
        <f>+K38/(K38+K153)</f>
        <v>0.97499055305519555</v>
      </c>
      <c r="M39" s="118">
        <f>+J38/(J38+J153)</f>
        <v>0.97485024878071802</v>
      </c>
      <c r="N39" s="118">
        <f>+M38/(M38+M153)</f>
        <v>0.97499055305519555</v>
      </c>
      <c r="O39" s="118">
        <f>+O38/(O38+O49+O153)</f>
        <v>0.95513495348830357</v>
      </c>
      <c r="P39" s="118">
        <f>+P38/(P38+P49+P153+P59)</f>
        <v>0.945159950941305</v>
      </c>
      <c r="Q39" s="118">
        <f>+Q38/(Q38+Q49+Q153+Q59)</f>
        <v>0.9451646695660787</v>
      </c>
      <c r="R39" s="118"/>
      <c r="S39" s="118"/>
      <c r="T39" s="118">
        <f>+Q45/(Q45+Q56+Q66+Q69+Q160)</f>
        <v>0.91293391938821866</v>
      </c>
      <c r="U39" s="43"/>
      <c r="V39" s="118">
        <f>+U38/(U38+T153)</f>
        <v>0.97655135966894013</v>
      </c>
      <c r="W39" s="118">
        <f>+V45/(V45+V160)</f>
        <v>0.97660907615991488</v>
      </c>
      <c r="X39" s="160">
        <f>+X38/(X38+X49+X153)</f>
        <v>0.9099509709480581</v>
      </c>
      <c r="Y39" s="160">
        <f>+Y38/(Y38+Y49+Y153)</f>
        <v>0.90988065051476796</v>
      </c>
      <c r="Z39" s="160"/>
      <c r="AA39" s="160">
        <f t="shared" ref="AA39:AF39" si="182">+AA38/(AA38+AA49+AA153+AA59)</f>
        <v>0.89273067384183025</v>
      </c>
      <c r="AB39" s="160">
        <f t="shared" si="182"/>
        <v>0.89268638896393482</v>
      </c>
      <c r="AC39" s="160">
        <f t="shared" si="182"/>
        <v>0.89275200059919713</v>
      </c>
      <c r="AD39" s="160">
        <f t="shared" si="182"/>
        <v>0.89275648282608577</v>
      </c>
      <c r="AE39" s="160">
        <f t="shared" si="182"/>
        <v>0.89265095457223087</v>
      </c>
      <c r="AF39" s="160">
        <f t="shared" si="182"/>
        <v>0.89257382916895234</v>
      </c>
      <c r="AG39" s="160">
        <f>+AG38/(AG38+AG49+AG153+AG59+AG69)</f>
        <v>0.86561746449463506</v>
      </c>
      <c r="AH39" s="160">
        <f>+AH38/(AH38+AH49+AH153+AH59+AH69+AH79+AH130)</f>
        <v>0.85791744563452466</v>
      </c>
      <c r="AI39" s="160">
        <f>+AI38/(AI38+AI49+AI153+AI59+AI69+AI79+AI130+AI89)</f>
        <v>0.84745273596341109</v>
      </c>
      <c r="AJ39" s="160">
        <f>+AJ38/(AJ38+AJ49+AJ153+AJ59+AJ69+AJ79+AJ130+AJ89)</f>
        <v>0.84746189334552768</v>
      </c>
      <c r="AK39" s="160">
        <f>+AK38/(AK38+AK49+AK153+AK59+AK69+AK79+AK130+AK89)</f>
        <v>0.84747747334736112</v>
      </c>
      <c r="AL39" s="160">
        <f>+AL38/(AL38+AL49+AL153+AL59+AL69+AL79+AL130+AL89)</f>
        <v>0.84753813191126115</v>
      </c>
      <c r="AM39" s="160">
        <f>+AM38/(AM38+AM49+AM153+AM59+AM69+AM79+AM130+AM89+AM99)</f>
        <v>0.84678418281741852</v>
      </c>
      <c r="AN39" s="160">
        <f>+AN38/(AN38+AN49+AN153+AN59+AN69+AN79+AN130+AN89+AN99)</f>
        <v>0.84689499816532443</v>
      </c>
      <c r="AO39" s="160">
        <f>+AO38/(AO38+AO49+AO153+AO59+AO69+AO79+AO130+AO89+AO99)</f>
        <v>0.84693550531170381</v>
      </c>
      <c r="AP39" s="160">
        <f>+AP38/(AP38+AP49+AP153+AP59+AP69+AP79+AP130+AP89+AP99+AP109)</f>
        <v>0.84407092092048863</v>
      </c>
      <c r="AQ39" s="160">
        <f>+AQ38/(AQ38+AQ49+AQ153+AQ59+AQ69+AQ79+AQ130+AQ89+AQ99+AQ109+AQ119)</f>
        <v>0.81509949796010606</v>
      </c>
      <c r="AR39" s="160">
        <f>+AR38/(AR38+AR49+AR153+AR59+AR69+AR79+AR130+AR89+AR99+AR109+AR119)</f>
        <v>0.81507535025528566</v>
      </c>
      <c r="AS39" s="118">
        <f>+AS38/(AS38+AS153+AS130)</f>
        <v>0.97371838970334079</v>
      </c>
      <c r="AT39" s="118">
        <f>+AT38/(AT38+AT153+AT130)</f>
        <v>0.97369821998146755</v>
      </c>
      <c r="AU39" s="118">
        <f>+AU38/(AU38+AU153+AU130)</f>
        <v>0.97361225146170161</v>
      </c>
      <c r="AV39" s="118">
        <f>+AV38/(AV38+AV153+AV130)</f>
        <v>0.97361747224374151</v>
      </c>
      <c r="AW39" s="118">
        <f>+AW38/(AW38+AW153+AW130)</f>
        <v>0.97364876733586903</v>
      </c>
      <c r="AX39" s="118">
        <f>+AX38/(AX38+AX49+AX153+AX130)</f>
        <v>0.9384366200051264</v>
      </c>
      <c r="AY39" s="118">
        <f t="shared" ref="AY39:BD39" si="183">+AY38/(AY38+AY49+AY153+AY130+AY141)</f>
        <v>0.93245635974831342</v>
      </c>
      <c r="AZ39" s="118">
        <f t="shared" si="183"/>
        <v>0.93248381116029688</v>
      </c>
      <c r="BA39" s="118">
        <f t="shared" si="183"/>
        <v>0.93252594573571579</v>
      </c>
      <c r="BB39" s="118">
        <f t="shared" si="183"/>
        <v>0.93254938897293671</v>
      </c>
      <c r="BC39" s="118">
        <f t="shared" si="183"/>
        <v>0.93254065715712164</v>
      </c>
      <c r="BD39" s="118">
        <f t="shared" si="183"/>
        <v>0.9325501169926369</v>
      </c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</row>
    <row r="40" spans="1:86" x14ac:dyDescent="0.3">
      <c r="A40" s="127"/>
      <c r="B40" s="201"/>
      <c r="C40" s="201"/>
      <c r="D40" s="201"/>
      <c r="E40" s="201"/>
      <c r="F40" s="201"/>
      <c r="G40" s="145">
        <f>+B43/(B43+B54)</f>
        <v>0.97911324117023701</v>
      </c>
      <c r="H40" s="118"/>
      <c r="I40" s="43">
        <f>+(I33*I39)-I32</f>
        <v>-35418.733874465397</v>
      </c>
      <c r="J40" s="43">
        <f>+(J33*J39)+J32</f>
        <v>47168.055296686063</v>
      </c>
      <c r="K40" s="43">
        <f t="shared" ref="K40" si="184">+(K33*K39)+K32</f>
        <v>-4672.7900225811745</v>
      </c>
      <c r="L40" s="43">
        <f t="shared" ref="L40" si="185">+(L33*L39)+L32</f>
        <v>0</v>
      </c>
      <c r="M40" s="43">
        <f t="shared" ref="M40" si="186">+(M33*M39)+M32</f>
        <v>-1692.2985705209421</v>
      </c>
      <c r="N40" s="43">
        <f t="shared" ref="N40" si="187">+(N33*N39)+N32</f>
        <v>18462.645610673608</v>
      </c>
      <c r="O40" s="43">
        <f>+(O33*O39)</f>
        <v>-8472.4128026548606</v>
      </c>
      <c r="P40" s="43">
        <f>+($P$33*P39)</f>
        <v>15946.548529311727</v>
      </c>
      <c r="Q40" s="43">
        <f>+(Q33*Q39)</f>
        <v>-3090.3714915414471</v>
      </c>
      <c r="R40" s="43"/>
      <c r="S40" s="43"/>
      <c r="T40" s="43">
        <f>+(T33*T39)</f>
        <v>-17371.267346469391</v>
      </c>
      <c r="U40" s="43"/>
      <c r="V40" s="43">
        <f>+(V33*V39)+V34</f>
        <v>-15827.615211963488</v>
      </c>
      <c r="W40" s="43">
        <f>+(W33*W39)</f>
        <v>-1520.076620815998</v>
      </c>
      <c r="X40" s="43">
        <f>+(X33*X39)</f>
        <v>-7692.3025938927476</v>
      </c>
      <c r="Y40" s="43">
        <f>+(Y33*Y39)</f>
        <v>951.99321654348125</v>
      </c>
      <c r="Z40" s="43"/>
      <c r="AA40" s="43">
        <f t="shared" ref="AA40:AF40" si="188">+(AA33*AA39)</f>
        <v>1937.0544214267991</v>
      </c>
      <c r="AB40" s="43">
        <f t="shared" si="188"/>
        <v>25393.689790664754</v>
      </c>
      <c r="AC40" s="43">
        <f t="shared" si="188"/>
        <v>-1937.2968449985888</v>
      </c>
      <c r="AD40" s="43">
        <f t="shared" si="188"/>
        <v>-11801.174610863805</v>
      </c>
      <c r="AE40" s="43">
        <f t="shared" si="188"/>
        <v>-19766.525239711285</v>
      </c>
      <c r="AF40" s="43">
        <f t="shared" si="188"/>
        <v>-10201.787397038792</v>
      </c>
      <c r="AG40" s="43">
        <f t="shared" ref="AG40:AM40" si="189">+(AG33*AG39)</f>
        <v>-30330.957272011994</v>
      </c>
      <c r="AH40" s="43">
        <f t="shared" si="189"/>
        <v>13588.745620106671</v>
      </c>
      <c r="AI40" s="43">
        <f t="shared" si="189"/>
        <v>1227.3095259990112</v>
      </c>
      <c r="AJ40" s="43">
        <f t="shared" si="189"/>
        <v>12364.798591098384</v>
      </c>
      <c r="AK40" s="43">
        <f t="shared" si="189"/>
        <v>33526.664949240629</v>
      </c>
      <c r="AL40" s="43">
        <f t="shared" si="189"/>
        <v>10070.5284443781</v>
      </c>
      <c r="AM40" s="43">
        <f t="shared" si="189"/>
        <v>9139.6846654440524</v>
      </c>
      <c r="AN40" s="43">
        <f t="shared" ref="AN40:AO40" si="190">+(AN33*AN39)</f>
        <v>23344.820602887154</v>
      </c>
      <c r="AO40" s="43">
        <f t="shared" si="190"/>
        <v>14944.553694856591</v>
      </c>
      <c r="AP40" s="43">
        <f t="shared" ref="AP40" si="191">+(AP33*AP39)</f>
        <v>6224.264778882909</v>
      </c>
      <c r="AQ40" s="43">
        <f t="shared" ref="AQ40:AR40" si="192">+(AQ33*AQ39)</f>
        <v>-8653.0961038274727</v>
      </c>
      <c r="AR40" s="43">
        <f t="shared" si="192"/>
        <v>-2832.2071973627658</v>
      </c>
      <c r="AS40" s="43">
        <f t="shared" ref="AS40:AY40" si="193">+(AS33*AS39)</f>
        <v>8948.6974427775385</v>
      </c>
      <c r="AT40" s="43">
        <f t="shared" si="193"/>
        <v>-12276.781926054471</v>
      </c>
      <c r="AU40" s="43">
        <f t="shared" si="193"/>
        <v>-23535.723874411538</v>
      </c>
      <c r="AV40" s="43">
        <f t="shared" si="193"/>
        <v>-26438.407093121768</v>
      </c>
      <c r="AW40" s="43">
        <f t="shared" si="193"/>
        <v>482.29447085134217</v>
      </c>
      <c r="AX40" s="43">
        <f t="shared" si="193"/>
        <v>3124.9078676219551</v>
      </c>
      <c r="AY40" s="43">
        <f t="shared" si="193"/>
        <v>-2631.8528015253137</v>
      </c>
      <c r="AZ40" s="43">
        <f t="shared" ref="AZ40" si="194">+(AZ33*AZ39)</f>
        <v>-498.88736980856265</v>
      </c>
      <c r="BA40" s="43">
        <f>+(BA33*BA39)</f>
        <v>13416.049969269348</v>
      </c>
      <c r="BB40" s="43">
        <f>+(BB33*BB39)</f>
        <v>15850.613395440925</v>
      </c>
      <c r="BC40" s="43">
        <f>+(BC33*BC39)</f>
        <v>-30669.664202626373</v>
      </c>
      <c r="BD40" s="43">
        <f>+(BD33*BD39)</f>
        <v>27381.208051395846</v>
      </c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</row>
    <row r="41" spans="1:86" x14ac:dyDescent="0.3">
      <c r="A41" s="127"/>
      <c r="B41" s="201"/>
      <c r="C41" s="201" t="s">
        <v>101</v>
      </c>
      <c r="D41" s="201"/>
      <c r="E41" s="201"/>
      <c r="F41" s="201"/>
      <c r="G41" s="145"/>
      <c r="H41" s="118"/>
      <c r="I41" s="43"/>
      <c r="J41" s="43"/>
      <c r="K41" s="43"/>
      <c r="L41" s="43"/>
      <c r="M41" s="43"/>
      <c r="N41" s="43"/>
      <c r="O41" s="118">
        <f>+O38/(O38+O49)</f>
        <v>0.97911333321193794</v>
      </c>
      <c r="P41" s="118">
        <f>+P38/(P38+P49+P59)</f>
        <v>0.96864103368274401</v>
      </c>
      <c r="Q41" s="118">
        <f>+Q38/(Q38+Q49+Q59)</f>
        <v>0.96864103368274412</v>
      </c>
      <c r="R41" s="118"/>
      <c r="S41" s="118"/>
      <c r="T41" s="118">
        <f>+T38/(T38+T49+T59+T69)</f>
        <v>0.93478789452252009</v>
      </c>
      <c r="U41" s="118"/>
      <c r="V41" s="43"/>
      <c r="W41" s="163">
        <v>1</v>
      </c>
      <c r="X41" s="118">
        <f>+X38/(X38+X49)</f>
        <v>0.93023682392208451</v>
      </c>
      <c r="Y41" s="118">
        <f>+Y38/(Y38+Y49)</f>
        <v>0.93023682392208451</v>
      </c>
      <c r="Z41" s="118"/>
      <c r="AA41" s="118">
        <f t="shared" ref="AA41:AF41" si="195">+AA38/(AA38+AA49+AA59)</f>
        <v>0.91229997437414045</v>
      </c>
      <c r="AB41" s="118">
        <f t="shared" si="195"/>
        <v>0.91229997437414045</v>
      </c>
      <c r="AC41" s="118">
        <f t="shared" si="195"/>
        <v>0.91229997437414045</v>
      </c>
      <c r="AD41" s="118">
        <f t="shared" si="195"/>
        <v>0.91229997437414045</v>
      </c>
      <c r="AE41" s="118">
        <f t="shared" si="195"/>
        <v>0.91229997437414034</v>
      </c>
      <c r="AF41" s="118">
        <f t="shared" si="195"/>
        <v>0.91229997437414045</v>
      </c>
      <c r="AG41" s="118">
        <f>+AG38/(AG38+AG49+AG59+AG69)</f>
        <v>0.88414608553670981</v>
      </c>
      <c r="AH41" s="118">
        <f>+AH38/(AH38+AH49+AH59+AH69+AH79)</f>
        <v>0.88256613804205308</v>
      </c>
      <c r="AI41" s="118">
        <f>+AI38/(AI38+AI49+AI59+AI69+AI79+AI89)</f>
        <v>0.87136023969717935</v>
      </c>
      <c r="AJ41" s="118">
        <f>+AJ38/(AJ38+AJ49+AJ59+AJ69+AJ79+AJ89)</f>
        <v>0.87134813244845732</v>
      </c>
      <c r="AK41" s="118">
        <f>+AK38/(AK38+AK49+AK59+AK69+AK79+AK89)</f>
        <v>0.87134813244845744</v>
      </c>
      <c r="AL41" s="118">
        <f>+AL38/(AL38+AL49+AL59+AL69+AL79+AL89)</f>
        <v>0.87134813244845744</v>
      </c>
      <c r="AM41" s="118">
        <f>+AM38/(AM38+AM49+AM59+AM69+AM79+AM89+AM99)</f>
        <v>0.8706293593841572</v>
      </c>
      <c r="AN41" s="118">
        <f>+AN38/(AN38+AN49+AN59+AN69+AN79+AN89+AN99)</f>
        <v>0.87062935938415742</v>
      </c>
      <c r="AO41" s="118">
        <f>+AO38/(AO38+AO49+AO59+AO69+AO79+AO89+AO99)</f>
        <v>0.87062935938415731</v>
      </c>
      <c r="AP41" s="118">
        <f>+AP38/(AP38+AP49+AP59+AP69+AP79+AP89+AP99+AP109)</f>
        <v>0.86757947966996507</v>
      </c>
      <c r="AQ41" s="118">
        <f>+AQ38/(AQ38+AQ49+AQ59+AQ69+AQ79+AQ89+AQ99+AQ109+AQ119)</f>
        <v>0.83703262404409251</v>
      </c>
      <c r="AR41" s="118">
        <f>+AR38/(AR38+AR49+AR59+AR69+AR79+AR89+AR99+AR109+AR119)</f>
        <v>0.83703262404409251</v>
      </c>
      <c r="AS41" s="163">
        <v>1</v>
      </c>
      <c r="AT41" s="163">
        <v>1</v>
      </c>
      <c r="AU41" s="163">
        <v>1</v>
      </c>
      <c r="AV41" s="163">
        <v>1</v>
      </c>
      <c r="AW41" s="163">
        <v>1</v>
      </c>
      <c r="AX41" s="118">
        <f t="shared" ref="AX41:BD41" si="196">+AX38/(AX38+AX49)</f>
        <v>0.96294679352775414</v>
      </c>
      <c r="AY41" s="118">
        <f t="shared" si="196"/>
        <v>0.96294679352775403</v>
      </c>
      <c r="AZ41" s="118">
        <f t="shared" si="196"/>
        <v>0.96294679352775414</v>
      </c>
      <c r="BA41" s="118">
        <f t="shared" si="196"/>
        <v>0.96294679352775403</v>
      </c>
      <c r="BB41" s="118">
        <f t="shared" si="196"/>
        <v>0.96294454213886038</v>
      </c>
      <c r="BC41" s="118">
        <f t="shared" si="196"/>
        <v>0.96294454213886038</v>
      </c>
      <c r="BD41" s="118">
        <f t="shared" si="196"/>
        <v>0.96294454213886038</v>
      </c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</row>
    <row r="42" spans="1:86" x14ac:dyDescent="0.3">
      <c r="A42" s="127"/>
      <c r="B42" s="201"/>
      <c r="C42" s="201" t="s">
        <v>102</v>
      </c>
      <c r="D42" s="201"/>
      <c r="E42" s="201"/>
      <c r="F42" s="201"/>
      <c r="G42" s="145"/>
      <c r="H42" s="118"/>
      <c r="I42" s="43"/>
      <c r="J42" s="43"/>
      <c r="K42" s="43"/>
      <c r="L42" s="43"/>
      <c r="M42" s="43"/>
      <c r="N42" s="43"/>
      <c r="O42" s="43">
        <f>+O41*O34</f>
        <v>-1477.0903744835293</v>
      </c>
      <c r="P42" s="43">
        <f>+P41*P34</f>
        <v>1445.1252445616226</v>
      </c>
      <c r="Q42" s="43">
        <f>+Q41*Q34</f>
        <v>8087.2808543205992</v>
      </c>
      <c r="R42" s="43"/>
      <c r="S42" s="43"/>
      <c r="T42" s="43">
        <f t="shared" ref="T42" si="197">+T41*T34</f>
        <v>170.0940052873178</v>
      </c>
      <c r="U42" s="43"/>
      <c r="V42" s="43"/>
      <c r="W42" s="43">
        <f>+W34</f>
        <v>-3403.99</v>
      </c>
      <c r="X42" s="43">
        <f>+X41*X34</f>
        <v>-21692.890174657026</v>
      </c>
      <c r="Y42" s="43">
        <f>+Y41*Y34</f>
        <v>5976.3529871286273</v>
      </c>
      <c r="Z42" s="43"/>
      <c r="AA42" s="43">
        <f t="shared" ref="AA42:AF42" si="198">+AA41*AA34</f>
        <v>-13545.966864503393</v>
      </c>
      <c r="AB42" s="43">
        <f t="shared" si="198"/>
        <v>21566.151030222107</v>
      </c>
      <c r="AC42" s="43">
        <f t="shared" si="198"/>
        <v>1716.7204767785379</v>
      </c>
      <c r="AD42" s="43">
        <f t="shared" si="198"/>
        <v>-33636.490932174813</v>
      </c>
      <c r="AE42" s="43">
        <f t="shared" si="198"/>
        <v>-23887.461823018126</v>
      </c>
      <c r="AF42" s="43">
        <f t="shared" si="198"/>
        <v>4028.7075638364586</v>
      </c>
      <c r="AG42" s="43">
        <f t="shared" ref="AG42:AM42" si="199">+AG41*AG34</f>
        <v>-28908.217241925369</v>
      </c>
      <c r="AH42" s="43">
        <f t="shared" si="199"/>
        <v>33658.927869208463</v>
      </c>
      <c r="AI42" s="43">
        <f t="shared" si="199"/>
        <v>5622.3299562124894</v>
      </c>
      <c r="AJ42" s="43">
        <f t="shared" si="199"/>
        <v>4688.8462894436907</v>
      </c>
      <c r="AK42" s="43">
        <f t="shared" si="199"/>
        <v>16379.183946662528</v>
      </c>
      <c r="AL42" s="43">
        <f t="shared" si="199"/>
        <v>-19396.793231551404</v>
      </c>
      <c r="AM42" s="43">
        <f t="shared" si="199"/>
        <v>29934.300767209068</v>
      </c>
      <c r="AN42" s="43">
        <f t="shared" ref="AN42:AO42" si="200">+AN41*AN34</f>
        <v>9542.5330935300572</v>
      </c>
      <c r="AO42" s="43">
        <f t="shared" si="200"/>
        <v>2328.6984664255883</v>
      </c>
      <c r="AP42" s="43">
        <f t="shared" ref="AP42" si="201">+AP41*AP34</f>
        <v>-12622.934397406125</v>
      </c>
      <c r="AQ42" s="43">
        <f t="shared" ref="AQ42:AR42" si="202">+AQ41*AQ34</f>
        <v>-8788.0808527750905</v>
      </c>
      <c r="AR42" s="43">
        <f t="shared" si="202"/>
        <v>-12948.961656572033</v>
      </c>
      <c r="AS42" s="43">
        <f t="shared" ref="AS42:AY42" si="203">+AS41*AS34</f>
        <v>-7574.760000000002</v>
      </c>
      <c r="AT42" s="43">
        <f t="shared" si="203"/>
        <v>-24731.040000000001</v>
      </c>
      <c r="AU42" s="43">
        <f t="shared" si="203"/>
        <v>1728.3499999999985</v>
      </c>
      <c r="AV42" s="43">
        <f t="shared" si="203"/>
        <v>9207.2300000000032</v>
      </c>
      <c r="AW42" s="43">
        <f t="shared" si="203"/>
        <v>-15722.300000000003</v>
      </c>
      <c r="AX42" s="43">
        <f t="shared" si="203"/>
        <v>-7934.2482526116091</v>
      </c>
      <c r="AY42" s="43">
        <f t="shared" si="203"/>
        <v>7018.3414099476913</v>
      </c>
      <c r="AZ42" s="43">
        <f t="shared" ref="AZ42:BA42" si="204">+AZ41*AZ34</f>
        <v>10699.109233528168</v>
      </c>
      <c r="BA42" s="43">
        <f t="shared" si="204"/>
        <v>20729.288217996414</v>
      </c>
      <c r="BB42" s="43">
        <f t="shared" ref="BB42:BC42" si="205">+BB41*BB34</f>
        <v>-2016.3673534570873</v>
      </c>
      <c r="BC42" s="43">
        <f t="shared" si="205"/>
        <v>2916.4123581034373</v>
      </c>
      <c r="BD42" s="43">
        <f t="shared" ref="BD42" si="206">+BD41*BD34</f>
        <v>2558.4377245633164</v>
      </c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</row>
    <row r="43" spans="1:86" x14ac:dyDescent="0.3">
      <c r="A43" t="s">
        <v>103</v>
      </c>
      <c r="B43" s="201">
        <v>79435.187999999995</v>
      </c>
      <c r="C43" s="201"/>
      <c r="D43" s="201"/>
      <c r="E43" s="201"/>
      <c r="F43" s="201"/>
      <c r="G43" s="201"/>
      <c r="H43" s="111">
        <f>+H29*H39</f>
        <v>5815877.335918054</v>
      </c>
      <c r="I43" s="111">
        <f t="shared" ref="I43:N43" si="207">+I38+I40</f>
        <v>5780219.5933859479</v>
      </c>
      <c r="J43" s="111">
        <f t="shared" si="207"/>
        <v>5827150.105411673</v>
      </c>
      <c r="K43" s="111">
        <f t="shared" si="207"/>
        <v>5822237.8434669515</v>
      </c>
      <c r="L43" s="111">
        <f t="shared" si="207"/>
        <v>5821520.0333218668</v>
      </c>
      <c r="M43" s="111">
        <f t="shared" si="207"/>
        <v>5825218.3349190112</v>
      </c>
      <c r="N43" s="111">
        <f t="shared" si="207"/>
        <v>5842962.802926749</v>
      </c>
      <c r="O43" s="111">
        <f>+O38+O40+O42</f>
        <v>5832773.1779905856</v>
      </c>
      <c r="P43" s="111">
        <f>+P38+P40+P42</f>
        <v>5849925.1487571448</v>
      </c>
      <c r="Q43" s="111">
        <f>+Q38+Q40+Q42</f>
        <v>5854681.6502370983</v>
      </c>
      <c r="R43" s="111"/>
      <c r="S43" s="111"/>
      <c r="T43" s="111">
        <f t="shared" ref="T43" si="208">+T38+T40+T42</f>
        <v>5837239.8735404275</v>
      </c>
      <c r="U43" s="111">
        <f>TRUNC(+B43+B54+B64+B74,3)</f>
        <v>84976.751999999993</v>
      </c>
      <c r="V43" s="111">
        <f>+V38+V40</f>
        <v>6227855.9214014653</v>
      </c>
      <c r="W43" s="111">
        <f>+W38+W40+W42</f>
        <v>6222675.9154962078</v>
      </c>
      <c r="X43" s="111">
        <f>+X38+X40+X42</f>
        <v>6193034.9963201722</v>
      </c>
      <c r="Y43" s="111">
        <f>+Y38+Y40+Y42</f>
        <v>6199708.8342363238</v>
      </c>
      <c r="Z43" s="111"/>
      <c r="AA43" s="111">
        <f t="shared" ref="AA43:AG43" si="209">+AA38+AA40+AA42</f>
        <v>6187845.1392384162</v>
      </c>
      <c r="AB43" s="111">
        <f t="shared" si="209"/>
        <v>6234042.0950421365</v>
      </c>
      <c r="AC43" s="111">
        <f t="shared" si="209"/>
        <v>6233565.3251631614</v>
      </c>
      <c r="AD43" s="111">
        <f t="shared" si="209"/>
        <v>6187871.4857026506</v>
      </c>
      <c r="AE43" s="111">
        <f t="shared" si="209"/>
        <v>6143708.906463014</v>
      </c>
      <c r="AF43" s="111">
        <f t="shared" si="209"/>
        <v>6136778.3830660004</v>
      </c>
      <c r="AG43" s="111">
        <f t="shared" si="209"/>
        <v>6077287.012180157</v>
      </c>
      <c r="AH43" s="111">
        <f t="shared" ref="AH43:AI43" si="210">+AH38+AH40+AH42</f>
        <v>6124284.9341484234</v>
      </c>
      <c r="AI43" s="111">
        <f t="shared" si="210"/>
        <v>6130882.8906881353</v>
      </c>
      <c r="AJ43" s="111">
        <f t="shared" ref="AJ43:AK43" si="211">+AJ38+AJ40+AJ42</f>
        <v>6147684.5814772798</v>
      </c>
      <c r="AK43" s="111">
        <f t="shared" si="211"/>
        <v>6196832.4966576593</v>
      </c>
      <c r="AL43" s="111">
        <f t="shared" ref="AL43:AM43" si="212">+AL38+AL40+AL42</f>
        <v>6187251.5675213076</v>
      </c>
      <c r="AM43" s="111">
        <f t="shared" si="212"/>
        <v>6225817.0117292339</v>
      </c>
      <c r="AN43" s="111">
        <f t="shared" ref="AN43:AO43" si="213">+AN38+AN40+AN42</f>
        <v>6258448.5099320179</v>
      </c>
      <c r="AO43" s="111">
        <f t="shared" si="213"/>
        <v>6274950.17255098</v>
      </c>
      <c r="AP43" s="111">
        <f t="shared" ref="AP43" si="214">+AP38+AP40+AP42</f>
        <v>6268293.6282678321</v>
      </c>
      <c r="AQ43" s="111">
        <f t="shared" ref="AQ43:AR43" si="215">+AQ38+AQ40+AQ42</f>
        <v>6250594.8502032189</v>
      </c>
      <c r="AR43" s="111">
        <f t="shared" si="215"/>
        <v>6234556.8075883165</v>
      </c>
      <c r="AS43" s="111">
        <f t="shared" ref="AS43:AY43" si="216">+AS38+AS40+AS42</f>
        <v>7449471.4354879484</v>
      </c>
      <c r="AT43" s="111">
        <f t="shared" si="216"/>
        <v>7411545.1855766969</v>
      </c>
      <c r="AU43" s="111">
        <f t="shared" si="216"/>
        <v>7389433.227653563</v>
      </c>
      <c r="AV43" s="111">
        <f t="shared" si="216"/>
        <v>7371898.3752223188</v>
      </c>
      <c r="AW43" s="111">
        <f t="shared" si="216"/>
        <v>7356355.4149654219</v>
      </c>
      <c r="AX43" s="111">
        <f t="shared" si="216"/>
        <v>7351243.7586044744</v>
      </c>
      <c r="AY43" s="111">
        <f t="shared" si="216"/>
        <v>7354723.9294892335</v>
      </c>
      <c r="AZ43" s="111">
        <f t="shared" ref="AZ43:BA43" si="217">+AZ38+AZ40+AZ42</f>
        <v>7364621.9024243439</v>
      </c>
      <c r="BA43" s="111">
        <f t="shared" si="217"/>
        <v>7398464.5849169893</v>
      </c>
      <c r="BB43" s="111">
        <f t="shared" ref="BB43:BC43" si="218">+BB38+BB40+BB42</f>
        <v>7411531.6344691822</v>
      </c>
      <c r="BC43" s="111">
        <f t="shared" si="218"/>
        <v>7383473.7991328314</v>
      </c>
      <c r="BD43" s="111">
        <f t="shared" ref="BD43" si="219">+BD38+BD40+BD42</f>
        <v>7412503.1536184866</v>
      </c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</row>
    <row r="44" spans="1:86" s="112" customFormat="1" x14ac:dyDescent="0.3">
      <c r="B44" s="129"/>
      <c r="C44" s="129"/>
      <c r="D44" s="129"/>
      <c r="E44" s="129"/>
      <c r="F44" s="129"/>
      <c r="G44" s="129"/>
      <c r="H44" s="132">
        <f>H43*1.5%/365</f>
        <v>239.00865764046796</v>
      </c>
      <c r="I44" s="132">
        <f>I43*1.5%/365</f>
        <v>237.54327096106633</v>
      </c>
      <c r="J44" s="132">
        <f>J43*1.5%/365</f>
        <v>239.47192214020572</v>
      </c>
      <c r="K44" s="132">
        <f>K43*1.5%/365*3</f>
        <v>717.81014508496662</v>
      </c>
      <c r="L44" s="132">
        <f t="shared" ref="L44:P44" si="220">L43*1.5%/365</f>
        <v>239.24054931459725</v>
      </c>
      <c r="M44" s="132">
        <f>M43*1.5%/365*3</f>
        <v>718.17760293522042</v>
      </c>
      <c r="N44" s="132">
        <f t="shared" si="220"/>
        <v>240.12175902438693</v>
      </c>
      <c r="O44" s="132">
        <f t="shared" si="220"/>
        <v>239.70300731468157</v>
      </c>
      <c r="P44" s="132">
        <f t="shared" si="220"/>
        <v>240.40788282563608</v>
      </c>
      <c r="Q44" s="132">
        <f>Q43*1.5%/365</f>
        <v>240.60335548919579</v>
      </c>
      <c r="R44" s="132"/>
      <c r="S44" s="132"/>
      <c r="T44" s="132">
        <f>T43*1.5%/365*3</f>
        <v>719.65971043649108</v>
      </c>
      <c r="U44" s="132"/>
      <c r="V44" s="132">
        <f>V43*1.5%/365</f>
        <v>255.93928444115608</v>
      </c>
      <c r="W44" s="132">
        <f>W43*1.5%/365</f>
        <v>255.72640748614552</v>
      </c>
      <c r="X44" s="132">
        <f t="shared" ref="X44:Y44" si="221">X43*1.5%/365</f>
        <v>254.50828752000709</v>
      </c>
      <c r="Y44" s="132">
        <f t="shared" si="221"/>
        <v>254.78255483162974</v>
      </c>
      <c r="Z44" s="132"/>
      <c r="AA44" s="132">
        <f>AA43*1.5%/365*3</f>
        <v>762.88501716638007</v>
      </c>
      <c r="AB44" s="132">
        <f>AB43*1.5%/365</f>
        <v>256.1935107551563</v>
      </c>
      <c r="AC44" s="132">
        <f>AC43*1.5%/365</f>
        <v>256.1739174724587</v>
      </c>
      <c r="AD44" s="132">
        <f>AD43*1.5%/365*2</f>
        <v>508.5921769070672</v>
      </c>
      <c r="AE44" s="132">
        <f>AE43*1.5%/365*3</f>
        <v>757.44356381050852</v>
      </c>
      <c r="AF44" s="132">
        <f>AF43*1.5%/365</f>
        <v>252.19637190682189</v>
      </c>
      <c r="AG44" s="132">
        <f>AG43*1.5%/365</f>
        <v>249.75152104849957</v>
      </c>
      <c r="AH44" s="132">
        <f>AH43*1.5%/365</f>
        <v>251.68294249925026</v>
      </c>
      <c r="AI44" s="132">
        <f>AI43*1.5%/365</f>
        <v>251.95409139814254</v>
      </c>
      <c r="AJ44" s="132">
        <f>AJ43*1.5%/365*3</f>
        <v>757.9337155245961</v>
      </c>
      <c r="AK44" s="132">
        <f>AK43*1.5%/365</f>
        <v>254.66434917771201</v>
      </c>
      <c r="AL44" s="132">
        <f>AL43*1.5%/365*2</f>
        <v>508.54122472777868</v>
      </c>
      <c r="AM44" s="132">
        <f>AM43*1.5%/365</f>
        <v>255.85549363270823</v>
      </c>
      <c r="AN44" s="132">
        <f>AN43*1.5%/365*3</f>
        <v>771.5895423203857</v>
      </c>
      <c r="AO44" s="132">
        <f>AO43*1.5%/365</f>
        <v>257.87466462538276</v>
      </c>
      <c r="AP44" s="132">
        <f>AP43*1.5%/365</f>
        <v>257.60110801100683</v>
      </c>
      <c r="AQ44" s="132">
        <f>AQ43*1.5%/365</f>
        <v>256.87376096725552</v>
      </c>
      <c r="AR44" s="132">
        <f>AR43*1.5%/365</f>
        <v>256.21466332554724</v>
      </c>
      <c r="AS44" s="132">
        <f>AS43*1.5%/365*3</f>
        <v>918.42798519714438</v>
      </c>
      <c r="AT44" s="132">
        <f>AT43*1.5%/365</f>
        <v>304.58404872233001</v>
      </c>
      <c r="AU44" s="132">
        <f>AU43*1.5%/365</f>
        <v>303.67533812274917</v>
      </c>
      <c r="AV44" s="132">
        <f>AV43*1.5%/365</f>
        <v>302.95472774886241</v>
      </c>
      <c r="AW44" s="132">
        <f>AW43*1.5%/365</f>
        <v>302.31597595748309</v>
      </c>
      <c r="AX44" s="132">
        <f>AX43*1.5%/365*3</f>
        <v>906.31772366356529</v>
      </c>
      <c r="AY44" s="132">
        <f>AY43*1.5%/365</f>
        <v>302.24892860914656</v>
      </c>
      <c r="AZ44" s="132">
        <f>AZ43*1.5%/365</f>
        <v>302.65569462017851</v>
      </c>
      <c r="BA44" s="132">
        <f>BA43*1.5%/365</f>
        <v>304.04648979110914</v>
      </c>
      <c r="BB44" s="132">
        <f>BB43*1.5%/365</f>
        <v>304.58349182750061</v>
      </c>
      <c r="BC44" s="132">
        <f>BC43*1.5%/365*3</f>
        <v>910.29129030404761</v>
      </c>
      <c r="BD44" s="132">
        <f>BD43*1.5%/365</f>
        <v>304.62341727199259</v>
      </c>
      <c r="BE44" s="131"/>
      <c r="BF44" s="131"/>
      <c r="BG44" s="131"/>
      <c r="BH44" s="131"/>
      <c r="BI44" s="131"/>
      <c r="BJ44" s="131"/>
      <c r="BK44" s="131"/>
      <c r="BL44" s="131"/>
      <c r="BM44" s="131"/>
      <c r="BN44" s="131"/>
      <c r="BO44" s="131"/>
      <c r="BP44" s="131"/>
      <c r="BQ44" s="131"/>
      <c r="BR44" s="131"/>
      <c r="BS44" s="131"/>
      <c r="BT44" s="131"/>
      <c r="BU44" s="131"/>
      <c r="BV44" s="131"/>
      <c r="BW44" s="131"/>
      <c r="BX44" s="131"/>
      <c r="BY44" s="131"/>
      <c r="BZ44" s="131"/>
      <c r="CA44" s="131"/>
      <c r="CB44" s="131"/>
      <c r="CC44" s="131"/>
      <c r="CD44" s="131"/>
      <c r="CE44" s="131"/>
      <c r="CF44" s="131"/>
      <c r="CG44" s="131"/>
      <c r="CH44" s="131"/>
    </row>
    <row r="45" spans="1:86" s="112" customFormat="1" x14ac:dyDescent="0.3">
      <c r="B45" s="113"/>
      <c r="C45" s="129"/>
      <c r="D45" s="129"/>
      <c r="E45" s="129"/>
      <c r="F45" s="129"/>
      <c r="G45" s="129"/>
      <c r="H45" s="130">
        <f>+H43-H44</f>
        <v>5815638.3272604132</v>
      </c>
      <c r="I45" s="130">
        <f>+I43-I44</f>
        <v>5779982.0501149865</v>
      </c>
      <c r="J45" s="130">
        <f>+J43-J44</f>
        <v>5826910.6334895324</v>
      </c>
      <c r="K45" s="130">
        <f>+K43-K44</f>
        <v>5821520.0333218668</v>
      </c>
      <c r="L45" s="130">
        <f t="shared" ref="L45:P45" si="222">+L43-L44</f>
        <v>5821280.792772552</v>
      </c>
      <c r="M45" s="130">
        <f t="shared" si="222"/>
        <v>5824500.1573160756</v>
      </c>
      <c r="N45" s="130">
        <f t="shared" si="222"/>
        <v>5842722.6811677245</v>
      </c>
      <c r="O45" s="130">
        <f>+O43-O44</f>
        <v>5832533.4749832712</v>
      </c>
      <c r="P45" s="130">
        <f t="shared" si="222"/>
        <v>5849684.7408743193</v>
      </c>
      <c r="Q45" s="130">
        <f>+Q43-Q44</f>
        <v>5854441.0468816096</v>
      </c>
      <c r="R45" s="130"/>
      <c r="S45" s="130"/>
      <c r="T45" s="130">
        <f t="shared" ref="T45" si="223">+T43-T44</f>
        <v>5836520.2138299914</v>
      </c>
      <c r="U45" s="130"/>
      <c r="V45" s="130">
        <f>+V43-V44</f>
        <v>6227599.9821170243</v>
      </c>
      <c r="W45" s="130">
        <f>+W43-W44</f>
        <v>6222420.1890887218</v>
      </c>
      <c r="X45" s="130">
        <f>+X43-X44</f>
        <v>6192780.4880326521</v>
      </c>
      <c r="Y45" s="130">
        <f>+Y43-Y44</f>
        <v>6199454.0516814925</v>
      </c>
      <c r="Z45" s="130"/>
      <c r="AA45" s="130">
        <f t="shared" ref="AA45:AG45" si="224">+AA43-AA44</f>
        <v>6187082.2542212494</v>
      </c>
      <c r="AB45" s="130">
        <f t="shared" si="224"/>
        <v>6233785.9015313815</v>
      </c>
      <c r="AC45" s="130">
        <f t="shared" si="224"/>
        <v>6233309.151245689</v>
      </c>
      <c r="AD45" s="130">
        <f t="shared" si="224"/>
        <v>6187362.8935257439</v>
      </c>
      <c r="AE45" s="130">
        <f t="shared" si="224"/>
        <v>6142951.4628992034</v>
      </c>
      <c r="AF45" s="130">
        <f t="shared" si="224"/>
        <v>6136526.186694094</v>
      </c>
      <c r="AG45" s="130">
        <f t="shared" si="224"/>
        <v>6077037.2606591089</v>
      </c>
      <c r="AH45" s="130">
        <f t="shared" ref="AH45:AI45" si="225">+AH43-AH44</f>
        <v>6124033.251205924</v>
      </c>
      <c r="AI45" s="130">
        <f t="shared" si="225"/>
        <v>6130630.9365967372</v>
      </c>
      <c r="AJ45" s="130">
        <f t="shared" ref="AJ45:AK45" si="226">+AJ43-AJ44</f>
        <v>6146926.6477617556</v>
      </c>
      <c r="AK45" s="130">
        <f t="shared" si="226"/>
        <v>6196577.8323084814</v>
      </c>
      <c r="AL45" s="130">
        <f t="shared" ref="AL45:AM45" si="227">+AL43-AL44</f>
        <v>6186743.0262965802</v>
      </c>
      <c r="AM45" s="130">
        <f t="shared" si="227"/>
        <v>6225561.1562356008</v>
      </c>
      <c r="AN45" s="130">
        <f t="shared" ref="AN45:AO45" si="228">+AN43-AN44</f>
        <v>6257676.9203896979</v>
      </c>
      <c r="AO45" s="130">
        <f t="shared" si="228"/>
        <v>6274692.2978863548</v>
      </c>
      <c r="AP45" s="130">
        <f t="shared" ref="AP45" si="229">+AP43-AP44</f>
        <v>6268036.0271598212</v>
      </c>
      <c r="AQ45" s="130">
        <f t="shared" ref="AQ45:AR45" si="230">+AQ43-AQ44</f>
        <v>6250337.9764422514</v>
      </c>
      <c r="AR45" s="130">
        <f t="shared" si="230"/>
        <v>6234300.5929249907</v>
      </c>
      <c r="AS45" s="130">
        <f t="shared" ref="AS45:AY45" si="231">+AS43-AS44</f>
        <v>7448553.0075027514</v>
      </c>
      <c r="AT45" s="130">
        <f t="shared" si="231"/>
        <v>7411240.6015279749</v>
      </c>
      <c r="AU45" s="130">
        <f t="shared" si="231"/>
        <v>7389129.55231544</v>
      </c>
      <c r="AV45" s="130">
        <f t="shared" si="231"/>
        <v>7371595.4204945704</v>
      </c>
      <c r="AW45" s="130">
        <f t="shared" si="231"/>
        <v>7356053.0989894643</v>
      </c>
      <c r="AX45" s="130">
        <f t="shared" si="231"/>
        <v>7350337.4408808108</v>
      </c>
      <c r="AY45" s="130">
        <f t="shared" si="231"/>
        <v>7354421.6805606242</v>
      </c>
      <c r="AZ45" s="130">
        <f t="shared" ref="AZ45:BA45" si="232">+AZ43-AZ44</f>
        <v>7364319.2467297241</v>
      </c>
      <c r="BA45" s="130">
        <f t="shared" si="232"/>
        <v>7398160.5384271983</v>
      </c>
      <c r="BB45" s="130">
        <f t="shared" ref="BB45:BC45" si="233">+BB43-BB44</f>
        <v>7411227.0509773549</v>
      </c>
      <c r="BC45" s="130">
        <f t="shared" si="233"/>
        <v>7382563.5078425277</v>
      </c>
      <c r="BD45" s="130">
        <f t="shared" ref="BD45" si="234">+BD43-BD44</f>
        <v>7412198.5302012144</v>
      </c>
      <c r="BE45" s="131"/>
      <c r="BF45" s="131"/>
      <c r="BG45" s="131"/>
      <c r="BH45" s="131"/>
      <c r="BI45" s="131"/>
      <c r="BJ45" s="131"/>
      <c r="BK45" s="131"/>
      <c r="BL45" s="131"/>
      <c r="BM45" s="131"/>
      <c r="BN45" s="131"/>
      <c r="BO45" s="131"/>
      <c r="BP45" s="131"/>
      <c r="BQ45" s="131"/>
      <c r="BR45" s="131"/>
      <c r="BS45" s="131"/>
      <c r="BT45" s="131"/>
      <c r="BU45" s="131"/>
      <c r="BV45" s="131"/>
      <c r="BW45" s="131"/>
      <c r="BX45" s="131"/>
      <c r="BY45" s="131"/>
      <c r="BZ45" s="131"/>
      <c r="CA45" s="131"/>
      <c r="CB45" s="131"/>
      <c r="CC45" s="131"/>
      <c r="CD45" s="131"/>
      <c r="CE45" s="131"/>
      <c r="CF45" s="131"/>
      <c r="CG45" s="131"/>
      <c r="CH45" s="131"/>
    </row>
    <row r="46" spans="1:86" s="112" customFormat="1" x14ac:dyDescent="0.3">
      <c r="A46" s="129"/>
      <c r="B46" s="129"/>
      <c r="C46" s="129"/>
      <c r="D46" s="129"/>
      <c r="E46" s="129"/>
      <c r="F46" s="129"/>
      <c r="G46" s="129"/>
      <c r="H46" s="130">
        <f>+H45/H38*100</f>
        <v>99.997114745780365</v>
      </c>
      <c r="I46" s="130">
        <f>+I45/B43*I3</f>
        <v>99.831517648800215</v>
      </c>
      <c r="J46" s="130">
        <f t="shared" ref="J46:P46" si="235">+J45/$B$43*J3</f>
        <v>100.05523124184867</v>
      </c>
      <c r="K46" s="130">
        <f t="shared" si="235"/>
        <v>100.05794033614353</v>
      </c>
      <c r="L46" s="130">
        <f t="shared" si="235"/>
        <v>100.05382836599273</v>
      </c>
      <c r="M46" s="130">
        <f t="shared" si="235"/>
        <v>100.10916150640493</v>
      </c>
      <c r="N46" s="130">
        <f t="shared" si="235"/>
        <v>100.25319024147848</v>
      </c>
      <c r="O46" s="130">
        <f t="shared" si="235"/>
        <v>100.10772731842961</v>
      </c>
      <c r="P46" s="130">
        <f t="shared" si="235"/>
        <v>100.37264973567757</v>
      </c>
      <c r="Q46" s="130">
        <f t="shared" ref="Q46" si="236">+Q45/$B$43*Q3</f>
        <v>100.30685978619287</v>
      </c>
      <c r="R46" s="130"/>
      <c r="S46" s="130"/>
      <c r="T46" s="130">
        <f>+T45/$B$43*T3</f>
        <v>99.988792536004865</v>
      </c>
      <c r="U46" s="130"/>
      <c r="V46" s="159">
        <f>TRUNC(+V45/$U$43*V3,3)</f>
        <v>99.763999999999996</v>
      </c>
      <c r="W46" s="159">
        <f>TRUNC(+W45/$U$43*W3,3)</f>
        <v>99.731999999999999</v>
      </c>
      <c r="X46" s="165">
        <f>TRUNC(+X45/$U$43*X3,3)</f>
        <v>99.625</v>
      </c>
      <c r="Y46" s="165">
        <f>TRUNC(+Y45/$U$43*Y3,3)</f>
        <v>99.626000000000005</v>
      </c>
      <c r="Z46" s="165"/>
      <c r="AA46" s="165">
        <f t="shared" ref="AA46:AG46" si="237">TRUNC(+AA45/$U$43*AA3,3)</f>
        <v>99.646000000000001</v>
      </c>
      <c r="AB46" s="165">
        <f t="shared" si="237"/>
        <v>100.05</v>
      </c>
      <c r="AC46" s="165">
        <f t="shared" si="237"/>
        <v>100.01600000000001</v>
      </c>
      <c r="AD46" s="165">
        <f t="shared" si="237"/>
        <v>99.811000000000007</v>
      </c>
      <c r="AE46" s="165">
        <f t="shared" si="237"/>
        <v>99.466999999999999</v>
      </c>
      <c r="AF46" s="165">
        <f t="shared" si="237"/>
        <v>99.298000000000002</v>
      </c>
      <c r="AG46" s="165">
        <f t="shared" si="237"/>
        <v>98.802999999999997</v>
      </c>
      <c r="AH46" s="165">
        <f t="shared" ref="AH46:AN46" si="238">TRUNC(+AH45/$U$43*AH3,4)</f>
        <v>99.0274</v>
      </c>
      <c r="AI46" s="165">
        <f t="shared" si="238"/>
        <v>99.029499999999999</v>
      </c>
      <c r="AJ46" s="177">
        <f t="shared" si="238"/>
        <v>99.209599999999995</v>
      </c>
      <c r="AK46" s="177">
        <f t="shared" si="238"/>
        <v>99.737499999999997</v>
      </c>
      <c r="AL46" s="177">
        <f t="shared" si="238"/>
        <v>99.888599999999997</v>
      </c>
      <c r="AM46" s="177">
        <f t="shared" si="238"/>
        <v>100.0171</v>
      </c>
      <c r="AN46" s="177">
        <f t="shared" si="238"/>
        <v>100.3674</v>
      </c>
      <c r="AO46" s="177">
        <f t="shared" ref="AO46:AP46" si="239">TRUNC(+AO45/$U$43*AO3,4)</f>
        <v>100.5997</v>
      </c>
      <c r="AP46" s="177">
        <f t="shared" si="239"/>
        <v>100.6995</v>
      </c>
      <c r="AQ46" s="177">
        <f t="shared" ref="AQ46:AR46" si="240">TRUNC(+AQ45/$U$43*AQ3,4)</f>
        <v>100.5586</v>
      </c>
      <c r="AR46" s="177">
        <f t="shared" si="240"/>
        <v>100.5134</v>
      </c>
      <c r="AS46" s="159">
        <f t="shared" ref="AS46:AY46" si="241">TRUNC(+AS45/101521.547*AS3,3)</f>
        <v>100.61799999999999</v>
      </c>
      <c r="AT46" s="159">
        <f t="shared" si="241"/>
        <v>100.49</v>
      </c>
      <c r="AU46" s="159">
        <f t="shared" si="241"/>
        <v>100.172</v>
      </c>
      <c r="AV46" s="159">
        <f t="shared" si="241"/>
        <v>99.804000000000002</v>
      </c>
      <c r="AW46" s="159">
        <f t="shared" si="241"/>
        <v>99.807000000000002</v>
      </c>
      <c r="AX46" s="159">
        <f t="shared" si="241"/>
        <v>99.841999999999999</v>
      </c>
      <c r="AY46" s="159">
        <f t="shared" si="241"/>
        <v>99.799000000000007</v>
      </c>
      <c r="AZ46" s="159">
        <f t="shared" ref="AZ46:BA46" si="242">TRUNC(+AZ45/101521.547*AZ3,3)</f>
        <v>99.77</v>
      </c>
      <c r="BA46" s="159">
        <f t="shared" si="242"/>
        <v>99.941000000000003</v>
      </c>
      <c r="BB46" s="159">
        <f>TRUNC(+BB45/(101521.547+0.11)*BB3,3)</f>
        <v>100.143</v>
      </c>
      <c r="BC46" s="159">
        <f>TRUNC(+BC45/(101521.547+0.11)*BC3,3)</f>
        <v>99.712000000000003</v>
      </c>
      <c r="BD46" s="159">
        <f>TRUNC(+BD45/(101521.547+0.11)*BD3,3)</f>
        <v>100.07599999999999</v>
      </c>
      <c r="BE46" s="131"/>
      <c r="BF46" s="131"/>
      <c r="BG46" s="131"/>
      <c r="BH46" s="131"/>
      <c r="BI46" s="131"/>
      <c r="BJ46" s="131"/>
      <c r="BK46" s="131"/>
      <c r="BL46" s="131"/>
      <c r="BM46" s="131"/>
      <c r="BN46" s="131"/>
      <c r="BO46" s="131"/>
      <c r="BP46" s="131"/>
      <c r="BQ46" s="131"/>
      <c r="BR46" s="131"/>
      <c r="BS46" s="131"/>
      <c r="BT46" s="131"/>
      <c r="BU46" s="131"/>
      <c r="BV46" s="131"/>
      <c r="BW46" s="131"/>
      <c r="BX46" s="131"/>
      <c r="BY46" s="131"/>
      <c r="BZ46" s="131"/>
      <c r="CA46" s="131"/>
      <c r="CB46" s="131"/>
      <c r="CC46" s="131"/>
      <c r="CD46" s="131"/>
      <c r="CE46" s="131"/>
      <c r="CF46" s="131"/>
      <c r="CG46" s="131"/>
      <c r="CH46" s="131"/>
    </row>
    <row r="47" spans="1:86" x14ac:dyDescent="0.3">
      <c r="H47" s="128"/>
      <c r="O47">
        <f>0.04*B43/O3</f>
        <v>2330.5028018189819</v>
      </c>
      <c r="X47">
        <f>0.04*K43/X3</f>
        <v>170359.17760043748</v>
      </c>
      <c r="Y47">
        <f>0.04*L43/Y3</f>
        <v>170519.04022618241</v>
      </c>
      <c r="AA47">
        <f t="shared" ref="AA47:AF47" si="243">0.04*M43/AA3</f>
        <v>170253.34896738306</v>
      </c>
      <c r="AB47">
        <f t="shared" si="243"/>
        <v>171366.72809844921</v>
      </c>
      <c r="AC47">
        <f t="shared" si="243"/>
        <v>171111.79106683054</v>
      </c>
      <c r="AD47">
        <f t="shared" si="243"/>
        <v>170701.05482221022</v>
      </c>
      <c r="AE47">
        <f t="shared" si="243"/>
        <v>170200.4186267553</v>
      </c>
      <c r="AF47">
        <f t="shared" si="243"/>
        <v>0</v>
      </c>
      <c r="AX47">
        <f t="shared" ref="AX47:BD47" si="244">0.04*AK43/AX3</f>
        <v>179748.58583488496</v>
      </c>
      <c r="AY47">
        <f t="shared" si="244"/>
        <v>179646.5449866456</v>
      </c>
      <c r="AZ47">
        <f t="shared" si="244"/>
        <v>181062.00412183319</v>
      </c>
      <c r="BA47">
        <f t="shared" si="244"/>
        <v>182535.22942672408</v>
      </c>
      <c r="BB47">
        <f t="shared" si="244"/>
        <v>182969.82570494185</v>
      </c>
      <c r="BC47">
        <f t="shared" si="244"/>
        <v>182855.70677560772</v>
      </c>
      <c r="BD47">
        <f t="shared" si="244"/>
        <v>182405.91960905286</v>
      </c>
    </row>
    <row r="48" spans="1:86" x14ac:dyDescent="0.3">
      <c r="A48" s="201"/>
      <c r="B48" s="201">
        <f>ROUND(169882.49/N3,2)</f>
        <v>124638.66</v>
      </c>
      <c r="C48" s="201"/>
      <c r="D48" s="201"/>
      <c r="E48" s="201"/>
      <c r="F48" s="201"/>
      <c r="G48" s="201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</row>
    <row r="49" spans="1:86" x14ac:dyDescent="0.3">
      <c r="A49" s="201"/>
      <c r="B49" s="201"/>
      <c r="C49" s="201"/>
      <c r="D49" s="201"/>
      <c r="E49" s="201"/>
      <c r="F49" s="201"/>
      <c r="G49" s="201"/>
      <c r="H49" s="64"/>
      <c r="I49" s="64"/>
      <c r="J49" s="64"/>
      <c r="K49" s="64"/>
      <c r="L49" s="64"/>
      <c r="M49" s="64"/>
      <c r="N49" s="64"/>
      <c r="O49" s="64">
        <f>+B50</f>
        <v>124638.28</v>
      </c>
      <c r="P49" s="64">
        <f t="shared" ref="P49" si="245">O56</f>
        <v>124420.92155211595</v>
      </c>
      <c r="Q49" s="64">
        <f>P56</f>
        <v>124786.7962302644</v>
      </c>
      <c r="R49" s="64"/>
      <c r="S49" s="64"/>
      <c r="T49" s="64">
        <f>Q56</f>
        <v>124888.25882437539</v>
      </c>
      <c r="U49" s="64"/>
      <c r="V49" s="64"/>
      <c r="W49" s="64"/>
      <c r="X49" s="64">
        <v>466650.84</v>
      </c>
      <c r="Y49" s="64">
        <f>X56</f>
        <v>464428.00853332767</v>
      </c>
      <c r="Z49" s="64"/>
      <c r="AA49" s="64">
        <f>Y56</f>
        <v>464928.49290884222</v>
      </c>
      <c r="AB49" s="64">
        <f>AA56</f>
        <v>464000.66908761335</v>
      </c>
      <c r="AC49" s="64">
        <f>AB56</f>
        <v>467503.21240452951</v>
      </c>
      <c r="AD49" s="64">
        <f>AC56</f>
        <v>467467.45848330139</v>
      </c>
      <c r="AE49" s="64">
        <f>AD56</f>
        <v>464021.71565200458</v>
      </c>
      <c r="AF49" s="64">
        <f>AE56</f>
        <v>460691.07728659525</v>
      </c>
      <c r="AG49" s="64">
        <f t="shared" ref="AG49:AR49" si="246">+AF56</f>
        <v>460209.21324539726</v>
      </c>
      <c r="AH49" s="64">
        <f t="shared" si="246"/>
        <v>455747.83705071284</v>
      </c>
      <c r="AI49" s="64">
        <f t="shared" si="246"/>
        <v>459272.30466923857</v>
      </c>
      <c r="AJ49" s="64">
        <f t="shared" si="246"/>
        <v>459767.0985494522</v>
      </c>
      <c r="AK49" s="64">
        <f t="shared" si="246"/>
        <v>460989.19655512652</v>
      </c>
      <c r="AL49" s="64">
        <f t="shared" si="246"/>
        <v>464712.79063454171</v>
      </c>
      <c r="AM49" s="64">
        <f t="shared" si="246"/>
        <v>463975.22866552864</v>
      </c>
      <c r="AN49" s="64">
        <f t="shared" si="246"/>
        <v>466886.3970522341</v>
      </c>
      <c r="AO49" s="64">
        <f t="shared" si="246"/>
        <v>469294.92104520253</v>
      </c>
      <c r="AP49" s="64">
        <f t="shared" si="246"/>
        <v>470570.99047806655</v>
      </c>
      <c r="AQ49" s="64">
        <f t="shared" si="246"/>
        <v>470071.80298647744</v>
      </c>
      <c r="AR49" s="64">
        <f t="shared" si="246"/>
        <v>468744.53642736614</v>
      </c>
      <c r="AS49" s="64"/>
      <c r="AT49" s="64"/>
      <c r="AU49" s="64"/>
      <c r="AV49" s="64"/>
      <c r="AW49" s="64"/>
      <c r="AX49" s="64">
        <v>283053.39</v>
      </c>
      <c r="AY49" s="64">
        <f>+AX56</f>
        <v>282833.45732931857</v>
      </c>
      <c r="AZ49" s="64">
        <f>+AY56</f>
        <v>282990.61468957498</v>
      </c>
      <c r="BA49" s="64">
        <f>+AZ56</f>
        <v>283371.46289977856</v>
      </c>
      <c r="BB49" s="64">
        <f>+BA56+0.14</f>
        <v>284673.78114782099</v>
      </c>
      <c r="BC49" s="64">
        <f>+BB56</f>
        <v>285194.42155706947</v>
      </c>
      <c r="BD49" s="64">
        <f>+BC56</f>
        <v>284091.40817643976</v>
      </c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</row>
    <row r="50" spans="1:86" x14ac:dyDescent="0.3">
      <c r="A50" s="127" t="s">
        <v>99</v>
      </c>
      <c r="B50" s="201">
        <v>124638.28</v>
      </c>
      <c r="C50" s="201" t="s">
        <v>100</v>
      </c>
      <c r="D50" s="201"/>
      <c r="E50" s="201"/>
      <c r="F50" s="201"/>
      <c r="G50" s="201"/>
      <c r="H50" s="118"/>
      <c r="I50" s="118"/>
      <c r="J50" s="118"/>
      <c r="K50" s="118"/>
      <c r="L50" s="118"/>
      <c r="M50" s="118"/>
      <c r="N50" s="118"/>
      <c r="O50" s="118">
        <f>+O49/(O38+O49+O153)</f>
        <v>2.0375154575515399E-2</v>
      </c>
      <c r="P50" s="118">
        <f>+P49/(P38+P49+P153+P59)</f>
        <v>2.0162365568010248E-2</v>
      </c>
      <c r="Q50" s="118">
        <f>+Q49/(Q38+Q49+Q153+Q59)</f>
        <v>2.0162466226779772E-2</v>
      </c>
      <c r="R50" s="118"/>
      <c r="S50" s="118"/>
      <c r="T50" s="118">
        <f>+Q49/(Q38+Q49+Q59+Q69+Q153)</f>
        <v>1.947376112869283E-2</v>
      </c>
      <c r="U50" s="43">
        <v>635584.28</v>
      </c>
      <c r="V50" s="118"/>
      <c r="W50" s="118"/>
      <c r="X50" s="118">
        <f>+X49/(X38+X49+X153)</f>
        <v>6.8241837106457814E-2</v>
      </c>
      <c r="Y50" s="118">
        <f>+Y49/(Y38+Y49+Y153)</f>
        <v>6.8236563420614224E-2</v>
      </c>
      <c r="Z50" s="118"/>
      <c r="AA50" s="118">
        <f t="shared" ref="AA50:AF50" si="247">+AA49/(AA38+AA49+AA153+AA59)</f>
        <v>6.6950399713052264E-2</v>
      </c>
      <c r="AB50" s="118">
        <f t="shared" si="247"/>
        <v>6.6947078565517848E-2</v>
      </c>
      <c r="AC50" s="118">
        <f t="shared" si="247"/>
        <v>6.6951999114721925E-2</v>
      </c>
      <c r="AD50" s="118">
        <f t="shared" si="247"/>
        <v>6.6952335259642892E-2</v>
      </c>
      <c r="AE50" s="118">
        <f t="shared" si="247"/>
        <v>6.694442116081821E-2</v>
      </c>
      <c r="AF50" s="118">
        <f t="shared" si="247"/>
        <v>6.6938637135771431E-2</v>
      </c>
      <c r="AG50" s="118">
        <f>+AG49/(AG38+AG49+AG153+AG59+AG69)</f>
        <v>6.4917042669895494E-2</v>
      </c>
      <c r="AH50" s="118">
        <f>+AH49/(AH38+AH49+AH153+AH59+AH69+AH79+AH130)</f>
        <v>6.4339579213572293E-2</v>
      </c>
      <c r="AI50" s="118">
        <f>+AI49/(AI38+AI49+AI153+AI59+AI69+AI79+AI130+AI89)</f>
        <v>6.3554777575305504E-2</v>
      </c>
      <c r="AJ50" s="118">
        <f>+AJ49/(AJ38+AJ49+AJ153+AJ59+AJ69+AJ79+AJ130+AJ89)</f>
        <v>6.3555464333821823E-2</v>
      </c>
      <c r="AK50" s="118">
        <f>+AK49/(AK38+AK49+AK153+AK59+AK69+AK79+AK130+AK89)</f>
        <v>6.3556632757155798E-2</v>
      </c>
      <c r="AL50" s="118">
        <f>+AL49/(AL38+AL49+AL153+AL59+AL69+AL79+AL130+AL89)</f>
        <v>6.3561181850424475E-2</v>
      </c>
      <c r="AM50" s="118">
        <f>+AM49/(AM38+AM49+AM153+AM59+AM69+AM79+AM130+AM89+AM99)</f>
        <v>6.3504639385070588E-2</v>
      </c>
      <c r="AN50" s="118">
        <f>+AN49/(AN38+AN49+AN153+AN59+AN69+AN79+AN130+AN89+AN99)</f>
        <v>6.35129499898857E-2</v>
      </c>
      <c r="AO50" s="118">
        <f>+AO49/(AO38+AO49+AO153+AO59+AO69+AO79+AO130+AO89+AO99)</f>
        <v>6.3515987826179218E-2</v>
      </c>
      <c r="AP50" s="118">
        <f>+AP49/(AP38+AP49+AP153+AP59+AP69+AP79+AP130+AP89+AP99+AP109)</f>
        <v>6.3301158118157341E-2</v>
      </c>
      <c r="AQ50" s="118">
        <f>+AQ49/(AQ38+AQ49+AQ153+AQ59+AQ69+AQ79+AQ130+AQ89+AQ99+AQ109+AQ119)</f>
        <v>6.1128444214302857E-2</v>
      </c>
      <c r="AR50" s="118">
        <f>+AR49/(AR38+AR49+AR153+AR59+AR69+AR79+AR130+AR89+AR99+AR109+AR119)</f>
        <v>6.11266332554804E-2</v>
      </c>
      <c r="AS50" s="118"/>
      <c r="AT50" s="118"/>
      <c r="AU50" s="118"/>
      <c r="AV50" s="118"/>
      <c r="AW50" s="118"/>
      <c r="AX50" s="118">
        <f>+AX49/(AX38+AX49+AX153+AX130)</f>
        <v>3.6110080095681119E-2</v>
      </c>
      <c r="AY50" s="118">
        <f t="shared" ref="AY50:BD50" si="248">AY49/(AY38+AY49+AY153+AY130+AY141)</f>
        <v>3.5879965805314488E-2</v>
      </c>
      <c r="AZ50" s="118">
        <f t="shared" si="248"/>
        <v>3.5881022107534938E-2</v>
      </c>
      <c r="BA50" s="118">
        <f t="shared" si="248"/>
        <v>3.5882643402847511E-2</v>
      </c>
      <c r="BB50" s="118">
        <f t="shared" si="248"/>
        <v>3.5885809695502729E-2</v>
      </c>
      <c r="BC50" s="118">
        <f t="shared" si="248"/>
        <v>3.5885473682971555E-2</v>
      </c>
      <c r="BD50" s="118">
        <f t="shared" si="248"/>
        <v>3.5885837710722866E-2</v>
      </c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</row>
    <row r="51" spans="1:86" x14ac:dyDescent="0.3">
      <c r="A51" s="127"/>
      <c r="B51" s="201"/>
      <c r="C51" s="201"/>
      <c r="D51" s="201"/>
      <c r="E51" s="201"/>
      <c r="F51" s="201"/>
      <c r="G51" s="145">
        <f>+B54/(B43+B54)</f>
        <v>2.0886758829763076E-2</v>
      </c>
      <c r="H51" s="118"/>
      <c r="I51" s="43"/>
      <c r="J51" s="43"/>
      <c r="K51" s="43"/>
      <c r="L51" s="43"/>
      <c r="M51" s="43"/>
      <c r="N51" s="43"/>
      <c r="O51" s="43">
        <f>+(O50*O33)</f>
        <v>-180.73542367097801</v>
      </c>
      <c r="P51" s="43">
        <f>+($P$33*P50)</f>
        <v>340.17537526403913</v>
      </c>
      <c r="Q51" s="43">
        <f>+(Q33*Q50)</f>
        <v>-65.924502716562088</v>
      </c>
      <c r="R51" s="43"/>
      <c r="S51" s="43"/>
      <c r="T51" s="43">
        <f t="shared" ref="T51" si="249">+(T33*T50)</f>
        <v>-370.54588905459849</v>
      </c>
      <c r="U51" s="164">
        <v>99.731999999999999</v>
      </c>
      <c r="V51" s="43"/>
      <c r="W51" s="43"/>
      <c r="X51" s="43">
        <f>+(X50*X33)</f>
        <v>-576.88477439514293</v>
      </c>
      <c r="Y51" s="43">
        <f>+(Y50*Y33)</f>
        <v>71.39479827372088</v>
      </c>
      <c r="Z51" s="43"/>
      <c r="AA51" s="43">
        <f t="shared" ref="AA51:AF51" si="250">+(AA50*AA33)</f>
        <v>145.26953266023503</v>
      </c>
      <c r="AB51" s="43">
        <f t="shared" si="250"/>
        <v>1904.401552999039</v>
      </c>
      <c r="AC51" s="43">
        <f t="shared" si="250"/>
        <v>-145.28771323306262</v>
      </c>
      <c r="AD51" s="43">
        <f t="shared" si="250"/>
        <v>-885.02992048063186</v>
      </c>
      <c r="AE51" s="43">
        <f t="shared" si="250"/>
        <v>-1482.3919514736831</v>
      </c>
      <c r="AF51" s="43">
        <f t="shared" si="250"/>
        <v>-765.08376381871619</v>
      </c>
      <c r="AG51" s="43">
        <f t="shared" ref="AG51:AH51" si="251">+(AG33*AG50)</f>
        <v>-2274.6722752359428</v>
      </c>
      <c r="AH51" s="43">
        <f t="shared" si="251"/>
        <v>1019.0889341238418</v>
      </c>
      <c r="AI51" s="43">
        <f t="shared" ref="AI51:AJ51" si="252">+(AI33*AI50)</f>
        <v>92.0421642774524</v>
      </c>
      <c r="AJ51" s="43">
        <f t="shared" si="252"/>
        <v>927.29894054485385</v>
      </c>
      <c r="AK51" s="43">
        <f t="shared" ref="AK51:AM51" si="253">+(AK33*AK50)</f>
        <v>2514.3345973960913</v>
      </c>
      <c r="AL51" s="43">
        <f t="shared" si="253"/>
        <v>755.23998942623132</v>
      </c>
      <c r="AM51" s="43">
        <f t="shared" si="253"/>
        <v>685.43129471447753</v>
      </c>
      <c r="AN51" s="43">
        <f t="shared" ref="AN51:AO51" si="254">+(AN33*AN50)</f>
        <v>1750.7464640670648</v>
      </c>
      <c r="AO51" s="43">
        <f t="shared" si="254"/>
        <v>1120.7678561082939</v>
      </c>
      <c r="AP51" s="43">
        <f t="shared" ref="AP51:AQ51" si="255">+(AP33*AP50)</f>
        <v>466.78917514143308</v>
      </c>
      <c r="AQ51" s="43">
        <f t="shared" si="255"/>
        <v>-648.93955129108406</v>
      </c>
      <c r="AR51" s="43">
        <f t="shared" ref="AR51" si="256">+(AR33*AR50)</f>
        <v>-212.4015780902989</v>
      </c>
      <c r="AS51" s="43"/>
      <c r="AT51" s="43"/>
      <c r="AU51" s="43"/>
      <c r="AV51" s="43"/>
      <c r="AW51" s="43"/>
      <c r="AX51" s="43">
        <f t="shared" ref="AX51:BD51" si="257">+(AX50*AX33)</f>
        <v>120.24325456399653</v>
      </c>
      <c r="AY51" s="43">
        <f t="shared" si="257"/>
        <v>-101.27100055260276</v>
      </c>
      <c r="AZ51" s="43">
        <f t="shared" si="257"/>
        <v>-19.196675085433551</v>
      </c>
      <c r="BA51" s="43">
        <f t="shared" si="257"/>
        <v>516.23586359548688</v>
      </c>
      <c r="BB51" s="43">
        <f t="shared" si="257"/>
        <v>609.95385616223564</v>
      </c>
      <c r="BC51" s="43">
        <f t="shared" si="257"/>
        <v>-1180.2117357157615</v>
      </c>
      <c r="BD51" s="43">
        <f t="shared" si="257"/>
        <v>1053.6673263466953</v>
      </c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</row>
    <row r="52" spans="1:86" x14ac:dyDescent="0.3">
      <c r="A52" s="127"/>
      <c r="B52" s="201"/>
      <c r="C52" s="201" t="s">
        <v>101</v>
      </c>
      <c r="D52" s="201"/>
      <c r="E52" s="201"/>
      <c r="F52" s="201"/>
      <c r="G52" s="145"/>
      <c r="H52" s="118"/>
      <c r="I52" s="43"/>
      <c r="J52" s="43"/>
      <c r="K52" s="43"/>
      <c r="L52" s="43"/>
      <c r="M52" s="43"/>
      <c r="N52" s="43"/>
      <c r="O52" s="118">
        <f>+O49/(O38+O49)</f>
        <v>2.0886666788062058E-2</v>
      </c>
      <c r="P52" s="118">
        <f>+P49/(P38+P49+P59)</f>
        <v>2.066326932900233E-2</v>
      </c>
      <c r="Q52" s="118">
        <f>+Q49/(Q38+Q49+Q59)</f>
        <v>2.066326932900233E-2</v>
      </c>
      <c r="R52" s="118"/>
      <c r="S52" s="118"/>
      <c r="T52" s="118">
        <f>+T49/(T38+T49+T59+T69)</f>
        <v>1.9941106517624867E-2</v>
      </c>
      <c r="U52" s="164">
        <f>TRUNC(+U50/U51,3)</f>
        <v>6372.9219999999996</v>
      </c>
      <c r="V52" s="43"/>
      <c r="W52" s="43"/>
      <c r="X52" s="118">
        <f>+X49/(X38+X49)</f>
        <v>6.9763176077915517E-2</v>
      </c>
      <c r="Y52" s="118">
        <f>+Y49/(Y38+Y49)</f>
        <v>6.9763176077915517E-2</v>
      </c>
      <c r="Z52" s="118"/>
      <c r="AA52" s="118">
        <f t="shared" ref="AA52:AF52" si="258">+AA49/(AA38+AA49+AA59)</f>
        <v>6.8418000783714197E-2</v>
      </c>
      <c r="AB52" s="118">
        <f t="shared" si="258"/>
        <v>6.8418000783714211E-2</v>
      </c>
      <c r="AC52" s="118">
        <f t="shared" si="258"/>
        <v>6.8418000783714197E-2</v>
      </c>
      <c r="AD52" s="118">
        <f t="shared" si="258"/>
        <v>6.8418000783714197E-2</v>
      </c>
      <c r="AE52" s="118">
        <f t="shared" si="258"/>
        <v>6.8418000783714183E-2</v>
      </c>
      <c r="AF52" s="118">
        <f t="shared" si="258"/>
        <v>6.8418000783714197E-2</v>
      </c>
      <c r="AG52" s="118">
        <f>+AG49/(AG38+AG49+AG59+AG69)</f>
        <v>6.6306597908946635E-2</v>
      </c>
      <c r="AH52" s="118">
        <f>+AH49/(AH38+AH49+AH59+AH69+AH79)</f>
        <v>6.6188109635391859E-2</v>
      </c>
      <c r="AI52" s="118">
        <f>+AI49/(AI38+AI49+AI59+AI69+AI79+AI89)</f>
        <v>6.5347722500373323E-2</v>
      </c>
      <c r="AJ52" s="118">
        <f>+AJ49/(AJ38+AJ49+AJ59+AJ69+AJ79+AJ89)</f>
        <v>6.5346814516403326E-2</v>
      </c>
      <c r="AK52" s="118">
        <f>+AK49/(AK38+AK49+AK59+AK69+AK79+AK89)</f>
        <v>6.5346814516403326E-2</v>
      </c>
      <c r="AL52" s="118">
        <f>+AL49/(AL38+AL49+AL59+AL69+AL79+AL89)</f>
        <v>6.5346814516403326E-2</v>
      </c>
      <c r="AM52" s="118">
        <f>+AM49/(AM38+AM49+AM59+AM69+AM79+AM89+AM99)</f>
        <v>6.5292910079860572E-2</v>
      </c>
      <c r="AN52" s="118">
        <f>+AN49/(AN38+AN49+AN59+AN69+AN79+AN89+AN99)</f>
        <v>6.5292910079860572E-2</v>
      </c>
      <c r="AO52" s="118">
        <f>+AO49/(AO38+AO49+AO59+AO69+AO79+AO89+AO99)</f>
        <v>6.5292910079860572E-2</v>
      </c>
      <c r="AP52" s="118">
        <f>AP49/(AP38+AP49+AP59+AP69+AP79+AP89+AP99+AP109)</f>
        <v>6.5064184136051362E-2</v>
      </c>
      <c r="AQ52" s="118">
        <f>AQ49/(AQ38+AQ49+AQ59+AQ69+AQ79+AQ89+AQ99+AQ109+AQ119)</f>
        <v>6.2773320548573222E-2</v>
      </c>
      <c r="AR52" s="118">
        <f>AR49/(AR38+AR49+AR59+AR69+AR79+AR89+AR99+AR109+AR119)</f>
        <v>6.2773320548573236E-2</v>
      </c>
      <c r="AS52" s="43"/>
      <c r="AT52" s="43"/>
      <c r="AU52" s="43"/>
      <c r="AV52" s="43"/>
      <c r="AW52" s="43"/>
      <c r="AX52" s="118">
        <f t="shared" ref="AX52:BD52" si="259">+AX49/(AX38+AX49)</f>
        <v>3.7053206472245893E-2</v>
      </c>
      <c r="AY52" s="118">
        <f t="shared" si="259"/>
        <v>3.7053206472245893E-2</v>
      </c>
      <c r="AZ52" s="118">
        <f t="shared" si="259"/>
        <v>3.7053206472245886E-2</v>
      </c>
      <c r="BA52" s="118">
        <f t="shared" si="259"/>
        <v>3.705320647224588E-2</v>
      </c>
      <c r="BB52" s="118">
        <f t="shared" si="259"/>
        <v>3.7055457861139618E-2</v>
      </c>
      <c r="BC52" s="118">
        <f t="shared" si="259"/>
        <v>3.7055457861139611E-2</v>
      </c>
      <c r="BD52" s="118">
        <f t="shared" si="259"/>
        <v>3.7055457861139618E-2</v>
      </c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64"/>
      <c r="CG52" s="64"/>
      <c r="CH52" s="64"/>
    </row>
    <row r="53" spans="1:86" x14ac:dyDescent="0.3">
      <c r="A53" s="127"/>
      <c r="B53" s="201">
        <f>TRUNC(169882.49/100.253,3)</f>
        <v>1694.537</v>
      </c>
      <c r="C53" s="201" t="s">
        <v>102</v>
      </c>
      <c r="D53" s="201"/>
      <c r="E53" s="201"/>
      <c r="F53" s="201"/>
      <c r="G53" s="145"/>
      <c r="H53" s="118"/>
      <c r="I53" s="43"/>
      <c r="J53" s="43"/>
      <c r="K53" s="43"/>
      <c r="L53" s="43"/>
      <c r="M53" s="43"/>
      <c r="N53" s="43"/>
      <c r="O53" s="43">
        <f>+O52*O34</f>
        <v>-31.509625516470415</v>
      </c>
      <c r="P53" s="43">
        <f>+P52*P34</f>
        <v>30.827738144631869</v>
      </c>
      <c r="Q53" s="43">
        <f>+Q52*Q34</f>
        <v>172.51970195477335</v>
      </c>
      <c r="R53" s="43"/>
      <c r="S53" s="43"/>
      <c r="T53" s="43">
        <f>+T52*T34</f>
        <v>3.6284837419470213</v>
      </c>
      <c r="U53" s="43">
        <v>466650.84</v>
      </c>
      <c r="V53" s="43"/>
      <c r="W53" s="43"/>
      <c r="X53" s="43">
        <f>+X52*X34</f>
        <v>-1626.8598253429702</v>
      </c>
      <c r="Y53" s="43">
        <f>+Y52*Y34</f>
        <v>448.19701287137207</v>
      </c>
      <c r="Z53" s="43"/>
      <c r="AA53" s="43">
        <f t="shared" ref="AA53:AF53" si="260">+AA52*AA34</f>
        <v>-1015.8807383367059</v>
      </c>
      <c r="AB53" s="43">
        <f t="shared" si="260"/>
        <v>1617.355014286471</v>
      </c>
      <c r="AC53" s="43">
        <f t="shared" si="260"/>
        <v>128.74557297475414</v>
      </c>
      <c r="AD53" s="43">
        <f t="shared" si="260"/>
        <v>-2522.5710047155344</v>
      </c>
      <c r="AE53" s="43">
        <f t="shared" si="260"/>
        <v>-1791.4418805605997</v>
      </c>
      <c r="AF53" s="43">
        <f t="shared" si="260"/>
        <v>302.13320728087393</v>
      </c>
      <c r="AG53" s="43">
        <f t="shared" ref="AG53:AM53" si="261">+AG52*AG34</f>
        <v>-2167.9737865505008</v>
      </c>
      <c r="AH53" s="43">
        <f t="shared" si="261"/>
        <v>2524.2536643874314</v>
      </c>
      <c r="AI53" s="43">
        <f t="shared" si="261"/>
        <v>421.64703075250861</v>
      </c>
      <c r="AJ53" s="43">
        <f t="shared" si="261"/>
        <v>351.64035746679855</v>
      </c>
      <c r="AK53" s="43">
        <f t="shared" si="261"/>
        <v>1228.3580528083819</v>
      </c>
      <c r="AL53" s="43">
        <f t="shared" si="261"/>
        <v>-1454.6638735008642</v>
      </c>
      <c r="AM53" s="43">
        <f t="shared" si="261"/>
        <v>2244.9249927424958</v>
      </c>
      <c r="AN53" s="43">
        <f t="shared" ref="AN53:AO53" si="262">+AN52*AN34</f>
        <v>715.64294093031185</v>
      </c>
      <c r="AO53" s="43">
        <f t="shared" si="262"/>
        <v>174.64090537790557</v>
      </c>
      <c r="AP53" s="43">
        <f t="shared" ref="AP53:AQ53" si="263">+AP52*AP34</f>
        <v>-946.65785350589294</v>
      </c>
      <c r="AQ53" s="43">
        <f t="shared" si="263"/>
        <v>-659.06274203831958</v>
      </c>
      <c r="AR53" s="43">
        <f t="shared" ref="AR53" si="264">+AR52*AR34</f>
        <v>-971.10829075207175</v>
      </c>
      <c r="AS53" s="43"/>
      <c r="AT53" s="43"/>
      <c r="AU53" s="43"/>
      <c r="AV53" s="43"/>
      <c r="AW53" s="43"/>
      <c r="AX53" s="43">
        <f t="shared" ref="AX53:BD53" si="265">+AX52*AX34</f>
        <v>-305.30174738839378</v>
      </c>
      <c r="AY53" s="43">
        <f t="shared" si="265"/>
        <v>270.0585900523173</v>
      </c>
      <c r="AZ53" s="43">
        <f t="shared" si="265"/>
        <v>411.69076647182948</v>
      </c>
      <c r="BA53" s="43">
        <f t="shared" si="265"/>
        <v>797.64178200358401</v>
      </c>
      <c r="BB53" s="43">
        <f t="shared" si="265"/>
        <v>-77.592646542911879</v>
      </c>
      <c r="BC53" s="43">
        <f t="shared" si="265"/>
        <v>112.22764189656185</v>
      </c>
      <c r="BD53" s="43">
        <f t="shared" si="265"/>
        <v>98.452275436683223</v>
      </c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</row>
    <row r="54" spans="1:86" x14ac:dyDescent="0.3">
      <c r="A54" s="1">
        <v>43305</v>
      </c>
      <c r="B54" s="201">
        <v>1694.537</v>
      </c>
      <c r="C54" s="201"/>
      <c r="D54" s="201"/>
      <c r="E54" s="201"/>
      <c r="F54" s="201"/>
      <c r="G54" s="201"/>
      <c r="H54" s="111"/>
      <c r="I54" s="111"/>
      <c r="J54" s="111"/>
      <c r="K54" s="111"/>
      <c r="L54" s="111"/>
      <c r="M54" s="111"/>
      <c r="N54" s="111"/>
      <c r="O54" s="111">
        <f>+O49+O51+O53</f>
        <v>124426.03495081255</v>
      </c>
      <c r="P54" s="111">
        <f>+P49+P51+P53</f>
        <v>124791.92466552462</v>
      </c>
      <c r="Q54" s="111">
        <f>+Q49+Q51+Q53</f>
        <v>124893.39142950262</v>
      </c>
      <c r="R54" s="111"/>
      <c r="S54" s="111"/>
      <c r="T54" s="111">
        <f t="shared" ref="T54" si="266">+T49+T51+T53</f>
        <v>124521.34141906274</v>
      </c>
      <c r="U54" s="1">
        <v>43314</v>
      </c>
      <c r="V54" s="111"/>
      <c r="W54" s="111"/>
      <c r="X54" s="111">
        <f>+X49+X51+X53</f>
        <v>464447.09540026193</v>
      </c>
      <c r="Y54" s="111">
        <f>+Y49+Y51+Y53</f>
        <v>464947.6003444728</v>
      </c>
      <c r="Z54" s="111"/>
      <c r="AA54" s="111">
        <f t="shared" ref="AA54:AG54" si="267">+AA49+AA51+AA53</f>
        <v>464057.88170316577</v>
      </c>
      <c r="AB54" s="111">
        <f t="shared" si="267"/>
        <v>467522.42565489886</v>
      </c>
      <c r="AC54" s="111">
        <f t="shared" si="267"/>
        <v>467486.67026427115</v>
      </c>
      <c r="AD54" s="111">
        <f t="shared" si="267"/>
        <v>464059.85755810526</v>
      </c>
      <c r="AE54" s="111">
        <f t="shared" si="267"/>
        <v>460747.88181997032</v>
      </c>
      <c r="AF54" s="111">
        <f t="shared" si="267"/>
        <v>460228.12673005741</v>
      </c>
      <c r="AG54" s="111">
        <f t="shared" si="267"/>
        <v>455766.56718361081</v>
      </c>
      <c r="AH54" s="111">
        <f t="shared" ref="AH54:AI54" si="268">+AH49+AH51+AH53</f>
        <v>459291.17964922416</v>
      </c>
      <c r="AI54" s="111">
        <f t="shared" si="268"/>
        <v>459785.99386426853</v>
      </c>
      <c r="AJ54" s="111">
        <f t="shared" ref="AJ54:AK54" si="269">+AJ49+AJ51+AJ53</f>
        <v>461046.03784746386</v>
      </c>
      <c r="AK54" s="111">
        <f t="shared" si="269"/>
        <v>464731.88920533098</v>
      </c>
      <c r="AL54" s="111">
        <f t="shared" ref="AL54:AM54" si="270">+AL49+AL51+AL53</f>
        <v>464013.36675046704</v>
      </c>
      <c r="AM54" s="111">
        <f t="shared" si="270"/>
        <v>466905.58495298558</v>
      </c>
      <c r="AN54" s="111">
        <f t="shared" ref="AN54:AO54" si="271">+AN49+AN51+AN53</f>
        <v>469352.7864572315</v>
      </c>
      <c r="AO54" s="111">
        <f t="shared" si="271"/>
        <v>470590.32980668877</v>
      </c>
      <c r="AP54" s="111">
        <f t="shared" ref="AP54:AQ54" si="272">+AP49+AP51+AP53</f>
        <v>470091.12179970212</v>
      </c>
      <c r="AQ54" s="111">
        <f t="shared" si="272"/>
        <v>468763.80069314805</v>
      </c>
      <c r="AR54" s="111">
        <f t="shared" ref="AR54" si="273">+AR49+AR51+AR53</f>
        <v>467561.02655852382</v>
      </c>
      <c r="AS54" s="111"/>
      <c r="AT54" s="111"/>
      <c r="AU54" s="111"/>
      <c r="AV54" s="111"/>
      <c r="AW54" s="111"/>
      <c r="AX54" s="111">
        <f t="shared" ref="AX54:BD54" si="274">+AX49+AX51+AX53</f>
        <v>282868.33150717564</v>
      </c>
      <c r="AY54" s="111">
        <f t="shared" si="274"/>
        <v>283002.24491881824</v>
      </c>
      <c r="AZ54" s="111">
        <f t="shared" si="274"/>
        <v>283383.10878096137</v>
      </c>
      <c r="BA54" s="111">
        <f t="shared" si="274"/>
        <v>284685.34054537764</v>
      </c>
      <c r="BB54" s="111">
        <f t="shared" si="274"/>
        <v>285206.14235744032</v>
      </c>
      <c r="BC54" s="111">
        <f t="shared" si="274"/>
        <v>284126.4374632503</v>
      </c>
      <c r="BD54" s="111">
        <f t="shared" si="274"/>
        <v>285243.5277782231</v>
      </c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  <c r="CE54" s="64"/>
      <c r="CF54" s="64"/>
      <c r="CG54" s="64"/>
      <c r="CH54" s="64"/>
    </row>
    <row r="55" spans="1:86" s="112" customFormat="1" x14ac:dyDescent="0.3">
      <c r="B55" s="129"/>
      <c r="C55" s="129"/>
      <c r="D55" s="129"/>
      <c r="E55" s="129"/>
      <c r="F55" s="129"/>
      <c r="G55" s="129"/>
      <c r="H55" s="132">
        <f>H54*1.5%/365</f>
        <v>0</v>
      </c>
      <c r="I55" s="132">
        <f>I54*1.5%/365</f>
        <v>0</v>
      </c>
      <c r="J55" s="132">
        <f>J54*1.5%/365</f>
        <v>0</v>
      </c>
      <c r="K55" s="132">
        <f>K54*1.5%/365*3</f>
        <v>0</v>
      </c>
      <c r="L55" s="132">
        <f t="shared" ref="L55" si="275">L54*1.5%/365</f>
        <v>0</v>
      </c>
      <c r="M55" s="132">
        <f>M54*1.5%/365*3</f>
        <v>0</v>
      </c>
      <c r="N55" s="132">
        <f t="shared" ref="N55" si="276">N54*1.5%/365</f>
        <v>0</v>
      </c>
      <c r="O55" s="132">
        <f>O54*1.5%/365</f>
        <v>5.1133986966087344</v>
      </c>
      <c r="P55" s="132">
        <f>P54*1.5%/365</f>
        <v>5.1284352602270387</v>
      </c>
      <c r="Q55" s="132">
        <f>Q54*1.5%/365</f>
        <v>5.1326051272398336</v>
      </c>
      <c r="R55" s="132"/>
      <c r="S55" s="132"/>
      <c r="T55" s="132">
        <f>T54*1.5%/365*3</f>
        <v>15.351946202350199</v>
      </c>
      <c r="U55" s="132"/>
      <c r="V55" s="132">
        <f>V54*1.5%/365</f>
        <v>0</v>
      </c>
      <c r="W55" s="132">
        <f>W54*1.5%/365</f>
        <v>0</v>
      </c>
      <c r="X55" s="132">
        <f>X54*1.5%/365</f>
        <v>19.086866934257337</v>
      </c>
      <c r="Y55" s="132">
        <f>Y54*1.5%/365</f>
        <v>19.107435630594772</v>
      </c>
      <c r="Z55" s="132"/>
      <c r="AA55" s="132">
        <f>AA54*1.5%/365*3</f>
        <v>57.212615552445094</v>
      </c>
      <c r="AB55" s="132">
        <f>AB54*1.5%/365</f>
        <v>19.213250369379406</v>
      </c>
      <c r="AC55" s="132">
        <f>AC54*1.5%/365</f>
        <v>19.211780969764568</v>
      </c>
      <c r="AD55" s="132">
        <f>AD54*1.5%/365*2</f>
        <v>38.141906100666183</v>
      </c>
      <c r="AE55" s="132">
        <f>AE54*1.5%/365*3</f>
        <v>56.804533375064821</v>
      </c>
      <c r="AF55" s="132">
        <f>AF54*1.5%/365</f>
        <v>18.913484660139343</v>
      </c>
      <c r="AG55" s="132">
        <f>AG54*1.5%/365</f>
        <v>18.730132897956608</v>
      </c>
      <c r="AH55" s="132">
        <f>AH54*1.5%/365</f>
        <v>18.874979985584552</v>
      </c>
      <c r="AI55" s="132">
        <f>AI54*1.5%/365</f>
        <v>18.895314816339802</v>
      </c>
      <c r="AJ55" s="132">
        <f>AJ54*1.5%/365*3</f>
        <v>56.841292337358553</v>
      </c>
      <c r="AK55" s="132">
        <f>AK54*1.5%/365</f>
        <v>19.098570789260176</v>
      </c>
      <c r="AL55" s="132">
        <f>AL54*1.5%/365*2</f>
        <v>38.138084938394549</v>
      </c>
      <c r="AM55" s="132">
        <f>AM54*1.5%/365</f>
        <v>19.187900751492556</v>
      </c>
      <c r="AN55" s="132">
        <f>AN54*1.5%/365*3</f>
        <v>57.865412028973751</v>
      </c>
      <c r="AO55" s="132">
        <f t="shared" ref="AO55:AT55" si="277">AO54*1.5%/365</f>
        <v>19.339328622192689</v>
      </c>
      <c r="AP55" s="132">
        <f t="shared" si="277"/>
        <v>19.318813224645293</v>
      </c>
      <c r="AQ55" s="132">
        <f t="shared" si="277"/>
        <v>19.264265781910193</v>
      </c>
      <c r="AR55" s="132">
        <f t="shared" si="277"/>
        <v>19.21483670788454</v>
      </c>
      <c r="AS55" s="132">
        <f t="shared" si="277"/>
        <v>0</v>
      </c>
      <c r="AT55" s="132">
        <f t="shared" si="277"/>
        <v>0</v>
      </c>
      <c r="AU55" s="132">
        <f t="shared" ref="AU55:AV55" si="278">AU54*1.5%/365</f>
        <v>0</v>
      </c>
      <c r="AV55" s="132">
        <f t="shared" si="278"/>
        <v>0</v>
      </c>
      <c r="AW55" s="132">
        <f t="shared" ref="AW55" si="279">AW54*1.5%/365</f>
        <v>0</v>
      </c>
      <c r="AX55" s="132">
        <f>AX54*1.5%/365*3</f>
        <v>34.874177857049048</v>
      </c>
      <c r="AY55" s="132">
        <f>AY54*1.5%/365</f>
        <v>11.630229243239105</v>
      </c>
      <c r="AZ55" s="132">
        <f>AZ54*1.5%/365</f>
        <v>11.645881182779235</v>
      </c>
      <c r="BA55" s="132">
        <f>BA54*1.5%/365</f>
        <v>11.699397556659354</v>
      </c>
      <c r="BB55" s="132">
        <f>BB54*1.5%/365</f>
        <v>11.720800370853713</v>
      </c>
      <c r="BC55" s="132">
        <f>BC54*1.5%/365*3</f>
        <v>35.029286810537705</v>
      </c>
      <c r="BD55" s="132">
        <f>BD54*1.5%/365</f>
        <v>11.722336758009167</v>
      </c>
      <c r="BE55" s="131"/>
      <c r="BF55" s="131"/>
      <c r="BG55" s="131"/>
      <c r="BH55" s="131"/>
      <c r="BI55" s="131"/>
      <c r="BJ55" s="131"/>
      <c r="BK55" s="131"/>
      <c r="BL55" s="131"/>
      <c r="BM55" s="131"/>
      <c r="BN55" s="131"/>
      <c r="BO55" s="131"/>
      <c r="BP55" s="131"/>
      <c r="BQ55" s="131"/>
      <c r="BR55" s="131"/>
      <c r="BS55" s="131"/>
      <c r="BT55" s="131"/>
      <c r="BU55" s="131"/>
      <c r="BV55" s="131"/>
      <c r="BW55" s="131"/>
      <c r="BX55" s="131"/>
      <c r="BY55" s="131"/>
      <c r="BZ55" s="131"/>
      <c r="CA55" s="131"/>
      <c r="CB55" s="131"/>
      <c r="CC55" s="131"/>
      <c r="CD55" s="131"/>
      <c r="CE55" s="131"/>
      <c r="CF55" s="131"/>
      <c r="CG55" s="131"/>
      <c r="CH55" s="131"/>
    </row>
    <row r="56" spans="1:86" s="112" customFormat="1" x14ac:dyDescent="0.3">
      <c r="B56" s="113"/>
      <c r="C56" s="129"/>
      <c r="D56" s="129"/>
      <c r="E56" s="129"/>
      <c r="F56" s="129"/>
      <c r="G56" s="129"/>
      <c r="H56" s="130">
        <f>+H54-H55</f>
        <v>0</v>
      </c>
      <c r="I56" s="130">
        <f>+I54-I55</f>
        <v>0</v>
      </c>
      <c r="J56" s="130">
        <f>+J54-J55</f>
        <v>0</v>
      </c>
      <c r="K56" s="130">
        <f>+K54-K55</f>
        <v>0</v>
      </c>
      <c r="L56" s="130">
        <f t="shared" ref="L56:P56" si="280">+L54-L55</f>
        <v>0</v>
      </c>
      <c r="M56" s="130">
        <f t="shared" si="280"/>
        <v>0</v>
      </c>
      <c r="N56" s="130">
        <f t="shared" si="280"/>
        <v>0</v>
      </c>
      <c r="O56" s="130">
        <f>+O54-O55</f>
        <v>124420.92155211595</v>
      </c>
      <c r="P56" s="130">
        <f t="shared" si="280"/>
        <v>124786.7962302644</v>
      </c>
      <c r="Q56" s="130">
        <f t="shared" ref="Q56" si="281">+Q54-Q55</f>
        <v>124888.25882437539</v>
      </c>
      <c r="R56" s="130"/>
      <c r="S56" s="130"/>
      <c r="T56" s="130">
        <f t="shared" ref="T56" si="282">+T54-T55</f>
        <v>124505.98947286038</v>
      </c>
      <c r="U56" s="130"/>
      <c r="V56" s="130">
        <f>+V54-V55</f>
        <v>0</v>
      </c>
      <c r="W56" s="130">
        <f>+W54-W55</f>
        <v>0</v>
      </c>
      <c r="X56" s="130">
        <f>+X54-X55</f>
        <v>464428.00853332767</v>
      </c>
      <c r="Y56" s="130">
        <f>+Y54-Y55</f>
        <v>464928.49290884222</v>
      </c>
      <c r="Z56" s="130"/>
      <c r="AA56" s="130">
        <f t="shared" ref="AA56:AG56" si="283">+AA54-AA55</f>
        <v>464000.66908761335</v>
      </c>
      <c r="AB56" s="130">
        <f t="shared" si="283"/>
        <v>467503.21240452951</v>
      </c>
      <c r="AC56" s="130">
        <f t="shared" si="283"/>
        <v>467467.45848330139</v>
      </c>
      <c r="AD56" s="130">
        <f t="shared" si="283"/>
        <v>464021.71565200458</v>
      </c>
      <c r="AE56" s="130">
        <f t="shared" si="283"/>
        <v>460691.07728659525</v>
      </c>
      <c r="AF56" s="130">
        <f t="shared" si="283"/>
        <v>460209.21324539726</v>
      </c>
      <c r="AG56" s="130">
        <f t="shared" si="283"/>
        <v>455747.83705071284</v>
      </c>
      <c r="AH56" s="130">
        <f t="shared" ref="AH56:AI56" si="284">+AH54-AH55</f>
        <v>459272.30466923857</v>
      </c>
      <c r="AI56" s="130">
        <f t="shared" si="284"/>
        <v>459767.0985494522</v>
      </c>
      <c r="AJ56" s="130">
        <f t="shared" ref="AJ56:AK56" si="285">+AJ54-AJ55</f>
        <v>460989.19655512652</v>
      </c>
      <c r="AK56" s="130">
        <f t="shared" si="285"/>
        <v>464712.79063454171</v>
      </c>
      <c r="AL56" s="130">
        <f t="shared" ref="AL56:AM56" si="286">+AL54-AL55</f>
        <v>463975.22866552864</v>
      </c>
      <c r="AM56" s="130">
        <f t="shared" si="286"/>
        <v>466886.3970522341</v>
      </c>
      <c r="AN56" s="130">
        <f t="shared" ref="AN56:AO56" si="287">+AN54-AN55</f>
        <v>469294.92104520253</v>
      </c>
      <c r="AO56" s="130">
        <f t="shared" si="287"/>
        <v>470570.99047806655</v>
      </c>
      <c r="AP56" s="130">
        <f t="shared" ref="AP56:AQ56" si="288">+AP54-AP55</f>
        <v>470071.80298647744</v>
      </c>
      <c r="AQ56" s="130">
        <f t="shared" si="288"/>
        <v>468744.53642736614</v>
      </c>
      <c r="AR56" s="130">
        <f t="shared" ref="AR56" si="289">+AR54-AR55</f>
        <v>467541.81172181596</v>
      </c>
      <c r="AS56" s="130">
        <f t="shared" ref="AS56:AY56" si="290">+AS54-AS55</f>
        <v>0</v>
      </c>
      <c r="AT56" s="130">
        <f t="shared" si="290"/>
        <v>0</v>
      </c>
      <c r="AU56" s="130">
        <f t="shared" si="290"/>
        <v>0</v>
      </c>
      <c r="AV56" s="130">
        <f t="shared" si="290"/>
        <v>0</v>
      </c>
      <c r="AW56" s="130">
        <f t="shared" si="290"/>
        <v>0</v>
      </c>
      <c r="AX56" s="130">
        <f t="shared" si="290"/>
        <v>282833.45732931857</v>
      </c>
      <c r="AY56" s="130">
        <f t="shared" si="290"/>
        <v>282990.61468957498</v>
      </c>
      <c r="AZ56" s="130">
        <f t="shared" ref="AZ56:BA56" si="291">+AZ54-AZ55</f>
        <v>283371.46289977856</v>
      </c>
      <c r="BA56" s="130">
        <f t="shared" si="291"/>
        <v>284673.64114782098</v>
      </c>
      <c r="BB56" s="130">
        <f t="shared" ref="BB56:BC56" si="292">+BB54-BB55</f>
        <v>285194.42155706947</v>
      </c>
      <c r="BC56" s="130">
        <f t="shared" si="292"/>
        <v>284091.40817643976</v>
      </c>
      <c r="BD56" s="130">
        <f t="shared" ref="BD56" si="293">+BD54-BD55</f>
        <v>285231.80544146511</v>
      </c>
      <c r="BE56" s="131"/>
      <c r="BF56" s="131"/>
      <c r="BG56" s="131"/>
      <c r="BH56" s="131"/>
      <c r="BI56" s="131"/>
      <c r="BJ56" s="131"/>
      <c r="BK56" s="131"/>
      <c r="BL56" s="131"/>
      <c r="BM56" s="131"/>
      <c r="BN56" s="131"/>
      <c r="BO56" s="131"/>
      <c r="BP56" s="131"/>
      <c r="BQ56" s="131"/>
      <c r="BR56" s="131"/>
      <c r="BS56" s="131"/>
      <c r="BT56" s="131"/>
      <c r="BU56" s="131"/>
      <c r="BV56" s="131"/>
      <c r="BW56" s="131"/>
      <c r="BX56" s="131"/>
      <c r="BY56" s="131"/>
      <c r="BZ56" s="131"/>
      <c r="CA56" s="131"/>
      <c r="CB56" s="131"/>
      <c r="CC56" s="131"/>
      <c r="CD56" s="131"/>
      <c r="CE56" s="131"/>
      <c r="CF56" s="131"/>
      <c r="CG56" s="131"/>
      <c r="CH56" s="131"/>
    </row>
    <row r="57" spans="1:86" s="112" customFormat="1" x14ac:dyDescent="0.3">
      <c r="A57" s="129"/>
      <c r="B57" s="129"/>
      <c r="C57" s="129"/>
      <c r="D57" s="129"/>
      <c r="E57" s="129"/>
      <c r="F57" s="129"/>
      <c r="G57" s="129"/>
      <c r="H57" s="130" t="e">
        <f>+H56/H49*100</f>
        <v>#DIV/0!</v>
      </c>
      <c r="I57" s="130">
        <f>+I56/B54*I12</f>
        <v>0</v>
      </c>
      <c r="J57" s="130">
        <f>+J56/$B$43*J12</f>
        <v>0</v>
      </c>
      <c r="K57" s="130">
        <f>+K56/$B$43*K12</f>
        <v>0</v>
      </c>
      <c r="L57" s="130">
        <f>+L56/$B$43*L12</f>
        <v>0</v>
      </c>
      <c r="M57" s="130">
        <f>+M56/$B$43*M12</f>
        <v>0</v>
      </c>
      <c r="N57" s="130">
        <f>+N56/$B$43*N12</f>
        <v>0</v>
      </c>
      <c r="O57" s="130">
        <f>+O56/$B$54*O3</f>
        <v>100.10727676300658</v>
      </c>
      <c r="P57" s="130">
        <f>+P56/$B$54*P3</f>
        <v>100.37219798791668</v>
      </c>
      <c r="Q57" s="130">
        <f>+Q56/$B$54*Q3</f>
        <v>100.30640833453322</v>
      </c>
      <c r="R57" s="130"/>
      <c r="S57" s="130"/>
      <c r="T57" s="130">
        <f t="shared" ref="T57" si="294">+T56/$B$54*T3</f>
        <v>99.988360109069333</v>
      </c>
      <c r="U57" s="130"/>
      <c r="V57" s="130" t="e">
        <f>+V56/N54*V12</f>
        <v>#DIV/0!</v>
      </c>
      <c r="W57" s="130">
        <f>+W56/O54*W12</f>
        <v>0</v>
      </c>
      <c r="X57" s="130">
        <f>+X56/$U$52*X3</f>
        <v>99.624051426564719</v>
      </c>
      <c r="Y57" s="130">
        <f>+Y56/$U$52*Y3</f>
        <v>99.625626975556102</v>
      </c>
      <c r="Z57" s="130"/>
      <c r="AA57" s="130">
        <f t="shared" ref="AA57:AG57" si="295">TRUNC(+AA56/$U$52*AA3,3)</f>
        <v>99.644999999999996</v>
      </c>
      <c r="AB57" s="130">
        <f t="shared" si="295"/>
        <v>100.048</v>
      </c>
      <c r="AC57" s="130">
        <f t="shared" si="295"/>
        <v>100.015</v>
      </c>
      <c r="AD57" s="130">
        <f t="shared" si="295"/>
        <v>99.808999999999997</v>
      </c>
      <c r="AE57" s="130">
        <f t="shared" si="295"/>
        <v>99.465000000000003</v>
      </c>
      <c r="AF57" s="130">
        <f t="shared" si="295"/>
        <v>99.296000000000006</v>
      </c>
      <c r="AG57" s="130">
        <f t="shared" si="295"/>
        <v>98.802000000000007</v>
      </c>
      <c r="AH57" s="130">
        <f t="shared" ref="AH57:AI57" si="296">TRUNC(+AH56/$U$52*AH3,3)</f>
        <v>99.025999999999996</v>
      </c>
      <c r="AI57" s="130">
        <f t="shared" si="296"/>
        <v>99.028000000000006</v>
      </c>
      <c r="AJ57" s="176">
        <f t="shared" ref="AJ57:AK57" si="297">TRUNC(+AJ56/$U$52*AJ3,3)</f>
        <v>99.207999999999998</v>
      </c>
      <c r="AK57" s="176">
        <f t="shared" si="297"/>
        <v>99.736000000000004</v>
      </c>
      <c r="AL57" s="176">
        <f t="shared" ref="AL57:AM57" si="298">TRUNC(+AL56/$U$52*AL3,3)</f>
        <v>99.887</v>
      </c>
      <c r="AM57" s="176">
        <f t="shared" si="298"/>
        <v>100.015</v>
      </c>
      <c r="AN57" s="176">
        <f t="shared" ref="AN57:AO57" si="299">TRUNC(+AN56/$U$52*AN3,3)</f>
        <v>100.366</v>
      </c>
      <c r="AO57" s="176">
        <f t="shared" si="299"/>
        <v>100.598</v>
      </c>
      <c r="AP57" s="176">
        <f t="shared" ref="AP57:AQ57" si="300">TRUNC(+AP56/$U$52*AP3,3)</f>
        <v>100.69799999999999</v>
      </c>
      <c r="AQ57" s="176">
        <f t="shared" si="300"/>
        <v>100.557</v>
      </c>
      <c r="AR57" s="176">
        <f t="shared" ref="AR57" si="301">TRUNC(+AR56/$U$52*AR3,3)</f>
        <v>100.512</v>
      </c>
      <c r="AS57" s="130">
        <f>+AS56/AK54*AS12</f>
        <v>0</v>
      </c>
      <c r="AT57" s="130">
        <f>+AT56/AL54*AT12</f>
        <v>0</v>
      </c>
      <c r="AU57" s="130">
        <f>+AU56/AM54*AU12</f>
        <v>0</v>
      </c>
      <c r="AV57" s="130">
        <f>+AV56/AN54*AV12</f>
        <v>0</v>
      </c>
      <c r="AW57" s="130">
        <f>+AW56/AO54*AW12</f>
        <v>0</v>
      </c>
      <c r="AX57" s="130">
        <f>TRUNC(AX56/3906.497*AX3,3)</f>
        <v>99.84</v>
      </c>
      <c r="AY57" s="130">
        <f>TRUNC(AY56/3906.497*AY3,3)</f>
        <v>99.798000000000002</v>
      </c>
      <c r="AZ57" s="130">
        <f>TRUNC(AZ56/3906.497*AZ3,3)</f>
        <v>99.769000000000005</v>
      </c>
      <c r="BA57" s="130">
        <f>TRUNC(BA56/3906.497*BA3,3)</f>
        <v>99.94</v>
      </c>
      <c r="BB57" s="130">
        <f>TRUNC(BB56/(3906.497+0.235)*BB3,3)</f>
        <v>100.142</v>
      </c>
      <c r="BC57" s="130">
        <f>TRUNC(BC56/(3906.497+0.235)*BC3,3)</f>
        <v>99.710999999999999</v>
      </c>
      <c r="BD57" s="130">
        <f>TRUNC(BD56/(3906.497+0.235)*BD3,3)</f>
        <v>100.075</v>
      </c>
      <c r="BE57" s="131"/>
      <c r="BF57" s="131"/>
      <c r="BG57" s="131"/>
      <c r="BH57" s="131"/>
      <c r="BI57" s="131"/>
      <c r="BJ57" s="131"/>
      <c r="BK57" s="131"/>
      <c r="BL57" s="131"/>
      <c r="BM57" s="131"/>
      <c r="BN57" s="131"/>
      <c r="BO57" s="131"/>
      <c r="BP57" s="131"/>
      <c r="BQ57" s="131"/>
      <c r="BR57" s="131"/>
      <c r="BS57" s="131"/>
      <c r="BT57" s="131"/>
      <c r="BU57" s="131"/>
      <c r="BV57" s="131"/>
      <c r="BW57" s="131"/>
      <c r="BX57" s="131"/>
      <c r="BY57" s="131"/>
      <c r="BZ57" s="131"/>
      <c r="CA57" s="131"/>
      <c r="CB57" s="131"/>
      <c r="CC57" s="131"/>
      <c r="CD57" s="131"/>
      <c r="CE57" s="131"/>
      <c r="CF57" s="131"/>
      <c r="CG57" s="131"/>
      <c r="CH57" s="131"/>
    </row>
    <row r="58" spans="1:86" x14ac:dyDescent="0.3">
      <c r="H58" s="128"/>
    </row>
    <row r="59" spans="1:86" x14ac:dyDescent="0.3">
      <c r="A59" s="201"/>
      <c r="B59" s="201">
        <v>64402.61</v>
      </c>
      <c r="C59" s="201"/>
      <c r="D59" s="201"/>
      <c r="E59" s="201"/>
      <c r="F59" s="201"/>
      <c r="G59" s="201"/>
      <c r="H59" s="64"/>
      <c r="I59" s="64"/>
      <c r="J59" s="64"/>
      <c r="K59" s="64"/>
      <c r="L59" s="64"/>
      <c r="M59" s="64"/>
      <c r="N59" s="64"/>
      <c r="O59" s="64"/>
      <c r="P59" s="64">
        <v>64402.61</v>
      </c>
      <c r="Q59" s="64">
        <f>+P66</f>
        <v>64591.993617415181</v>
      </c>
      <c r="R59" s="64"/>
      <c r="S59" s="64"/>
      <c r="T59" s="64">
        <f>+Q66</f>
        <v>64644.512565166107</v>
      </c>
      <c r="U59" s="64"/>
      <c r="V59" s="64"/>
      <c r="W59" s="64"/>
      <c r="X59" s="64"/>
      <c r="Y59" s="64"/>
      <c r="Z59" s="64"/>
      <c r="AA59" s="64">
        <v>131029.3</v>
      </c>
      <c r="AB59" s="64">
        <f>AA66</f>
        <v>130767.81440022889</v>
      </c>
      <c r="AC59" s="64">
        <f>AB66</f>
        <v>131754.92490439236</v>
      </c>
      <c r="AD59" s="64">
        <f>AC66</f>
        <v>131744.84849190695</v>
      </c>
      <c r="AE59" s="64">
        <f>AD66</f>
        <v>130773.74588569743</v>
      </c>
      <c r="AF59" s="64">
        <f>AE66</f>
        <v>129835.08280045111</v>
      </c>
      <c r="AG59" s="64">
        <f t="shared" ref="AG59:AR59" si="302">+AF66</f>
        <v>129699.28060941241</v>
      </c>
      <c r="AH59" s="64">
        <f t="shared" si="302"/>
        <v>128441.94532292831</v>
      </c>
      <c r="AI59" s="64">
        <f t="shared" si="302"/>
        <v>129435.23468241404</v>
      </c>
      <c r="AJ59" s="64">
        <f t="shared" si="302"/>
        <v>129574.68084834602</v>
      </c>
      <c r="AK59" s="64">
        <f t="shared" si="302"/>
        <v>129919.1007939016</v>
      </c>
      <c r="AL59" s="64">
        <f t="shared" si="302"/>
        <v>130968.50932263545</v>
      </c>
      <c r="AM59" s="64">
        <f t="shared" si="302"/>
        <v>130760.64460799568</v>
      </c>
      <c r="AN59" s="64">
        <f t="shared" si="302"/>
        <v>131581.08981991548</v>
      </c>
      <c r="AO59" s="64">
        <f t="shared" si="302"/>
        <v>132259.87638095708</v>
      </c>
      <c r="AP59" s="64">
        <f t="shared" si="302"/>
        <v>132619.50692003945</v>
      </c>
      <c r="AQ59" s="64">
        <f t="shared" si="302"/>
        <v>132478.82251676175</v>
      </c>
      <c r="AR59" s="64">
        <f t="shared" si="302"/>
        <v>132104.76325645339</v>
      </c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64"/>
      <c r="CH59" s="64"/>
    </row>
    <row r="60" spans="1:86" x14ac:dyDescent="0.3">
      <c r="A60" s="127" t="s">
        <v>99</v>
      </c>
      <c r="B60" s="201">
        <v>64402.61</v>
      </c>
      <c r="C60" s="201" t="s">
        <v>100</v>
      </c>
      <c r="D60" s="201"/>
      <c r="E60" s="201"/>
      <c r="F60" s="201"/>
      <c r="G60" s="201"/>
      <c r="H60" s="118"/>
      <c r="I60" s="118"/>
      <c r="J60" s="118"/>
      <c r="K60" s="118"/>
      <c r="L60" s="118"/>
      <c r="M60" s="118"/>
      <c r="N60" s="118"/>
      <c r="O60" s="118"/>
      <c r="P60" s="118">
        <f>+P59/(P38+P49+P153+P59)</f>
        <v>1.0436419776959204E-2</v>
      </c>
      <c r="Q60" s="118">
        <f>+Q59/(Q38+Q49+Q153+Q59)</f>
        <v>1.0436471879832224E-2</v>
      </c>
      <c r="R60" s="118"/>
      <c r="S60" s="118"/>
      <c r="T60" s="118">
        <f>Q59/(Q38+Q49+Q59+T69+Q153)</f>
        <v>1.0079985162937698E-2</v>
      </c>
      <c r="U60" s="118"/>
      <c r="V60" s="118"/>
      <c r="W60" s="118"/>
      <c r="X60" s="118"/>
      <c r="Y60" s="118"/>
      <c r="Z60" s="43">
        <v>178933.06</v>
      </c>
      <c r="AA60" s="118">
        <f t="shared" ref="AA60:AF60" si="303">+AA59/(AA38+AA49+AA153+AA59)</f>
        <v>1.886841555835005E-2</v>
      </c>
      <c r="AB60" s="118">
        <f t="shared" si="303"/>
        <v>1.8867479570035137E-2</v>
      </c>
      <c r="AC60" s="118">
        <f t="shared" si="303"/>
        <v>1.886886631257224E-2</v>
      </c>
      <c r="AD60" s="118">
        <f t="shared" si="303"/>
        <v>1.8868961047212866E-2</v>
      </c>
      <c r="AE60" s="118">
        <f t="shared" si="303"/>
        <v>1.8866730642225982E-2</v>
      </c>
      <c r="AF60" s="118">
        <f t="shared" si="303"/>
        <v>1.8865100549072689E-2</v>
      </c>
      <c r="AG60" s="118">
        <f>+AG59/(AG38+AG49+AG153+AG59+AG69)</f>
        <v>1.8295361090666266E-2</v>
      </c>
      <c r="AH60" s="118">
        <f>+AH59/(AH38+AH49+AH153+AH59+AH69+AH79+AH130)</f>
        <v>1.8132616424310778E-2</v>
      </c>
      <c r="AI60" s="118">
        <f>+AI59/(AI38+AI49+AI153+AI59+AI69+AI79+AI130+AI89)</f>
        <v>1.7911438305805761E-2</v>
      </c>
      <c r="AJ60" s="118">
        <f>+AJ59/(AJ38+AJ49+AJ153+AJ59+AJ69+AJ79+AJ130+AJ89)</f>
        <v>1.7911631852746919E-2</v>
      </c>
      <c r="AK60" s="118">
        <f>+AK59/(AK38+AK49+AK153+AK59+AK69+AK79+AK130+AK89)</f>
        <v>1.7911961145732593E-2</v>
      </c>
      <c r="AL60" s="118">
        <f>+AL59/(AL38+AL49+AL153+AL59+AL69+AL79+AL130+AL89)</f>
        <v>1.7913243202039578E-2</v>
      </c>
      <c r="AM60" s="118">
        <f>+AM59/(AM38+AM49+AM153+AM59+AM69+AM79+AM130+AM89+AM99)</f>
        <v>1.789730802110618E-2</v>
      </c>
      <c r="AN60" s="118">
        <f>+AN59/(AN38+AN49+AN153+AN59+AN69+AN79+AN130+AN89+AN99)</f>
        <v>1.7899650172099529E-2</v>
      </c>
      <c r="AO60" s="118">
        <f>+AO59/(AO38+AO49+AO153+AO59+AO69+AO79+AO130+AO89+AO99)</f>
        <v>1.7900506315719728E-2</v>
      </c>
      <c r="AP60" s="118">
        <f>+AP59/(AP38+AP49+AP153+AP59+AP69+AP79+AP130+AP89+AP99+AP109)</f>
        <v>1.7839961550899661E-2</v>
      </c>
      <c r="AQ60" s="118">
        <f>+AQ59/(AQ38+AQ49+AQ153+AQ59+AQ69+AQ79+AQ130+AQ89+AQ99+AQ109+AQ119)</f>
        <v>1.7227632587920535E-2</v>
      </c>
      <c r="AR60" s="118">
        <f>+AR59/(AR38+AR49+AR153+AR59+AR69+AR79+AR130+AR89+AR99+AR109+AR119)</f>
        <v>1.7227122211227224E-2</v>
      </c>
      <c r="AS60" s="118"/>
      <c r="AT60" s="118"/>
      <c r="AU60" s="118"/>
      <c r="AV60" s="118"/>
      <c r="AW60" s="118"/>
      <c r="AX60" s="118"/>
      <c r="AY60" s="118"/>
      <c r="AZ60" s="118"/>
      <c r="BA60" s="118"/>
      <c r="BB60" s="118"/>
      <c r="BC60" s="118"/>
      <c r="BD60" s="118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  <c r="CA60" s="64"/>
      <c r="CB60" s="64"/>
      <c r="CC60" s="64"/>
      <c r="CD60" s="64"/>
      <c r="CE60" s="64"/>
      <c r="CF60" s="64"/>
      <c r="CG60" s="64"/>
      <c r="CH60" s="64"/>
    </row>
    <row r="61" spans="1:86" x14ac:dyDescent="0.3">
      <c r="A61" s="127"/>
      <c r="B61" s="201"/>
      <c r="C61" s="201"/>
      <c r="D61" s="201"/>
      <c r="E61" s="201"/>
      <c r="F61" s="201"/>
      <c r="G61" s="145">
        <f>+B64/(B53+B64)</f>
        <v>0.34107525460109578</v>
      </c>
      <c r="H61" s="118"/>
      <c r="I61" s="43"/>
      <c r="J61" s="43"/>
      <c r="K61" s="43"/>
      <c r="L61" s="43"/>
      <c r="M61" s="43"/>
      <c r="N61" s="43"/>
      <c r="O61" s="43"/>
      <c r="P61" s="43">
        <f>+($P$33*P60)</f>
        <v>176.0811747046651</v>
      </c>
      <c r="Q61" s="43">
        <f>+(Q33*Q60)</f>
        <v>-34.123762988849876</v>
      </c>
      <c r="R61" s="43"/>
      <c r="S61" s="43"/>
      <c r="T61" s="43">
        <f>+(T33*T60)</f>
        <v>-191.80152406997448</v>
      </c>
      <c r="U61" s="43"/>
      <c r="V61" s="43"/>
      <c r="W61" s="43"/>
      <c r="X61" s="43"/>
      <c r="Y61" s="43"/>
      <c r="Z61" s="161">
        <v>1796.029</v>
      </c>
      <c r="AA61" s="43">
        <f t="shared" ref="AA61:AF61" si="304">+(AA60*AA33)</f>
        <v>40.940844594632772</v>
      </c>
      <c r="AB61" s="43">
        <f t="shared" si="304"/>
        <v>536.71135715337277</v>
      </c>
      <c r="AC61" s="43">
        <f t="shared" si="304"/>
        <v>-40.945968366927936</v>
      </c>
      <c r="AD61" s="43">
        <f t="shared" si="304"/>
        <v>-249.42513252757323</v>
      </c>
      <c r="AE61" s="43">
        <f t="shared" si="304"/>
        <v>-417.77775010514227</v>
      </c>
      <c r="AF61" s="43">
        <f t="shared" si="304"/>
        <v>-215.62109344455098</v>
      </c>
      <c r="AG61" s="43">
        <f t="shared" ref="AG61:AM61" si="305">+(AG33*AG60)</f>
        <v>-641.06356246058454</v>
      </c>
      <c r="AH61" s="43">
        <f t="shared" si="305"/>
        <v>287.20655264760086</v>
      </c>
      <c r="AI61" s="43">
        <f t="shared" si="305"/>
        <v>25.939946765371129</v>
      </c>
      <c r="AJ61" s="43">
        <f t="shared" si="305"/>
        <v>261.3376743381412</v>
      </c>
      <c r="AK61" s="43">
        <f t="shared" si="305"/>
        <v>708.60682295758261</v>
      </c>
      <c r="AL61" s="43">
        <f t="shared" si="305"/>
        <v>212.84685420630726</v>
      </c>
      <c r="AM61" s="43">
        <f t="shared" si="305"/>
        <v>193.17289457271639</v>
      </c>
      <c r="AN61" s="43">
        <f t="shared" ref="AN61:AO61" si="306">+(AN33*AN60)</f>
        <v>493.40723823773175</v>
      </c>
      <c r="AO61" s="43">
        <f t="shared" si="306"/>
        <v>315.86239580537779</v>
      </c>
      <c r="AP61" s="43">
        <f t="shared" ref="AP61:AQ61" si="307">+(AP33*AP60)</f>
        <v>131.55369008186707</v>
      </c>
      <c r="AQ61" s="43">
        <f t="shared" si="307"/>
        <v>-182.88854403392423</v>
      </c>
      <c r="AR61" s="43">
        <f t="shared" ref="AR61" si="308">+(AR33*AR60)</f>
        <v>-59.860452780475079</v>
      </c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  <c r="CA61" s="64"/>
      <c r="CB61" s="64"/>
      <c r="CC61" s="64"/>
      <c r="CD61" s="64"/>
      <c r="CE61" s="64"/>
      <c r="CF61" s="64"/>
      <c r="CG61" s="64"/>
      <c r="CH61" s="64"/>
    </row>
    <row r="62" spans="1:86" x14ac:dyDescent="0.3">
      <c r="A62" s="127"/>
      <c r="B62" s="201"/>
      <c r="C62" s="201" t="s">
        <v>101</v>
      </c>
      <c r="D62" s="201"/>
      <c r="E62" s="201"/>
      <c r="F62" s="201"/>
      <c r="G62" s="145"/>
      <c r="H62" s="118"/>
      <c r="I62" s="43"/>
      <c r="J62" s="43"/>
      <c r="K62" s="43"/>
      <c r="L62" s="43"/>
      <c r="M62" s="43"/>
      <c r="N62" s="43"/>
      <c r="O62" s="118"/>
      <c r="P62" s="118">
        <f>+P59/(P49+P59+P38)</f>
        <v>1.0695696988253558E-2</v>
      </c>
      <c r="Q62" s="118">
        <f>+Q59/(Q49+Q59+Q38)</f>
        <v>1.0695696988253558E-2</v>
      </c>
      <c r="R62" s="118"/>
      <c r="S62" s="118"/>
      <c r="T62" s="118">
        <f>+T59/(T49+T59+T38+T69)</f>
        <v>1.0321891929446263E-2</v>
      </c>
      <c r="U62" s="118"/>
      <c r="V62" s="43"/>
      <c r="W62" s="64"/>
      <c r="X62" s="118"/>
      <c r="Y62" s="118"/>
      <c r="Z62" s="43">
        <v>131029.3</v>
      </c>
      <c r="AA62" s="118">
        <f t="shared" ref="AA62:AF62" si="309">+AA59/(AA49+AA59+AA38)</f>
        <v>1.9282024842145411E-2</v>
      </c>
      <c r="AB62" s="118">
        <f t="shared" si="309"/>
        <v>1.9282024842145411E-2</v>
      </c>
      <c r="AC62" s="118">
        <f t="shared" si="309"/>
        <v>1.9282024842145414E-2</v>
      </c>
      <c r="AD62" s="118">
        <f t="shared" si="309"/>
        <v>1.9282024842145414E-2</v>
      </c>
      <c r="AE62" s="118">
        <f t="shared" si="309"/>
        <v>1.9282024842145411E-2</v>
      </c>
      <c r="AF62" s="118">
        <f t="shared" si="309"/>
        <v>1.9282024842145414E-2</v>
      </c>
      <c r="AG62" s="118">
        <f>+AG59/(AG49+AG59+AG38+AG69)</f>
        <v>1.86869749690609E-2</v>
      </c>
      <c r="AH62" s="118">
        <f>+AH59/(AH49+AH59+AH38+AH69+AH79)</f>
        <v>1.8653581800479307E-2</v>
      </c>
      <c r="AI62" s="118">
        <f>+AI59/(AI49+AI59+AI38+AI69+AI79+AI89)</f>
        <v>1.8416738200420415E-2</v>
      </c>
      <c r="AJ62" s="118">
        <f>+AJ59/(AJ49+AJ59+AJ38+AJ69+AJ79+AJ89)</f>
        <v>1.8416482306222032E-2</v>
      </c>
      <c r="AK62" s="118">
        <f>+AK59/(AK49+AK59+AK38+AK69+AK79+AK89)</f>
        <v>1.8416482306222028E-2</v>
      </c>
      <c r="AL62" s="118">
        <f>+AL59/(AL49+AL59+AL38+AL69+AL79+AL89)</f>
        <v>1.8416482306222025E-2</v>
      </c>
      <c r="AM62" s="118">
        <f>AM59/(AM38+AM49+AM59+AM69+AM79+AM89+AM99)</f>
        <v>1.8401290592453528E-2</v>
      </c>
      <c r="AN62" s="118">
        <f>AN59/(AN38+AN49+AN59+AN69+AN79+AN89+AN99)</f>
        <v>1.8401290592453531E-2</v>
      </c>
      <c r="AO62" s="118">
        <f>AO59/(AO38+AO49+AO59+AO69+AO79+AO89+AO99)</f>
        <v>1.8401290592453528E-2</v>
      </c>
      <c r="AP62" s="118">
        <f>AP59/(AP38+AP49+AP59+AP69+AP79+AP89+AP99+AP109)</f>
        <v>1.8336829496249991E-2</v>
      </c>
      <c r="AQ62" s="118">
        <f>AQ59/(AQ38+AQ49+AQ59+AQ69+AQ79+AQ89+AQ99+AQ109+AQ119)</f>
        <v>1.7691202788399234E-2</v>
      </c>
      <c r="AR62" s="118">
        <f>AR59/(AR38+AR49+AR59+AR69+AR79+AR89+AR99+AR109+AR119)</f>
        <v>1.7691202788399234E-2</v>
      </c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  <c r="CA62" s="64"/>
      <c r="CB62" s="64"/>
      <c r="CC62" s="64"/>
      <c r="CD62" s="64"/>
      <c r="CE62" s="64"/>
      <c r="CF62" s="64"/>
      <c r="CG62" s="64"/>
      <c r="CH62" s="64"/>
    </row>
    <row r="63" spans="1:86" x14ac:dyDescent="0.3">
      <c r="A63" s="127"/>
      <c r="B63" s="201">
        <v>877.13300000000004</v>
      </c>
      <c r="C63" s="201" t="s">
        <v>102</v>
      </c>
      <c r="D63" s="201"/>
      <c r="E63" s="201"/>
      <c r="F63" s="201"/>
      <c r="G63" s="145"/>
      <c r="H63" s="118"/>
      <c r="I63" s="43"/>
      <c r="J63" s="43"/>
      <c r="K63" s="43"/>
      <c r="L63" s="43"/>
      <c r="M63" s="43"/>
      <c r="N63" s="43"/>
      <c r="O63" s="43"/>
      <c r="P63" s="43">
        <f>+P62*P34</f>
        <v>15.957017293745366</v>
      </c>
      <c r="Q63" s="43">
        <f>+Q62*Q34</f>
        <v>89.299443724627793</v>
      </c>
      <c r="R63" s="43"/>
      <c r="S63" s="43"/>
      <c r="T63" s="43">
        <f>+T62*T34</f>
        <v>1.8781714554820423</v>
      </c>
      <c r="U63" s="43"/>
      <c r="V63" s="43"/>
      <c r="W63" s="64"/>
      <c r="X63" s="43"/>
      <c r="Y63" s="43"/>
      <c r="Z63" s="43"/>
      <c r="AA63" s="43">
        <f t="shared" ref="AA63:AF63" si="310">+AA62*AA34</f>
        <v>-286.30239715990137</v>
      </c>
      <c r="AB63" s="43">
        <f t="shared" si="310"/>
        <v>455.81395549142485</v>
      </c>
      <c r="AC63" s="43">
        <f t="shared" si="310"/>
        <v>36.283950246707114</v>
      </c>
      <c r="AD63" s="43">
        <f t="shared" si="310"/>
        <v>-710.92806310965295</v>
      </c>
      <c r="AE63" s="43">
        <f t="shared" si="310"/>
        <v>-504.87629642127013</v>
      </c>
      <c r="AF63" s="43">
        <f t="shared" si="310"/>
        <v>85.149228882665682</v>
      </c>
      <c r="AG63" s="43">
        <f t="shared" ref="AG63:AM63" si="311">+AG62*AG34</f>
        <v>-610.99307098340898</v>
      </c>
      <c r="AH63" s="43">
        <f t="shared" si="311"/>
        <v>711.40228166650559</v>
      </c>
      <c r="AI63" s="43">
        <f t="shared" si="311"/>
        <v>118.83142489486461</v>
      </c>
      <c r="AJ63" s="43">
        <f t="shared" si="311"/>
        <v>99.101669597303612</v>
      </c>
      <c r="AK63" s="43">
        <f t="shared" si="311"/>
        <v>346.18419448085473</v>
      </c>
      <c r="AL63" s="43">
        <f t="shared" si="311"/>
        <v>-409.96323517964748</v>
      </c>
      <c r="AM63" s="43">
        <f t="shared" si="311"/>
        <v>632.67998162725644</v>
      </c>
      <c r="AN63" s="43">
        <f t="shared" ref="AN63:AO63" si="312">+AN62*AN34</f>
        <v>201.68734553858692</v>
      </c>
      <c r="AO63" s="43">
        <f t="shared" si="312"/>
        <v>49.218483986353249</v>
      </c>
      <c r="AP63" s="43">
        <f t="shared" ref="AP63:AQ63" si="313">+AP62*AP34</f>
        <v>-266.79353443863886</v>
      </c>
      <c r="AQ63" s="43">
        <f t="shared" si="313"/>
        <v>-185.74153028365453</v>
      </c>
      <c r="AR63" s="43">
        <f t="shared" ref="AR63" si="314">+AR62*AR34</f>
        <v>-273.68432243275919</v>
      </c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  <c r="CA63" s="64"/>
      <c r="CB63" s="64"/>
      <c r="CC63" s="64"/>
      <c r="CD63" s="64"/>
      <c r="CE63" s="64"/>
      <c r="CF63" s="64"/>
      <c r="CG63" s="64"/>
      <c r="CH63" s="64"/>
    </row>
    <row r="64" spans="1:86" x14ac:dyDescent="0.3">
      <c r="A64" s="1">
        <v>43306</v>
      </c>
      <c r="B64" s="201">
        <v>877.13300000000004</v>
      </c>
      <c r="C64" s="201"/>
      <c r="D64" s="201"/>
      <c r="E64" s="201"/>
      <c r="F64" s="201"/>
      <c r="G64" s="201"/>
      <c r="H64" s="111"/>
      <c r="I64" s="111"/>
      <c r="J64" s="111"/>
      <c r="K64" s="111"/>
      <c r="L64" s="111"/>
      <c r="M64" s="111"/>
      <c r="N64" s="111"/>
      <c r="O64" s="111"/>
      <c r="P64" s="111">
        <f>+P59+P61+P63</f>
        <v>64594.648191998414</v>
      </c>
      <c r="Q64" s="111">
        <f>+Q59+Q61+Q63</f>
        <v>64647.169298150962</v>
      </c>
      <c r="R64" s="111"/>
      <c r="S64" s="111"/>
      <c r="T64" s="111">
        <f>+T59+T61+T63</f>
        <v>64454.589212551611</v>
      </c>
      <c r="U64" s="111"/>
      <c r="V64" s="111"/>
      <c r="W64" s="64"/>
      <c r="X64" s="111"/>
      <c r="Y64" s="111"/>
      <c r="Z64" s="111"/>
      <c r="AA64" s="111">
        <f t="shared" ref="AA64:AF64" si="315">+AA59+AA61+AA63</f>
        <v>130783.93844743473</v>
      </c>
      <c r="AB64" s="111">
        <f t="shared" si="315"/>
        <v>131760.33971287371</v>
      </c>
      <c r="AC64" s="111">
        <f t="shared" si="315"/>
        <v>131750.26288627213</v>
      </c>
      <c r="AD64" s="111">
        <f t="shared" si="315"/>
        <v>130784.49529626973</v>
      </c>
      <c r="AE64" s="111">
        <f t="shared" si="315"/>
        <v>129851.09183917101</v>
      </c>
      <c r="AF64" s="111">
        <f t="shared" si="315"/>
        <v>129704.61093588923</v>
      </c>
      <c r="AG64" s="111">
        <f t="shared" ref="AG64:AM64" si="316">+AG59+AG61+AG63</f>
        <v>128447.22397596842</v>
      </c>
      <c r="AH64" s="111">
        <f t="shared" si="316"/>
        <v>129440.55415724243</v>
      </c>
      <c r="AI64" s="111">
        <f t="shared" si="316"/>
        <v>129580.00605407427</v>
      </c>
      <c r="AJ64" s="111">
        <f t="shared" si="316"/>
        <v>129935.12019228147</v>
      </c>
      <c r="AK64" s="111">
        <f t="shared" si="316"/>
        <v>130973.89181134003</v>
      </c>
      <c r="AL64" s="111">
        <f t="shared" si="316"/>
        <v>130771.39294166212</v>
      </c>
      <c r="AM64" s="111">
        <f t="shared" si="316"/>
        <v>131586.49748419566</v>
      </c>
      <c r="AN64" s="111">
        <f t="shared" ref="AN64:AO64" si="317">+AN59+AN61+AN63</f>
        <v>132276.18440369179</v>
      </c>
      <c r="AO64" s="111">
        <f t="shared" si="317"/>
        <v>132624.95726074881</v>
      </c>
      <c r="AP64" s="111">
        <f t="shared" ref="AP64:AQ64" si="318">+AP59+AP61+AP63</f>
        <v>132484.26707568267</v>
      </c>
      <c r="AQ64" s="111">
        <f t="shared" si="318"/>
        <v>132110.19244244418</v>
      </c>
      <c r="AR64" s="111">
        <f t="shared" ref="AR64" si="319">+AR59+AR61+AR63</f>
        <v>131771.21848124015</v>
      </c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  <c r="CA64" s="64"/>
      <c r="CB64" s="64"/>
      <c r="CC64" s="64"/>
      <c r="CD64" s="64"/>
      <c r="CE64" s="64"/>
      <c r="CF64" s="64"/>
      <c r="CG64" s="64"/>
      <c r="CH64" s="64"/>
    </row>
    <row r="65" spans="1:86" s="112" customFormat="1" x14ac:dyDescent="0.3">
      <c r="B65" s="129"/>
      <c r="C65" s="129"/>
      <c r="D65" s="129"/>
      <c r="E65" s="129"/>
      <c r="F65" s="129"/>
      <c r="G65" s="129"/>
      <c r="H65" s="132">
        <f>H64*1.5%/365</f>
        <v>0</v>
      </c>
      <c r="I65" s="132">
        <f>I64*1.5%/365</f>
        <v>0</v>
      </c>
      <c r="J65" s="132">
        <f>J64*1.5%/365</f>
        <v>0</v>
      </c>
      <c r="K65" s="132">
        <f>K64*1.5%/365*3</f>
        <v>0</v>
      </c>
      <c r="L65" s="132">
        <f t="shared" ref="L65" si="320">L64*1.5%/365</f>
        <v>0</v>
      </c>
      <c r="M65" s="132">
        <f>M64*1.5%/365*3</f>
        <v>0</v>
      </c>
      <c r="N65" s="132">
        <f t="shared" ref="N65" si="321">N64*1.5%/365</f>
        <v>0</v>
      </c>
      <c r="O65" s="132">
        <f>O64*1.5%/365</f>
        <v>0</v>
      </c>
      <c r="P65" s="132">
        <f>P64*1.5%/365</f>
        <v>2.6545745832328116</v>
      </c>
      <c r="Q65" s="132">
        <f>Q64*1.5%/365</f>
        <v>2.6567329848555192</v>
      </c>
      <c r="R65" s="132"/>
      <c r="S65" s="132"/>
      <c r="T65" s="132">
        <f>T64*1.5%/365*3</f>
        <v>7.946456204287184</v>
      </c>
      <c r="U65" s="132"/>
      <c r="V65" s="132">
        <f>V64*1.5%/365</f>
        <v>0</v>
      </c>
      <c r="W65" s="131"/>
      <c r="X65" s="132">
        <f>X64*1.5%/365</f>
        <v>0</v>
      </c>
      <c r="Y65" s="132">
        <f>Y64*1.5%/365</f>
        <v>0</v>
      </c>
      <c r="Z65" s="132"/>
      <c r="AA65" s="132">
        <f>AA64*1.5%/365*3</f>
        <v>16.124047205848118</v>
      </c>
      <c r="AB65" s="132">
        <f>AB64*1.5%/365</f>
        <v>5.414808481350974</v>
      </c>
      <c r="AC65" s="132">
        <f>AC64*1.5%/365</f>
        <v>5.4143943651892652</v>
      </c>
      <c r="AD65" s="132">
        <f>AD64*1.5%/365*2</f>
        <v>10.74941057229614</v>
      </c>
      <c r="AE65" s="132">
        <f>AE64*1.5%/365*3</f>
        <v>16.009038719897795</v>
      </c>
      <c r="AF65" s="132">
        <f>AF64*1.5%/365</f>
        <v>5.3303264768173655</v>
      </c>
      <c r="AG65" s="132">
        <f>AG64*1.5%/365</f>
        <v>5.2786530401082912</v>
      </c>
      <c r="AH65" s="132">
        <f>AH64*1.5%/365</f>
        <v>5.3194748283798257</v>
      </c>
      <c r="AI65" s="132">
        <f>AI64*1.5%/365</f>
        <v>5.3252057282496272</v>
      </c>
      <c r="AJ65" s="132">
        <f>AJ64*1.5%/365*3</f>
        <v>16.019398379870317</v>
      </c>
      <c r="AK65" s="132">
        <f>AK64*1.5%/365</f>
        <v>5.3824887045756169</v>
      </c>
      <c r="AL65" s="132">
        <f>AL64*1.5%/365*2</f>
        <v>10.748333666437983</v>
      </c>
      <c r="AM65" s="132">
        <f>AM64*1.5%/365</f>
        <v>5.4076642801724235</v>
      </c>
      <c r="AN65" s="132">
        <f>AN64*1.5%/365*3</f>
        <v>16.308022734701726</v>
      </c>
      <c r="AO65" s="132">
        <f t="shared" ref="AO65:AT65" si="322">AO64*1.5%/365</f>
        <v>5.4503407093458414</v>
      </c>
      <c r="AP65" s="132">
        <f t="shared" si="322"/>
        <v>5.4445589209184657</v>
      </c>
      <c r="AQ65" s="132">
        <f t="shared" si="322"/>
        <v>5.4291859907853777</v>
      </c>
      <c r="AR65" s="132">
        <f t="shared" si="322"/>
        <v>5.4152555540235676</v>
      </c>
      <c r="AS65" s="132">
        <f t="shared" si="322"/>
        <v>0</v>
      </c>
      <c r="AT65" s="132">
        <f t="shared" si="322"/>
        <v>0</v>
      </c>
      <c r="AU65" s="132">
        <f t="shared" ref="AU65:AV65" si="323">AU64*1.5%/365</f>
        <v>0</v>
      </c>
      <c r="AV65" s="132">
        <f t="shared" si="323"/>
        <v>0</v>
      </c>
      <c r="AW65" s="132">
        <f t="shared" ref="AW65:AX65" si="324">AW64*1.5%/365</f>
        <v>0</v>
      </c>
      <c r="AX65" s="132">
        <f t="shared" si="324"/>
        <v>0</v>
      </c>
      <c r="AY65" s="132">
        <f t="shared" ref="AY65:AZ65" si="325">AY64*1.5%/365</f>
        <v>0</v>
      </c>
      <c r="AZ65" s="132">
        <f t="shared" si="325"/>
        <v>0</v>
      </c>
      <c r="BA65" s="132">
        <f t="shared" ref="BA65:BB65" si="326">BA64*1.5%/365</f>
        <v>0</v>
      </c>
      <c r="BB65" s="132">
        <f t="shared" si="326"/>
        <v>0</v>
      </c>
      <c r="BC65" s="132">
        <f t="shared" ref="BC65:BD65" si="327">BC64*1.5%/365</f>
        <v>0</v>
      </c>
      <c r="BD65" s="132">
        <f t="shared" si="327"/>
        <v>0</v>
      </c>
      <c r="BE65" s="131"/>
      <c r="BF65" s="131"/>
      <c r="BG65" s="131"/>
      <c r="BH65" s="131"/>
      <c r="BI65" s="131"/>
      <c r="BJ65" s="131"/>
      <c r="BK65" s="131"/>
      <c r="BL65" s="131"/>
      <c r="BM65" s="131"/>
      <c r="BN65" s="131"/>
      <c r="BO65" s="131"/>
      <c r="BP65" s="131"/>
      <c r="BQ65" s="131"/>
      <c r="BR65" s="131"/>
      <c r="BS65" s="131"/>
      <c r="BT65" s="131"/>
      <c r="BU65" s="131"/>
      <c r="BV65" s="131"/>
      <c r="BW65" s="131"/>
      <c r="BX65" s="131"/>
      <c r="BY65" s="131"/>
      <c r="BZ65" s="131"/>
      <c r="CA65" s="131"/>
      <c r="CB65" s="131"/>
      <c r="CC65" s="131"/>
      <c r="CD65" s="131"/>
      <c r="CE65" s="131"/>
      <c r="CF65" s="131"/>
      <c r="CG65" s="131"/>
      <c r="CH65" s="131"/>
    </row>
    <row r="66" spans="1:86" s="112" customFormat="1" x14ac:dyDescent="0.3">
      <c r="B66" s="113"/>
      <c r="C66" s="129"/>
      <c r="D66" s="129"/>
      <c r="E66" s="129"/>
      <c r="F66" s="129"/>
      <c r="G66" s="129"/>
      <c r="H66" s="130">
        <f>+H64-H65</f>
        <v>0</v>
      </c>
      <c r="I66" s="130">
        <f>+I64-I65</f>
        <v>0</v>
      </c>
      <c r="J66" s="130">
        <f>+J64-J65</f>
        <v>0</v>
      </c>
      <c r="K66" s="130">
        <f>+K64-K65</f>
        <v>0</v>
      </c>
      <c r="L66" s="130">
        <f t="shared" ref="L66:N66" si="328">+L64-L65</f>
        <v>0</v>
      </c>
      <c r="M66" s="130">
        <f t="shared" si="328"/>
        <v>0</v>
      </c>
      <c r="N66" s="130">
        <f t="shared" si="328"/>
        <v>0</v>
      </c>
      <c r="O66" s="130">
        <f>+O64-O65</f>
        <v>0</v>
      </c>
      <c r="P66" s="130">
        <f>+P64-P65</f>
        <v>64591.993617415181</v>
      </c>
      <c r="Q66" s="130">
        <f>+Q64-Q65</f>
        <v>64644.512565166107</v>
      </c>
      <c r="R66" s="130"/>
      <c r="S66" s="130"/>
      <c r="T66" s="130">
        <f>+T64-T65</f>
        <v>64446.642756347326</v>
      </c>
      <c r="U66" s="130"/>
      <c r="V66" s="130">
        <f>+V64-V65</f>
        <v>0</v>
      </c>
      <c r="W66" s="131"/>
      <c r="X66" s="130">
        <f>+X64-X65</f>
        <v>0</v>
      </c>
      <c r="Y66" s="130">
        <f>+Y64-Y65</f>
        <v>0</v>
      </c>
      <c r="Z66" s="130"/>
      <c r="AA66" s="130">
        <f t="shared" ref="AA66:AF66" si="329">+AA64-AA65</f>
        <v>130767.81440022889</v>
      </c>
      <c r="AB66" s="130">
        <f t="shared" si="329"/>
        <v>131754.92490439236</v>
      </c>
      <c r="AC66" s="130">
        <f t="shared" si="329"/>
        <v>131744.84849190695</v>
      </c>
      <c r="AD66" s="130">
        <f t="shared" si="329"/>
        <v>130773.74588569743</v>
      </c>
      <c r="AE66" s="130">
        <f t="shared" si="329"/>
        <v>129835.08280045111</v>
      </c>
      <c r="AF66" s="130">
        <f t="shared" si="329"/>
        <v>129699.28060941241</v>
      </c>
      <c r="AG66" s="130">
        <f t="shared" ref="AG66:AM66" si="330">+AG64-AG65</f>
        <v>128441.94532292831</v>
      </c>
      <c r="AH66" s="130">
        <f t="shared" si="330"/>
        <v>129435.23468241404</v>
      </c>
      <c r="AI66" s="130">
        <f t="shared" si="330"/>
        <v>129574.68084834602</v>
      </c>
      <c r="AJ66" s="130">
        <f t="shared" si="330"/>
        <v>129919.1007939016</v>
      </c>
      <c r="AK66" s="130">
        <f t="shared" si="330"/>
        <v>130968.50932263545</v>
      </c>
      <c r="AL66" s="130">
        <f t="shared" si="330"/>
        <v>130760.64460799568</v>
      </c>
      <c r="AM66" s="130">
        <f t="shared" si="330"/>
        <v>131581.08981991548</v>
      </c>
      <c r="AN66" s="130">
        <f t="shared" ref="AN66:AO66" si="331">+AN64-AN65</f>
        <v>132259.87638095708</v>
      </c>
      <c r="AO66" s="130">
        <f t="shared" si="331"/>
        <v>132619.50692003945</v>
      </c>
      <c r="AP66" s="130">
        <f t="shared" ref="AP66:AQ66" si="332">+AP64-AP65</f>
        <v>132478.82251676175</v>
      </c>
      <c r="AQ66" s="130">
        <f t="shared" si="332"/>
        <v>132104.76325645339</v>
      </c>
      <c r="AR66" s="130">
        <f t="shared" ref="AR66" si="333">+AR64-AR65</f>
        <v>131765.80322568613</v>
      </c>
      <c r="AS66" s="130">
        <f t="shared" ref="AS66:AY66" si="334">+AS64-AS65</f>
        <v>0</v>
      </c>
      <c r="AT66" s="130">
        <f t="shared" si="334"/>
        <v>0</v>
      </c>
      <c r="AU66" s="130">
        <f t="shared" si="334"/>
        <v>0</v>
      </c>
      <c r="AV66" s="130">
        <f t="shared" si="334"/>
        <v>0</v>
      </c>
      <c r="AW66" s="130">
        <f t="shared" si="334"/>
        <v>0</v>
      </c>
      <c r="AX66" s="130">
        <f t="shared" si="334"/>
        <v>0</v>
      </c>
      <c r="AY66" s="130">
        <f t="shared" si="334"/>
        <v>0</v>
      </c>
      <c r="AZ66" s="130">
        <f t="shared" ref="AZ66:BA66" si="335">+AZ64-AZ65</f>
        <v>0</v>
      </c>
      <c r="BA66" s="130">
        <f t="shared" si="335"/>
        <v>0</v>
      </c>
      <c r="BB66" s="130">
        <f t="shared" ref="BB66:BC66" si="336">+BB64-BB65</f>
        <v>0</v>
      </c>
      <c r="BC66" s="130">
        <f t="shared" si="336"/>
        <v>0</v>
      </c>
      <c r="BD66" s="130">
        <f t="shared" ref="BD66" si="337">+BD64-BD65</f>
        <v>0</v>
      </c>
      <c r="BE66" s="131"/>
      <c r="BF66" s="131"/>
      <c r="BG66" s="131"/>
      <c r="BH66" s="131"/>
      <c r="BI66" s="131"/>
      <c r="BJ66" s="131"/>
      <c r="BK66" s="131"/>
      <c r="BL66" s="131"/>
      <c r="BM66" s="131"/>
      <c r="BN66" s="131"/>
      <c r="BO66" s="131"/>
      <c r="BP66" s="131"/>
      <c r="BQ66" s="131"/>
      <c r="BR66" s="131"/>
      <c r="BS66" s="131"/>
      <c r="BT66" s="131"/>
      <c r="BU66" s="131"/>
      <c r="BV66" s="131"/>
      <c r="BW66" s="131"/>
      <c r="BX66" s="131"/>
      <c r="BY66" s="131"/>
      <c r="BZ66" s="131"/>
      <c r="CA66" s="131"/>
      <c r="CB66" s="131"/>
      <c r="CC66" s="131"/>
      <c r="CD66" s="131"/>
      <c r="CE66" s="131"/>
      <c r="CF66" s="131"/>
      <c r="CG66" s="131"/>
      <c r="CH66" s="131"/>
    </row>
    <row r="67" spans="1:86" s="112" customFormat="1" x14ac:dyDescent="0.3">
      <c r="A67" s="129"/>
      <c r="B67" s="129"/>
      <c r="C67" s="129"/>
      <c r="D67" s="129"/>
      <c r="E67" s="129"/>
      <c r="F67" s="129"/>
      <c r="G67" s="129"/>
      <c r="H67" s="130" t="e">
        <f>+H66/H59*100</f>
        <v>#DIV/0!</v>
      </c>
      <c r="I67" s="130">
        <f>+I66/B64*I23</f>
        <v>0</v>
      </c>
      <c r="J67" s="130">
        <f>+J66/$B$43*J23</f>
        <v>0</v>
      </c>
      <c r="K67" s="130">
        <f>+K66/$B$43*K23</f>
        <v>0</v>
      </c>
      <c r="L67" s="130">
        <f>+L66/$B$43*L23</f>
        <v>0</v>
      </c>
      <c r="M67" s="130">
        <f>+M66/$B$43*M23</f>
        <v>0</v>
      </c>
      <c r="N67" s="130">
        <f>+N66/$B$43*N23</f>
        <v>0</v>
      </c>
      <c r="O67" s="130">
        <f>+O66/$B$54*O13</f>
        <v>0</v>
      </c>
      <c r="P67" s="130">
        <f>+P66/$B$64*P3</f>
        <v>100.37119490491965</v>
      </c>
      <c r="Q67" s="130">
        <f>+Q66/$B$64*Q3</f>
        <v>100.30540590901388</v>
      </c>
      <c r="R67" s="130"/>
      <c r="S67" s="130"/>
      <c r="T67" s="130">
        <f>+T66/$B$64*T3</f>
        <v>99.98736086200752</v>
      </c>
      <c r="U67" s="130"/>
      <c r="V67" s="130" t="e">
        <f>+V66/N64*V23</f>
        <v>#DIV/0!</v>
      </c>
      <c r="W67" s="131"/>
      <c r="X67" s="130">
        <f>+X66/$B$54*X13</f>
        <v>0</v>
      </c>
      <c r="Y67" s="130">
        <f>+Y66/$B$54*Y13</f>
        <v>0</v>
      </c>
      <c r="Z67" s="130"/>
      <c r="AA67" s="159">
        <f t="shared" ref="AA67:AG67" si="338">TRUNC(+AA66/$Z$61*AA3,3)</f>
        <v>99.646000000000001</v>
      </c>
      <c r="AB67" s="159">
        <f t="shared" si="338"/>
        <v>100.05</v>
      </c>
      <c r="AC67" s="159">
        <f t="shared" si="338"/>
        <v>100.017</v>
      </c>
      <c r="AD67" s="159">
        <f t="shared" si="338"/>
        <v>99.811000000000007</v>
      </c>
      <c r="AE67" s="159">
        <f t="shared" si="338"/>
        <v>99.466999999999999</v>
      </c>
      <c r="AF67" s="159">
        <f t="shared" si="338"/>
        <v>99.298000000000002</v>
      </c>
      <c r="AG67" s="159">
        <f t="shared" si="338"/>
        <v>98.804000000000002</v>
      </c>
      <c r="AH67" s="159">
        <f t="shared" ref="AH67:AI67" si="339">TRUNC(+AH66/$Z$61*AH3,3)</f>
        <v>99.027000000000001</v>
      </c>
      <c r="AI67" s="159">
        <f t="shared" si="339"/>
        <v>99.028999999999996</v>
      </c>
      <c r="AJ67" s="175">
        <f t="shared" ref="AJ67:AK67" si="340">TRUNC(+AJ66/$Z$61*AJ3,3)</f>
        <v>99.21</v>
      </c>
      <c r="AK67" s="175">
        <f t="shared" si="340"/>
        <v>99.736999999999995</v>
      </c>
      <c r="AL67" s="175">
        <f t="shared" ref="AL67:AM67" si="341">TRUNC(+AL66/$Z$61*AL3,3)</f>
        <v>99.888999999999996</v>
      </c>
      <c r="AM67" s="175">
        <f t="shared" si="341"/>
        <v>100.017</v>
      </c>
      <c r="AN67" s="175">
        <f t="shared" ref="AN67:AO67" si="342">TRUNC(+AN66/$Z$61*AN3,3)</f>
        <v>100.367</v>
      </c>
      <c r="AO67" s="175">
        <f t="shared" si="342"/>
        <v>100.6</v>
      </c>
      <c r="AP67" s="175">
        <f t="shared" ref="AP67:AQ67" si="343">TRUNC(+AP66/$Z$61*AP3,3)</f>
        <v>100.699</v>
      </c>
      <c r="AQ67" s="175">
        <f t="shared" si="343"/>
        <v>100.559</v>
      </c>
      <c r="AR67" s="175">
        <f t="shared" ref="AR67" si="344">TRUNC(+AR66/$Z$61*AR3,3)</f>
        <v>100.51300000000001</v>
      </c>
      <c r="AS67" s="130">
        <f t="shared" ref="AS67:BD67" si="345">+AS66/AK64*AS23</f>
        <v>0</v>
      </c>
      <c r="AT67" s="130">
        <f t="shared" si="345"/>
        <v>0</v>
      </c>
      <c r="AU67" s="130">
        <f t="shared" si="345"/>
        <v>0</v>
      </c>
      <c r="AV67" s="130">
        <f t="shared" si="345"/>
        <v>0</v>
      </c>
      <c r="AW67" s="130">
        <f t="shared" si="345"/>
        <v>0</v>
      </c>
      <c r="AX67" s="130">
        <f t="shared" si="345"/>
        <v>0</v>
      </c>
      <c r="AY67" s="130">
        <f t="shared" si="345"/>
        <v>0</v>
      </c>
      <c r="AZ67" s="130">
        <f t="shared" si="345"/>
        <v>0</v>
      </c>
      <c r="BA67" s="130" t="e">
        <f t="shared" si="345"/>
        <v>#DIV/0!</v>
      </c>
      <c r="BB67" s="130" t="e">
        <f t="shared" si="345"/>
        <v>#DIV/0!</v>
      </c>
      <c r="BC67" s="130" t="e">
        <f t="shared" si="345"/>
        <v>#DIV/0!</v>
      </c>
      <c r="BD67" s="130" t="e">
        <f t="shared" si="345"/>
        <v>#DIV/0!</v>
      </c>
      <c r="BE67" s="131"/>
      <c r="BF67" s="131"/>
      <c r="BG67" s="131"/>
      <c r="BH67" s="131"/>
      <c r="BI67" s="131"/>
      <c r="BJ67" s="131"/>
      <c r="BK67" s="131"/>
      <c r="BL67" s="131"/>
      <c r="BM67" s="131"/>
      <c r="BN67" s="131"/>
      <c r="BO67" s="131"/>
      <c r="BP67" s="131"/>
      <c r="BQ67" s="131"/>
      <c r="BR67" s="131"/>
      <c r="BS67" s="131"/>
      <c r="BT67" s="131"/>
      <c r="BU67" s="131"/>
      <c r="BV67" s="131"/>
      <c r="BW67" s="131"/>
      <c r="BX67" s="131"/>
      <c r="BY67" s="131"/>
      <c r="BZ67" s="131"/>
      <c r="CA67" s="131"/>
      <c r="CB67" s="131"/>
      <c r="CC67" s="131"/>
      <c r="CD67" s="131"/>
      <c r="CE67" s="131"/>
      <c r="CF67" s="131"/>
      <c r="CG67" s="131"/>
      <c r="CH67" s="131"/>
    </row>
    <row r="68" spans="1:86" x14ac:dyDescent="0.3">
      <c r="H68" s="128"/>
    </row>
    <row r="69" spans="1:86" x14ac:dyDescent="0.3">
      <c r="A69" s="201"/>
      <c r="B69" s="201">
        <v>218881.19</v>
      </c>
      <c r="C69" s="201"/>
      <c r="D69" s="201"/>
      <c r="E69" s="201"/>
      <c r="F69" s="201"/>
      <c r="G69" s="201"/>
      <c r="H69" s="64"/>
      <c r="I69" s="64"/>
      <c r="J69" s="64"/>
      <c r="K69" s="64"/>
      <c r="L69" s="64"/>
      <c r="M69" s="64"/>
      <c r="N69" s="64"/>
      <c r="O69" s="64"/>
      <c r="P69" s="64"/>
      <c r="Q69" s="64">
        <v>218881.19</v>
      </c>
      <c r="R69" s="64"/>
      <c r="S69" s="64"/>
      <c r="T69" s="64">
        <v>218881.19</v>
      </c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>
        <v>214190.05</v>
      </c>
      <c r="AH69" s="64">
        <f t="shared" ref="AH69:AR69" si="346">AG76</f>
        <v>212113.64135213854</v>
      </c>
      <c r="AI69" s="64">
        <f t="shared" si="346"/>
        <v>213753.9950732468</v>
      </c>
      <c r="AJ69" s="64">
        <f t="shared" si="346"/>
        <v>213984.28147971677</v>
      </c>
      <c r="AK69" s="64">
        <f t="shared" si="346"/>
        <v>214553.06894725646</v>
      </c>
      <c r="AL69" s="64">
        <f t="shared" si="346"/>
        <v>216286.09987991702</v>
      </c>
      <c r="AM69" s="64">
        <f t="shared" si="346"/>
        <v>215942.82462493694</v>
      </c>
      <c r="AN69" s="64">
        <f t="shared" ref="AN69" si="347">AM76</f>
        <v>217297.73731325459</v>
      </c>
      <c r="AO69" s="64">
        <f t="shared" si="346"/>
        <v>218418.70981800326</v>
      </c>
      <c r="AP69" s="64">
        <f t="shared" si="346"/>
        <v>219012.6166059642</v>
      </c>
      <c r="AQ69" s="64">
        <f t="shared" si="346"/>
        <v>218780.28532987167</v>
      </c>
      <c r="AR69" s="64">
        <f t="shared" si="346"/>
        <v>218162.55043348708</v>
      </c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  <c r="CA69" s="64"/>
      <c r="CB69" s="64"/>
      <c r="CC69" s="64"/>
      <c r="CD69" s="64"/>
      <c r="CE69" s="64"/>
      <c r="CF69" s="64"/>
      <c r="CG69" s="64"/>
      <c r="CH69" s="64"/>
    </row>
    <row r="70" spans="1:86" x14ac:dyDescent="0.3">
      <c r="A70" s="127" t="s">
        <v>99</v>
      </c>
      <c r="B70" s="201">
        <v>218881.19</v>
      </c>
      <c r="C70" s="201" t="s">
        <v>100</v>
      </c>
      <c r="D70" s="201"/>
      <c r="E70" s="201"/>
      <c r="F70" s="201"/>
      <c r="G70" s="201"/>
      <c r="H70" s="118"/>
      <c r="I70" s="118"/>
      <c r="J70" s="118"/>
      <c r="K70" s="118"/>
      <c r="L70" s="118"/>
      <c r="M70" s="118"/>
      <c r="N70" s="118"/>
      <c r="O70" s="118"/>
      <c r="P70" s="118"/>
      <c r="Q70" s="118">
        <f>Q69/(N38+N49+N59+Q69+N153)</f>
        <v>3.5343531207645933E-2</v>
      </c>
      <c r="R70" s="118"/>
      <c r="S70" s="118"/>
      <c r="T70" s="118">
        <f>Q69/(Q38+Q49+Q59+Q69+Q153)</f>
        <v>3.4157780617740267E-2</v>
      </c>
      <c r="U70" s="118"/>
      <c r="V70" s="118"/>
      <c r="W70" s="64"/>
      <c r="X70" s="118"/>
      <c r="Y70" s="118"/>
      <c r="Z70" s="118"/>
      <c r="AA70" s="118"/>
      <c r="AB70" s="118"/>
      <c r="AC70" s="118"/>
      <c r="AD70" s="118"/>
      <c r="AE70" s="118"/>
      <c r="AF70" s="118"/>
      <c r="AG70" s="118">
        <f>AG69/(AG38+AG49+AG59+AG69+AG153)</f>
        <v>3.0213616362136389E-2</v>
      </c>
      <c r="AH70" s="118">
        <f>AH69/(AH38+AH49+AH59+AH69+AH153+AH79+AH130)</f>
        <v>2.9944853975328013E-2</v>
      </c>
      <c r="AI70" s="118">
        <f>AI69/(AI38+AI49+AI59+AI69+AI153+AI79+AI130+AI89)</f>
        <v>2.9579592487069165E-2</v>
      </c>
      <c r="AJ70" s="118">
        <f>AJ69/(AJ38+AJ49+AJ59+AJ69+AJ153+AJ79+AJ130+AJ89)</f>
        <v>2.9579912117438815E-2</v>
      </c>
      <c r="AK70" s="118">
        <f>AK69/(AK38+AK49+AK59+AK69+AK153+AK79+AK130+AK89)</f>
        <v>2.9580455923701541E-2</v>
      </c>
      <c r="AL70" s="118">
        <f>AL69/(AL38+AL49+AL59+AL69+AL153+AL79+AL130+AL89)</f>
        <v>2.9582573157530486E-2</v>
      </c>
      <c r="AM70" s="118">
        <f>AM69/(AM38+AM49+AM59+AM69+AM153+AM79+AM130+AM89+AM99)</f>
        <v>2.9556257227443237E-2</v>
      </c>
      <c r="AN70" s="118">
        <f>AN69/(AN38+AN49+AN59+AN69+AN153+AN79+AN130+AN89+AN99)</f>
        <v>2.9560125139709334E-2</v>
      </c>
      <c r="AO70" s="118">
        <f>AO69/(AO38+AO49+AO59+AO69+AO153+AO79+AO130+AO89+AO99)</f>
        <v>2.9561539006031159E-2</v>
      </c>
      <c r="AP70" s="118">
        <f>AP69/(AP38+AP49+AP153+AP59+AP69+AP79+AP130+AP89+AP99+AP109)</f>
        <v>2.9461553207011184E-2</v>
      </c>
      <c r="AQ70" s="118">
        <f>AQ69/(AQ38+AQ49+AQ153+AQ59+AQ69+AQ79+AQ130+AQ89+AQ99+AQ109+AQ119)</f>
        <v>2.8450331166451698E-2</v>
      </c>
      <c r="AR70" s="118">
        <f>AR69/(AR38+AR49+AR153+AR59+AR69+AR79+AR130+AR89+AR99+AR109+AR119)</f>
        <v>2.8449488312050773E-2</v>
      </c>
      <c r="AS70" s="118"/>
      <c r="AT70" s="118"/>
      <c r="AU70" s="118"/>
      <c r="AV70" s="118"/>
      <c r="AW70" s="118"/>
      <c r="AX70" s="118"/>
      <c r="AY70" s="118"/>
      <c r="AZ70" s="118"/>
      <c r="BA70" s="118"/>
      <c r="BB70" s="118"/>
      <c r="BC70" s="118"/>
      <c r="BD70" s="118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64"/>
      <c r="CA70" s="64"/>
      <c r="CB70" s="64"/>
      <c r="CC70" s="64"/>
      <c r="CD70" s="64"/>
      <c r="CE70" s="64"/>
      <c r="CF70" s="64"/>
      <c r="CG70" s="64"/>
      <c r="CH70" s="64"/>
    </row>
    <row r="71" spans="1:86" x14ac:dyDescent="0.3">
      <c r="A71" s="127"/>
      <c r="B71" s="201"/>
      <c r="C71" s="201"/>
      <c r="D71" s="201"/>
      <c r="E71" s="201"/>
      <c r="F71" s="201"/>
      <c r="G71" s="145">
        <f>+B74/(B63+B74)</f>
        <v>0.77199718119992389</v>
      </c>
      <c r="H71" s="118"/>
      <c r="I71" s="43"/>
      <c r="J71" s="43"/>
      <c r="K71" s="43"/>
      <c r="L71" s="43"/>
      <c r="M71" s="43"/>
      <c r="N71" s="43"/>
      <c r="O71" s="43"/>
      <c r="P71" s="43"/>
      <c r="Q71" s="43">
        <f>+(Q33*Q70)</f>
        <v>-115.56149396132109</v>
      </c>
      <c r="R71" s="43"/>
      <c r="S71" s="43"/>
      <c r="T71" s="43">
        <f>+(T33*T70)</f>
        <v>-649.95278023018966</v>
      </c>
      <c r="U71" s="43"/>
      <c r="V71" s="43"/>
      <c r="W71" s="64"/>
      <c r="X71" s="43"/>
      <c r="Y71" s="43"/>
      <c r="Z71" s="43"/>
      <c r="AA71" s="43"/>
      <c r="AB71" s="43"/>
      <c r="AC71" s="43"/>
      <c r="AD71" s="43"/>
      <c r="AE71" s="43"/>
      <c r="AF71" s="43"/>
      <c r="AG71" s="43">
        <f t="shared" ref="AG71:AM71" si="348">+(AG33*AG70)</f>
        <v>-1058.6753901135055</v>
      </c>
      <c r="AH71" s="43">
        <f t="shared" si="348"/>
        <v>474.3032157377512</v>
      </c>
      <c r="AI71" s="43">
        <f t="shared" si="348"/>
        <v>42.838159691912502</v>
      </c>
      <c r="AJ71" s="43">
        <f t="shared" si="348"/>
        <v>431.58242104627334</v>
      </c>
      <c r="AK71" s="43">
        <f t="shared" si="348"/>
        <v>1170.218756237351</v>
      </c>
      <c r="AL71" s="43">
        <f t="shared" si="348"/>
        <v>351.50293918810814</v>
      </c>
      <c r="AM71" s="43">
        <f t="shared" si="348"/>
        <v>319.01265568139303</v>
      </c>
      <c r="AN71" s="43">
        <f t="shared" ref="AN71:AO71" si="349">+(AN33*AN70)</f>
        <v>814.83043338354628</v>
      </c>
      <c r="AO71" s="43">
        <f t="shared" si="349"/>
        <v>521.6265042704016</v>
      </c>
      <c r="AP71" s="43">
        <f t="shared" ref="AP71:AQ71" si="350">+(AP33*AP70)</f>
        <v>217.25248840181118</v>
      </c>
      <c r="AQ71" s="43">
        <f t="shared" si="350"/>
        <v>-302.02870985092136</v>
      </c>
      <c r="AR71" s="43">
        <f t="shared" ref="AR71" si="351">+(AR33*AR70)</f>
        <v>-98.855701541509802</v>
      </c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  <c r="CA71" s="64"/>
      <c r="CB71" s="64"/>
      <c r="CC71" s="64"/>
      <c r="CD71" s="64"/>
      <c r="CE71" s="64"/>
      <c r="CF71" s="64"/>
      <c r="CG71" s="64"/>
      <c r="CH71" s="64"/>
    </row>
    <row r="72" spans="1:86" x14ac:dyDescent="0.3">
      <c r="A72" s="127"/>
      <c r="B72" s="201"/>
      <c r="C72" s="201" t="s">
        <v>101</v>
      </c>
      <c r="D72" s="201"/>
      <c r="E72" s="201"/>
      <c r="F72" s="201"/>
      <c r="G72" s="145"/>
      <c r="H72" s="118"/>
      <c r="I72" s="43"/>
      <c r="J72" s="43"/>
      <c r="K72" s="43"/>
      <c r="L72" s="43"/>
      <c r="M72" s="43"/>
      <c r="N72" s="43"/>
      <c r="O72" s="118"/>
      <c r="P72" s="118"/>
      <c r="Q72" s="118">
        <f>+Q69/(Q59+Q69+Q49+Q38)</f>
        <v>3.4976529798228545E-2</v>
      </c>
      <c r="R72" s="118"/>
      <c r="S72" s="118"/>
      <c r="T72" s="118">
        <f>+T69/(T59+T69+T49+T38)</f>
        <v>3.4949107030408759E-2</v>
      </c>
      <c r="U72" s="118"/>
      <c r="V72" s="43"/>
      <c r="W72" s="64"/>
      <c r="X72" s="118"/>
      <c r="Y72" s="118"/>
      <c r="Z72" s="118"/>
      <c r="AA72" s="118"/>
      <c r="AB72" s="118"/>
      <c r="AC72" s="118"/>
      <c r="AD72" s="118"/>
      <c r="AE72" s="118"/>
      <c r="AF72" s="118"/>
      <c r="AG72" s="118">
        <f>+AG69/(AG59+AG69+AG49+AG38)</f>
        <v>3.0860341585282718E-2</v>
      </c>
      <c r="AH72" s="118">
        <f>+AH69/(AH59+AH69+AH49+AH38+AH79)</f>
        <v>3.0805194907409548E-2</v>
      </c>
      <c r="AI72" s="118">
        <f>+AI69/(AI59+AI69+AI49+AI38+AI79+AI89)</f>
        <v>3.0414062880304737E-2</v>
      </c>
      <c r="AJ72" s="118">
        <f>+AJ69/(AJ59+AJ69+AJ49+AJ38+AJ79+AJ89)</f>
        <v>3.0413640287435383E-2</v>
      </c>
      <c r="AK72" s="118">
        <f>+AK69/(AK59+AK69+AK49+AK38+AK79+AK89)</f>
        <v>3.041364028743538E-2</v>
      </c>
      <c r="AL72" s="118">
        <f>+AL69/(AL59+AL69+AL49+AL38+AL79+AL89)</f>
        <v>3.041364028743538E-2</v>
      </c>
      <c r="AM72" s="118">
        <f>AM69/(AM38+AM49+AM59+AM69+AM79+AM89+AM99)</f>
        <v>3.0388552145725022E-2</v>
      </c>
      <c r="AN72" s="118">
        <f>AN69/(AN38+AN49+AN59+AN69+AN79+AN89+AN99)</f>
        <v>3.0388552145725028E-2</v>
      </c>
      <c r="AO72" s="118">
        <f>AO69/(AO38+AO49+AO59+AO69+AO79+AO89+AO99)</f>
        <v>3.0388552145725028E-2</v>
      </c>
      <c r="AP72" s="118">
        <f>AP69/(AP38+AP49+AP59+AP69+AP79+AP89+AP99+AP109)</f>
        <v>3.028209877640782E-2</v>
      </c>
      <c r="AQ72" s="118">
        <f>AQ69/(AQ38+AQ49+AQ59+AQ69+AQ79+AQ89+AQ99+AQ109+AQ119)</f>
        <v>2.9215887644116829E-2</v>
      </c>
      <c r="AR72" s="118">
        <f>AR69/(AR38+AR49+AR59+AR69+AR79+AR89+AR99+AR109+AR119)</f>
        <v>2.9215887644116832E-2</v>
      </c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64"/>
      <c r="CA72" s="64"/>
      <c r="CB72" s="64"/>
      <c r="CC72" s="64"/>
      <c r="CD72" s="64"/>
      <c r="CE72" s="64"/>
      <c r="CF72" s="64"/>
      <c r="CG72" s="64"/>
      <c r="CH72" s="64"/>
    </row>
    <row r="73" spans="1:86" x14ac:dyDescent="0.3">
      <c r="A73" s="127"/>
      <c r="B73" s="201">
        <v>2969.8939999999998</v>
      </c>
      <c r="C73" s="201" t="s">
        <v>102</v>
      </c>
      <c r="D73" s="201"/>
      <c r="E73" s="201"/>
      <c r="F73" s="201"/>
      <c r="G73" s="145"/>
      <c r="H73" s="118"/>
      <c r="I73" s="43"/>
      <c r="J73" s="43"/>
      <c r="K73" s="43"/>
      <c r="L73" s="43"/>
      <c r="M73" s="43"/>
      <c r="N73" s="43"/>
      <c r="O73" s="43"/>
      <c r="P73" s="43"/>
      <c r="Q73" s="43">
        <f>+Q72*Q44</f>
        <v>8.4154704328216319</v>
      </c>
      <c r="R73" s="43"/>
      <c r="S73" s="43"/>
      <c r="T73" s="43">
        <f>+T72*T34</f>
        <v>6.3593395152531791</v>
      </c>
      <c r="U73" s="43"/>
      <c r="V73" s="43"/>
      <c r="W73" s="64"/>
      <c r="X73" s="43"/>
      <c r="Y73" s="43"/>
      <c r="Z73" s="43"/>
      <c r="AA73" s="43"/>
      <c r="AB73" s="43"/>
      <c r="AC73" s="43"/>
      <c r="AD73" s="43"/>
      <c r="AE73" s="43"/>
      <c r="AF73" s="43"/>
      <c r="AG73" s="43">
        <f t="shared" ref="AG73:AM73" si="352">+AG72*AG34</f>
        <v>-1009.0159005407207</v>
      </c>
      <c r="AH73" s="43">
        <f t="shared" si="352"/>
        <v>1174.8352771449752</v>
      </c>
      <c r="AI73" s="43">
        <f t="shared" si="352"/>
        <v>196.242482766363</v>
      </c>
      <c r="AJ73" s="43">
        <f t="shared" si="352"/>
        <v>163.66005629633003</v>
      </c>
      <c r="AK73" s="43">
        <f t="shared" si="352"/>
        <v>571.70101157587226</v>
      </c>
      <c r="AL73" s="43">
        <f t="shared" si="352"/>
        <v>-677.0280099373042</v>
      </c>
      <c r="AM73" s="43">
        <f t="shared" si="352"/>
        <v>1044.8304436386118</v>
      </c>
      <c r="AN73" s="43">
        <f t="shared" ref="AN73:AO73" si="353">+AN72*AN34</f>
        <v>333.07372579321918</v>
      </c>
      <c r="AO73" s="43">
        <f t="shared" si="353"/>
        <v>81.281172080735146</v>
      </c>
      <c r="AP73" s="43">
        <f t="shared" ref="AP73:AQ73" si="354">+AP72*AP34</f>
        <v>-440.59242435722325</v>
      </c>
      <c r="AQ73" s="43">
        <f t="shared" si="354"/>
        <v>-306.74023380547055</v>
      </c>
      <c r="AR73" s="43">
        <f t="shared" ref="AR73" si="355">+AR72*AR34</f>
        <v>-451.97211912549886</v>
      </c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  <c r="CA73" s="64"/>
      <c r="CB73" s="64"/>
      <c r="CC73" s="64"/>
      <c r="CD73" s="64"/>
      <c r="CE73" s="64"/>
      <c r="CF73" s="64"/>
      <c r="CG73" s="64"/>
      <c r="CH73" s="64"/>
    </row>
    <row r="74" spans="1:86" x14ac:dyDescent="0.3">
      <c r="A74" s="1">
        <v>43308</v>
      </c>
      <c r="B74" s="201">
        <v>2969.8939999999998</v>
      </c>
      <c r="C74" s="201"/>
      <c r="D74" s="201"/>
      <c r="E74" s="201"/>
      <c r="F74" s="201"/>
      <c r="G74" s="201"/>
      <c r="H74" s="111"/>
      <c r="I74" s="111"/>
      <c r="J74" s="111"/>
      <c r="K74" s="111"/>
      <c r="L74" s="111"/>
      <c r="M74" s="111"/>
      <c r="N74" s="111"/>
      <c r="O74" s="111"/>
      <c r="P74" s="111"/>
      <c r="Q74" s="111">
        <f>+Q69+Q71+Q73</f>
        <v>218774.0439764715</v>
      </c>
      <c r="R74" s="111"/>
      <c r="S74" s="111"/>
      <c r="T74" s="111">
        <f>+T69+T71+T73</f>
        <v>218237.59655928504</v>
      </c>
      <c r="U74" s="111"/>
      <c r="V74" s="111"/>
      <c r="W74" s="64"/>
      <c r="X74" s="111"/>
      <c r="Y74" s="111"/>
      <c r="Z74" s="111"/>
      <c r="AA74" s="111"/>
      <c r="AB74" s="111"/>
      <c r="AC74" s="111"/>
      <c r="AD74" s="111"/>
      <c r="AE74" s="111"/>
      <c r="AF74" s="111"/>
      <c r="AG74" s="111">
        <f t="shared" ref="AG74:AM74" si="356">+AG69+AG71+AG73</f>
        <v>212122.35870934578</v>
      </c>
      <c r="AH74" s="111">
        <f t="shared" si="356"/>
        <v>213762.77984502126</v>
      </c>
      <c r="AI74" s="111">
        <f t="shared" si="356"/>
        <v>213993.07571570508</v>
      </c>
      <c r="AJ74" s="111">
        <f t="shared" si="356"/>
        <v>214579.52395705937</v>
      </c>
      <c r="AK74" s="111">
        <f t="shared" si="356"/>
        <v>216294.98871506969</v>
      </c>
      <c r="AL74" s="111">
        <f t="shared" si="356"/>
        <v>215960.57480916783</v>
      </c>
      <c r="AM74" s="111">
        <f t="shared" si="356"/>
        <v>217306.66772425696</v>
      </c>
      <c r="AN74" s="111">
        <f t="shared" ref="AN74:AO74" si="357">+AN69+AN71+AN73</f>
        <v>218445.64147243137</v>
      </c>
      <c r="AO74" s="111">
        <f t="shared" si="357"/>
        <v>219021.61749435437</v>
      </c>
      <c r="AP74" s="111">
        <f t="shared" ref="AP74:AQ74" si="358">+AP69+AP71+AP73</f>
        <v>218789.27667000878</v>
      </c>
      <c r="AQ74" s="111">
        <f t="shared" si="358"/>
        <v>218171.51638621528</v>
      </c>
      <c r="AR74" s="111">
        <f t="shared" ref="AR74" si="359">+AR69+AR71+AR73</f>
        <v>217611.72261282007</v>
      </c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  <c r="CA74" s="64"/>
      <c r="CB74" s="64"/>
      <c r="CC74" s="64"/>
      <c r="CD74" s="64"/>
      <c r="CE74" s="64"/>
      <c r="CF74" s="64"/>
      <c r="CG74" s="64"/>
      <c r="CH74" s="64"/>
    </row>
    <row r="75" spans="1:86" s="112" customFormat="1" x14ac:dyDescent="0.3">
      <c r="B75" s="129"/>
      <c r="C75" s="129"/>
      <c r="D75" s="129"/>
      <c r="E75" s="129"/>
      <c r="F75" s="129"/>
      <c r="G75" s="129"/>
      <c r="H75" s="132">
        <f>H74*1.5%/365</f>
        <v>0</v>
      </c>
      <c r="I75" s="132">
        <f>I74*1.5%/365</f>
        <v>0</v>
      </c>
      <c r="J75" s="132">
        <f>J74*1.5%/365</f>
        <v>0</v>
      </c>
      <c r="K75" s="132">
        <f>K74*1.5%/365*3</f>
        <v>0</v>
      </c>
      <c r="L75" s="132">
        <f t="shared" ref="L75" si="360">L74*1.5%/365</f>
        <v>0</v>
      </c>
      <c r="M75" s="132">
        <f>M74*1.5%/365*3</f>
        <v>0</v>
      </c>
      <c r="N75" s="132">
        <f t="shared" ref="N75" si="361">N74*1.5%/365</f>
        <v>0</v>
      </c>
      <c r="O75" s="132">
        <f>O74*1.5%/365</f>
        <v>0</v>
      </c>
      <c r="P75" s="132">
        <f>P74*1.5%/365</f>
        <v>0</v>
      </c>
      <c r="Q75" s="132">
        <f>Q74*1.5%/365</f>
        <v>8.9907141360193759</v>
      </c>
      <c r="R75" s="132"/>
      <c r="S75" s="132"/>
      <c r="T75" s="132">
        <f>T74*1.5%/365*3</f>
        <v>26.906005055254319</v>
      </c>
      <c r="U75" s="132"/>
      <c r="V75" s="132">
        <f>V74*1.5%/365</f>
        <v>0</v>
      </c>
      <c r="W75" s="131"/>
      <c r="X75" s="132">
        <f>X74*1.5%/365</f>
        <v>0</v>
      </c>
      <c r="Y75" s="132">
        <f>Y74*1.5%/365</f>
        <v>0</v>
      </c>
      <c r="Z75" s="132"/>
      <c r="AA75" s="132">
        <f t="shared" ref="AA75:AF75" si="362">AA74*1.5%/365</f>
        <v>0</v>
      </c>
      <c r="AB75" s="132">
        <f t="shared" si="362"/>
        <v>0</v>
      </c>
      <c r="AC75" s="132">
        <f t="shared" si="362"/>
        <v>0</v>
      </c>
      <c r="AD75" s="132">
        <f t="shared" si="362"/>
        <v>0</v>
      </c>
      <c r="AE75" s="132">
        <f t="shared" si="362"/>
        <v>0</v>
      </c>
      <c r="AF75" s="132">
        <f t="shared" si="362"/>
        <v>0</v>
      </c>
      <c r="AG75" s="132">
        <f>AG74*1.5%/365</f>
        <v>8.7173572072333876</v>
      </c>
      <c r="AH75" s="132">
        <f>AH74*1.5%/365</f>
        <v>8.7847717744529277</v>
      </c>
      <c r="AI75" s="132">
        <f>AI74*1.5%/365</f>
        <v>8.7942359883166468</v>
      </c>
      <c r="AJ75" s="132">
        <f>AJ74*1.5%/365*3</f>
        <v>26.455009802925126</v>
      </c>
      <c r="AK75" s="132">
        <f>AK74*1.5%/365</f>
        <v>8.8888351526740959</v>
      </c>
      <c r="AL75" s="132">
        <f>AL74*1.5%/365*2</f>
        <v>17.750184230890508</v>
      </c>
      <c r="AM75" s="132">
        <f>AM74*1.5%/365</f>
        <v>8.9304110023667249</v>
      </c>
      <c r="AN75" s="132">
        <f>AN74*1.5%/365*3</f>
        <v>26.931654428107976</v>
      </c>
      <c r="AO75" s="132">
        <f t="shared" ref="AO75:AT75" si="363">AO74*1.5%/365</f>
        <v>9.0008883901789467</v>
      </c>
      <c r="AP75" s="132">
        <f t="shared" si="363"/>
        <v>8.9913401371236485</v>
      </c>
      <c r="AQ75" s="132">
        <f t="shared" si="363"/>
        <v>8.9659527282006266</v>
      </c>
      <c r="AR75" s="132">
        <f t="shared" si="363"/>
        <v>8.9429475046364413</v>
      </c>
      <c r="AS75" s="132">
        <f t="shared" si="363"/>
        <v>0</v>
      </c>
      <c r="AT75" s="132">
        <f t="shared" si="363"/>
        <v>0</v>
      </c>
      <c r="AU75" s="132">
        <f t="shared" ref="AU75:AV75" si="364">AU74*1.5%/365</f>
        <v>0</v>
      </c>
      <c r="AV75" s="132">
        <f t="shared" si="364"/>
        <v>0</v>
      </c>
      <c r="AW75" s="132">
        <f t="shared" ref="AW75:AX75" si="365">AW74*1.5%/365</f>
        <v>0</v>
      </c>
      <c r="AX75" s="132">
        <f t="shared" si="365"/>
        <v>0</v>
      </c>
      <c r="AY75" s="132">
        <f t="shared" ref="AY75:AZ75" si="366">AY74*1.5%/365</f>
        <v>0</v>
      </c>
      <c r="AZ75" s="132">
        <f t="shared" si="366"/>
        <v>0</v>
      </c>
      <c r="BA75" s="132">
        <f t="shared" ref="BA75:BB75" si="367">BA74*1.5%/365</f>
        <v>0</v>
      </c>
      <c r="BB75" s="132">
        <f t="shared" si="367"/>
        <v>0</v>
      </c>
      <c r="BC75" s="132">
        <f t="shared" ref="BC75:BD75" si="368">BC74*1.5%/365</f>
        <v>0</v>
      </c>
      <c r="BD75" s="132">
        <f t="shared" si="368"/>
        <v>0</v>
      </c>
      <c r="BE75" s="131"/>
      <c r="BF75" s="131"/>
      <c r="BG75" s="131"/>
      <c r="BH75" s="131"/>
      <c r="BI75" s="131"/>
      <c r="BJ75" s="131"/>
      <c r="BK75" s="131"/>
      <c r="BL75" s="131"/>
      <c r="BM75" s="131"/>
      <c r="BN75" s="131"/>
      <c r="BO75" s="131"/>
      <c r="BP75" s="131"/>
      <c r="BQ75" s="131"/>
      <c r="BR75" s="131"/>
      <c r="BS75" s="131"/>
      <c r="BT75" s="131"/>
      <c r="BU75" s="131"/>
      <c r="BV75" s="131"/>
      <c r="BW75" s="131"/>
      <c r="BX75" s="131"/>
      <c r="BY75" s="131"/>
      <c r="BZ75" s="131"/>
      <c r="CA75" s="131"/>
      <c r="CB75" s="131"/>
      <c r="CC75" s="131"/>
      <c r="CD75" s="131"/>
      <c r="CE75" s="131"/>
      <c r="CF75" s="131"/>
      <c r="CG75" s="131"/>
      <c r="CH75" s="131"/>
    </row>
    <row r="76" spans="1:86" s="112" customFormat="1" x14ac:dyDescent="0.3">
      <c r="B76" s="113"/>
      <c r="C76" s="129"/>
      <c r="D76" s="129"/>
      <c r="E76" s="129"/>
      <c r="F76" s="129"/>
      <c r="G76" s="129"/>
      <c r="H76" s="130">
        <f>+H74-H75</f>
        <v>0</v>
      </c>
      <c r="I76" s="130">
        <f>+I74-I75</f>
        <v>0</v>
      </c>
      <c r="J76" s="130">
        <f>+J74-J75</f>
        <v>0</v>
      </c>
      <c r="K76" s="130">
        <f>+K74-K75</f>
        <v>0</v>
      </c>
      <c r="L76" s="130">
        <f t="shared" ref="L76:N76" si="369">+L74-L75</f>
        <v>0</v>
      </c>
      <c r="M76" s="130">
        <f t="shared" si="369"/>
        <v>0</v>
      </c>
      <c r="N76" s="130">
        <f t="shared" si="369"/>
        <v>0</v>
      </c>
      <c r="O76" s="130">
        <f>+O74-O75</f>
        <v>0</v>
      </c>
      <c r="P76" s="130">
        <f>+P74-P75</f>
        <v>0</v>
      </c>
      <c r="Q76" s="130">
        <f>+Q74-Q75</f>
        <v>218765.05326233548</v>
      </c>
      <c r="R76" s="130"/>
      <c r="S76" s="130"/>
      <c r="T76" s="130">
        <f>+T74-T75</f>
        <v>218210.69055422978</v>
      </c>
      <c r="U76" s="130"/>
      <c r="V76" s="130">
        <f>+V74-V75</f>
        <v>0</v>
      </c>
      <c r="W76" s="131"/>
      <c r="X76" s="130">
        <f>+X74-X75</f>
        <v>0</v>
      </c>
      <c r="Y76" s="130">
        <f>+Y74-Y75</f>
        <v>0</v>
      </c>
      <c r="Z76" s="130"/>
      <c r="AA76" s="130">
        <f t="shared" ref="AA76:AF76" si="370">+AA74-AA75</f>
        <v>0</v>
      </c>
      <c r="AB76" s="130">
        <f t="shared" si="370"/>
        <v>0</v>
      </c>
      <c r="AC76" s="130">
        <f t="shared" si="370"/>
        <v>0</v>
      </c>
      <c r="AD76" s="130">
        <f t="shared" si="370"/>
        <v>0</v>
      </c>
      <c r="AE76" s="130">
        <f t="shared" si="370"/>
        <v>0</v>
      </c>
      <c r="AF76" s="130">
        <f t="shared" si="370"/>
        <v>0</v>
      </c>
      <c r="AG76" s="130">
        <f t="shared" ref="AG76:AM76" si="371">+AG74-AG75</f>
        <v>212113.64135213854</v>
      </c>
      <c r="AH76" s="130">
        <f t="shared" si="371"/>
        <v>213753.9950732468</v>
      </c>
      <c r="AI76" s="130">
        <f t="shared" si="371"/>
        <v>213984.28147971677</v>
      </c>
      <c r="AJ76" s="130">
        <f t="shared" si="371"/>
        <v>214553.06894725646</v>
      </c>
      <c r="AK76" s="130">
        <f t="shared" si="371"/>
        <v>216286.09987991702</v>
      </c>
      <c r="AL76" s="130">
        <f t="shared" si="371"/>
        <v>215942.82462493694</v>
      </c>
      <c r="AM76" s="130">
        <f t="shared" si="371"/>
        <v>217297.73731325459</v>
      </c>
      <c r="AN76" s="130">
        <f t="shared" ref="AN76:AO76" si="372">+AN74-AN75</f>
        <v>218418.70981800326</v>
      </c>
      <c r="AO76" s="130">
        <f t="shared" si="372"/>
        <v>219012.6166059642</v>
      </c>
      <c r="AP76" s="130">
        <f t="shared" ref="AP76:AQ76" si="373">+AP74-AP75</f>
        <v>218780.28532987167</v>
      </c>
      <c r="AQ76" s="130">
        <f t="shared" si="373"/>
        <v>218162.55043348708</v>
      </c>
      <c r="AR76" s="130">
        <f t="shared" ref="AR76" si="374">+AR74-AR75</f>
        <v>217602.77966531544</v>
      </c>
      <c r="AS76" s="130">
        <f t="shared" ref="AS76:AY76" si="375">+AS74-AS75</f>
        <v>0</v>
      </c>
      <c r="AT76" s="130">
        <f t="shared" si="375"/>
        <v>0</v>
      </c>
      <c r="AU76" s="130">
        <f t="shared" si="375"/>
        <v>0</v>
      </c>
      <c r="AV76" s="130">
        <f t="shared" si="375"/>
        <v>0</v>
      </c>
      <c r="AW76" s="130">
        <f t="shared" si="375"/>
        <v>0</v>
      </c>
      <c r="AX76" s="130">
        <f t="shared" si="375"/>
        <v>0</v>
      </c>
      <c r="AY76" s="130">
        <f t="shared" si="375"/>
        <v>0</v>
      </c>
      <c r="AZ76" s="130">
        <f t="shared" ref="AZ76:BA76" si="376">+AZ74-AZ75</f>
        <v>0</v>
      </c>
      <c r="BA76" s="130">
        <f t="shared" si="376"/>
        <v>0</v>
      </c>
      <c r="BB76" s="130">
        <f t="shared" ref="BB76:BC76" si="377">+BB74-BB75</f>
        <v>0</v>
      </c>
      <c r="BC76" s="130">
        <f t="shared" si="377"/>
        <v>0</v>
      </c>
      <c r="BD76" s="130">
        <f t="shared" ref="BD76" si="378">+BD74-BD75</f>
        <v>0</v>
      </c>
      <c r="BE76" s="131"/>
      <c r="BF76" s="131"/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  <c r="BR76" s="131"/>
      <c r="BS76" s="131"/>
      <c r="BT76" s="131"/>
      <c r="BU76" s="131"/>
      <c r="BV76" s="131"/>
      <c r="BW76" s="131"/>
      <c r="BX76" s="131"/>
      <c r="BY76" s="131"/>
      <c r="BZ76" s="131"/>
      <c r="CA76" s="131"/>
      <c r="CB76" s="131"/>
      <c r="CC76" s="131"/>
      <c r="CD76" s="131"/>
      <c r="CE76" s="131"/>
      <c r="CF76" s="131"/>
      <c r="CG76" s="131"/>
      <c r="CH76" s="131"/>
    </row>
    <row r="77" spans="1:86" s="112" customFormat="1" x14ac:dyDescent="0.3">
      <c r="A77" s="129"/>
      <c r="B77" s="129"/>
      <c r="C77" s="129"/>
      <c r="D77" s="129"/>
      <c r="E77" s="129"/>
      <c r="F77" s="129"/>
      <c r="G77" s="129"/>
      <c r="H77" s="130" t="e">
        <f>+H76/H69*100</f>
        <v>#DIV/0!</v>
      </c>
      <c r="I77" s="130">
        <f>+I76/B74*I33</f>
        <v>0</v>
      </c>
      <c r="J77" s="130">
        <f>+J76/$B$43*J33</f>
        <v>0</v>
      </c>
      <c r="K77" s="130">
        <f>+K76/$B$43*K33</f>
        <v>0</v>
      </c>
      <c r="L77" s="130">
        <f>+L76/$B$43*L33</f>
        <v>0</v>
      </c>
      <c r="M77" s="130">
        <f>+M76/$B$43*M33</f>
        <v>0</v>
      </c>
      <c r="N77" s="130">
        <f>+N76/$B$43*N33</f>
        <v>0</v>
      </c>
      <c r="O77" s="130">
        <f>+O76/$B$54*O24</f>
        <v>0</v>
      </c>
      <c r="P77" s="130">
        <f>+P76/$B$64*P13</f>
        <v>0</v>
      </c>
      <c r="Q77" s="130">
        <f>+Q76/$B$64*Q13</f>
        <v>261.07473748558607</v>
      </c>
      <c r="R77" s="130"/>
      <c r="S77" s="130"/>
      <c r="T77" s="130">
        <f>+T76/$B$74*T3</f>
        <v>99.987413099835749</v>
      </c>
      <c r="U77" s="130"/>
      <c r="V77" s="130" t="e">
        <f>+V76/N74*V33</f>
        <v>#DIV/0!</v>
      </c>
      <c r="W77" s="131"/>
      <c r="X77" s="130">
        <f>+X76/$B$54*X24</f>
        <v>0</v>
      </c>
      <c r="Y77" s="130">
        <f>+Y76/$B$54*Y24</f>
        <v>0</v>
      </c>
      <c r="Z77" s="130"/>
      <c r="AA77" s="130">
        <f t="shared" ref="AA77:AF77" si="379">+AA76/$B$54*AA24</f>
        <v>0</v>
      </c>
      <c r="AB77" s="130">
        <f t="shared" si="379"/>
        <v>0</v>
      </c>
      <c r="AC77" s="130">
        <f t="shared" si="379"/>
        <v>0</v>
      </c>
      <c r="AD77" s="130">
        <f t="shared" si="379"/>
        <v>0</v>
      </c>
      <c r="AE77" s="130">
        <f t="shared" si="379"/>
        <v>0</v>
      </c>
      <c r="AF77" s="130">
        <f t="shared" si="379"/>
        <v>0</v>
      </c>
      <c r="AG77" s="159">
        <f t="shared" ref="AG77:AM77" si="380">TRUNC(+AG76/(2966.046),3)*AG3</f>
        <v>98.802360800000002</v>
      </c>
      <c r="AH77" s="159">
        <f t="shared" si="380"/>
        <v>99.025890600000011</v>
      </c>
      <c r="AI77" s="159">
        <f t="shared" si="380"/>
        <v>99.0284616</v>
      </c>
      <c r="AJ77" s="175">
        <f t="shared" si="380"/>
        <v>99.208823999999993</v>
      </c>
      <c r="AK77" s="175">
        <f t="shared" si="380"/>
        <v>99.736330000000009</v>
      </c>
      <c r="AL77" s="175">
        <f t="shared" si="380"/>
        <v>99.887088000000006</v>
      </c>
      <c r="AM77" s="175">
        <f t="shared" si="380"/>
        <v>100.01591719999999</v>
      </c>
      <c r="AN77" s="175">
        <f t="shared" ref="AN77:AO77" si="381">TRUNC(+AN76/(2966.046),3)*AN3</f>
        <v>100.36627505</v>
      </c>
      <c r="AO77" s="175">
        <f t="shared" si="381"/>
        <v>100.59825360000001</v>
      </c>
      <c r="AP77" s="175">
        <f t="shared" ref="AP77:AQ77" si="382">TRUNC(+AP76/(2966.046),3)*AP3</f>
        <v>100.6985172</v>
      </c>
      <c r="AQ77" s="175">
        <f t="shared" si="382"/>
        <v>100.55798395000001</v>
      </c>
      <c r="AR77" s="175">
        <f t="shared" ref="AR77" si="383">TRUNC(+AR76/(2966.046),3)*AR3</f>
        <v>100.51234820000001</v>
      </c>
      <c r="AS77" s="130">
        <f t="shared" ref="AS77:BD77" si="384">+AS76/AK74*AS33</f>
        <v>0</v>
      </c>
      <c r="AT77" s="130">
        <f t="shared" si="384"/>
        <v>0</v>
      </c>
      <c r="AU77" s="130">
        <f t="shared" si="384"/>
        <v>0</v>
      </c>
      <c r="AV77" s="130">
        <f t="shared" si="384"/>
        <v>0</v>
      </c>
      <c r="AW77" s="130">
        <f t="shared" si="384"/>
        <v>0</v>
      </c>
      <c r="AX77" s="130">
        <f t="shared" si="384"/>
        <v>0</v>
      </c>
      <c r="AY77" s="130">
        <f t="shared" si="384"/>
        <v>0</v>
      </c>
      <c r="AZ77" s="130">
        <f t="shared" si="384"/>
        <v>0</v>
      </c>
      <c r="BA77" s="130" t="e">
        <f t="shared" si="384"/>
        <v>#DIV/0!</v>
      </c>
      <c r="BB77" s="130" t="e">
        <f t="shared" si="384"/>
        <v>#DIV/0!</v>
      </c>
      <c r="BC77" s="130" t="e">
        <f t="shared" si="384"/>
        <v>#DIV/0!</v>
      </c>
      <c r="BD77" s="130" t="e">
        <f t="shared" si="384"/>
        <v>#DIV/0!</v>
      </c>
      <c r="BE77" s="131"/>
      <c r="BF77" s="131"/>
      <c r="BG77" s="131"/>
      <c r="BH77" s="131"/>
      <c r="BI77" s="131"/>
      <c r="BJ77" s="131"/>
      <c r="BK77" s="131"/>
      <c r="BL77" s="131"/>
      <c r="BM77" s="131"/>
      <c r="BN77" s="131"/>
      <c r="BO77" s="131"/>
      <c r="BP77" s="131"/>
      <c r="BQ77" s="131"/>
      <c r="BR77" s="131"/>
      <c r="BS77" s="131"/>
      <c r="BT77" s="131"/>
      <c r="BU77" s="131"/>
      <c r="BV77" s="131"/>
      <c r="BW77" s="131"/>
      <c r="BX77" s="131"/>
      <c r="BY77" s="131"/>
      <c r="BZ77" s="131"/>
      <c r="CA77" s="131"/>
      <c r="CB77" s="131"/>
      <c r="CC77" s="131"/>
      <c r="CD77" s="131"/>
      <c r="CE77" s="131"/>
      <c r="CF77" s="131"/>
      <c r="CG77" s="131"/>
      <c r="CH77" s="131"/>
    </row>
    <row r="78" spans="1:86" x14ac:dyDescent="0.3">
      <c r="H78" s="128"/>
    </row>
    <row r="79" spans="1:86" x14ac:dyDescent="0.3">
      <c r="A79" s="201"/>
      <c r="B79" s="201">
        <v>218881.19</v>
      </c>
      <c r="C79" s="201"/>
      <c r="D79" s="201"/>
      <c r="E79" s="201"/>
      <c r="F79" s="201"/>
      <c r="G79" s="201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>
        <v>12304.48</v>
      </c>
      <c r="AI79" s="64">
        <f t="shared" ref="AI79:AR79" si="385">+AH86</f>
        <v>12399.635122629734</v>
      </c>
      <c r="AJ79" s="64">
        <f t="shared" si="385"/>
        <v>12412.993784829008</v>
      </c>
      <c r="AK79" s="64">
        <f t="shared" si="385"/>
        <v>12445.988522809928</v>
      </c>
      <c r="AL79" s="64">
        <f t="shared" si="385"/>
        <v>12546.519748969504</v>
      </c>
      <c r="AM79" s="64">
        <f t="shared" si="385"/>
        <v>12526.606727428445</v>
      </c>
      <c r="AN79" s="64">
        <f t="shared" si="385"/>
        <v>12605.203728398663</v>
      </c>
      <c r="AO79" s="64">
        <f t="shared" si="385"/>
        <v>12670.23011556219</v>
      </c>
      <c r="AP79" s="64">
        <f t="shared" si="385"/>
        <v>12704.681997806756</v>
      </c>
      <c r="AQ79" s="64">
        <f t="shared" si="385"/>
        <v>12691.204714960486</v>
      </c>
      <c r="AR79" s="64">
        <f t="shared" si="385"/>
        <v>12655.370590245953</v>
      </c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</row>
    <row r="80" spans="1:86" x14ac:dyDescent="0.3">
      <c r="A80" s="127" t="s">
        <v>99</v>
      </c>
      <c r="B80" s="201">
        <v>218881.19</v>
      </c>
      <c r="C80" s="201" t="s">
        <v>100</v>
      </c>
      <c r="D80" s="201"/>
      <c r="E80" s="201"/>
      <c r="F80" s="201"/>
      <c r="G80" s="201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64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>
        <f>+AH79/(AH38+AH49+AH153+AH59+AH69+AH79+AH130)</f>
        <v>1.7370681795550119E-3</v>
      </c>
      <c r="AI80" s="118">
        <f>+AI79/(AI38+AI49+AI153+AI59+AI69+AI79+AI130+AI89)</f>
        <v>1.7158797607036758E-3</v>
      </c>
      <c r="AJ80" s="118">
        <f>+AJ79/(AJ38+AJ49+AJ153+AJ59+AJ69+AJ79+AJ130+AJ89)</f>
        <v>1.7158983021113177E-3</v>
      </c>
      <c r="AK80" s="118">
        <f>+AK79/(AK38+AK49+AK153+AK59+AK69+AK79+AK130+AK89)</f>
        <v>1.7159298477169699E-3</v>
      </c>
      <c r="AL80" s="118">
        <f>+AL79/(AL38+AL49+AL153+AL59+AL69+AL79+AL130+AL89)</f>
        <v>1.7160526661323132E-3</v>
      </c>
      <c r="AM80" s="118">
        <f>+AM79/(AM38+AM49+AM153+AM59+AM69+AM79+AM130+AM89+AM99)</f>
        <v>1.7145261078526295E-3</v>
      </c>
      <c r="AN80" s="118">
        <f>+AN79/(AN38+AN49+AN153+AN59+AN69+AN79+AN130+AN89+AN99)</f>
        <v>1.7147504812065379E-3</v>
      </c>
      <c r="AO80" s="118">
        <f>+AO79/(AO38+AO49+AO153+AO59+AO69+AO79+AO130+AO89+AO99)</f>
        <v>1.7148324980432138E-3</v>
      </c>
      <c r="AP80" s="118">
        <f>AP79/(AP38+AP49+AP153+AP59+AP69+AP79+AP130+AP89+AP99+AP109)</f>
        <v>1.7090324313597004E-3</v>
      </c>
      <c r="AQ80" s="118">
        <f>AQ79/(AQ38+AQ49+AQ153+AQ59+AQ69+AQ79+AQ130+AQ89+AQ99+AQ109+AQ119)</f>
        <v>1.6503725484106025E-3</v>
      </c>
      <c r="AR80" s="118">
        <f>AR79/(AR38+AR49+AR153+AR59+AR69+AR79+AR130+AR89+AR99+AR109+AR119)</f>
        <v>1.6503236553500101E-3</v>
      </c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</row>
    <row r="81" spans="1:86" x14ac:dyDescent="0.3">
      <c r="A81" s="127"/>
      <c r="B81" s="201"/>
      <c r="C81" s="201"/>
      <c r="D81" s="201"/>
      <c r="E81" s="201"/>
      <c r="F81" s="201"/>
      <c r="G81" s="145">
        <f>+B84/(B75+B84)</f>
        <v>1</v>
      </c>
      <c r="H81" s="118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64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>
        <f t="shared" ref="AH81:AN81" si="386">+(AH33*AH80)</f>
        <v>27.513810025505013</v>
      </c>
      <c r="AI81" s="43">
        <f t="shared" si="386"/>
        <v>2.4849947217250454</v>
      </c>
      <c r="AJ81" s="43">
        <f t="shared" si="386"/>
        <v>25.035623518901552</v>
      </c>
      <c r="AK81" s="43">
        <f t="shared" si="386"/>
        <v>67.883108271396367</v>
      </c>
      <c r="AL81" s="43">
        <f t="shared" si="386"/>
        <v>20.390300489920314</v>
      </c>
      <c r="AM81" s="43">
        <f t="shared" si="386"/>
        <v>18.505574731339696</v>
      </c>
      <c r="AN81" s="43">
        <f t="shared" si="386"/>
        <v>47.26742093081365</v>
      </c>
      <c r="AO81" s="43">
        <f t="shared" ref="AO81:AP81" si="387">+(AO33*AO80)</f>
        <v>30.258982158576561</v>
      </c>
      <c r="AP81" s="43">
        <f t="shared" si="387"/>
        <v>12.602578888608408</v>
      </c>
      <c r="AQ81" s="43">
        <f t="shared" ref="AQ81:AR81" si="388">+(AQ33*AQ80)</f>
        <v>-17.520354636771668</v>
      </c>
      <c r="AR81" s="43">
        <f t="shared" si="388"/>
        <v>-5.7345109666196983</v>
      </c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</row>
    <row r="82" spans="1:86" x14ac:dyDescent="0.3">
      <c r="A82" s="127"/>
      <c r="B82" s="201"/>
      <c r="C82" s="201" t="s">
        <v>101</v>
      </c>
      <c r="D82" s="201"/>
      <c r="E82" s="201"/>
      <c r="F82" s="201"/>
      <c r="G82" s="145"/>
      <c r="H82" s="118"/>
      <c r="I82" s="43"/>
      <c r="J82" s="43"/>
      <c r="K82" s="43"/>
      <c r="L82" s="43"/>
      <c r="M82" s="43"/>
      <c r="N82" s="43"/>
      <c r="O82" s="118"/>
      <c r="P82" s="118"/>
      <c r="Q82" s="118"/>
      <c r="R82" s="118"/>
      <c r="S82" s="118"/>
      <c r="T82" s="118"/>
      <c r="U82" s="118"/>
      <c r="V82" s="43"/>
      <c r="W82" s="64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>
        <f>AH79/(AH59+AH69+AH49+AH38+AH79)</f>
        <v>1.786975614666195E-3</v>
      </c>
      <c r="AI82" s="118">
        <f>AI79/(AI59+AI69+AI49+AI38+AI79+AI89)</f>
        <v>1.764286474193231E-3</v>
      </c>
      <c r="AJ82" s="118">
        <f>AJ79/(AJ59+AJ69+AJ49+AJ38+AJ79+AJ89)</f>
        <v>1.7642619600437589E-3</v>
      </c>
      <c r="AK82" s="118">
        <f>AK79/(AK59+AK69+AK49+AK38+AK79+AK89)</f>
        <v>1.7642619600437587E-3</v>
      </c>
      <c r="AL82" s="118">
        <f>AL79/(AL59+AL69+AL49+AL38+AL79+AL89)</f>
        <v>1.7642619600437585E-3</v>
      </c>
      <c r="AM82" s="118">
        <f>AM79/(AM38+AM49+AM59+AM69+AM79+AM89+AM99)</f>
        <v>1.7628066244229823E-3</v>
      </c>
      <c r="AN82" s="118">
        <f>AN79/(AN38+AN49+AN59+AN69+AN79+AN89+AN99)</f>
        <v>1.7628066244229825E-3</v>
      </c>
      <c r="AO82" s="118">
        <f>AO79/(AO38+AO49+AO59+AO69+AO79+AO89+AO99)</f>
        <v>1.7628066244229825E-3</v>
      </c>
      <c r="AP82" s="118">
        <f>AP79/(AP38+AP49+AP59+AP69+AP79+AP89+AP99+AP109)</f>
        <v>1.7566313810706627E-3</v>
      </c>
      <c r="AQ82" s="118">
        <f>AQ79/(AQ38+AQ49+AQ59+AQ69+AQ79+AQ89+AQ99+AQ109+AQ119)</f>
        <v>1.6947816411415264E-3</v>
      </c>
      <c r="AR82" s="118">
        <f>AR79/(AR38+AR49+AR59+AR69+AR79+AR89+AR99+AR109+AR119)</f>
        <v>1.6947816411415264E-3</v>
      </c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</row>
    <row r="83" spans="1:86" x14ac:dyDescent="0.3">
      <c r="A83" s="127"/>
      <c r="B83" s="201">
        <v>2969.8939999999998</v>
      </c>
      <c r="C83" s="201" t="s">
        <v>102</v>
      </c>
      <c r="D83" s="201"/>
      <c r="E83" s="201"/>
      <c r="F83" s="201"/>
      <c r="G83" s="145"/>
      <c r="H83" s="118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64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>
        <f t="shared" ref="AH83:AN83" si="389">+AH82*AH34</f>
        <v>68.150907592625032</v>
      </c>
      <c r="AI83" s="43">
        <f t="shared" si="389"/>
        <v>11.38381147462543</v>
      </c>
      <c r="AJ83" s="43">
        <f t="shared" si="389"/>
        <v>9.4937406036698722</v>
      </c>
      <c r="AK83" s="43">
        <f t="shared" si="389"/>
        <v>33.163749479161758</v>
      </c>
      <c r="AL83" s="43">
        <f t="shared" si="389"/>
        <v>-39.273653286087296</v>
      </c>
      <c r="AM83" s="43">
        <f t="shared" si="389"/>
        <v>60.609469599362015</v>
      </c>
      <c r="AN83" s="43">
        <f t="shared" si="389"/>
        <v>19.321242006988101</v>
      </c>
      <c r="AO83" s="43">
        <f t="shared" ref="AO83:AP83" si="390">+AO82*AO34</f>
        <v>4.7150317625428864</v>
      </c>
      <c r="AP83" s="43">
        <f t="shared" si="390"/>
        <v>-25.558283942025714</v>
      </c>
      <c r="AQ83" s="43">
        <f t="shared" ref="AQ83:AR83" si="391">+AQ82*AQ34</f>
        <v>-17.79366498069259</v>
      </c>
      <c r="AR83" s="43">
        <f t="shared" si="391"/>
        <v>-26.218407570990703</v>
      </c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</row>
    <row r="84" spans="1:86" x14ac:dyDescent="0.3">
      <c r="A84" s="1">
        <v>43308</v>
      </c>
      <c r="B84" s="201">
        <v>2969.8939999999998</v>
      </c>
      <c r="C84" s="201"/>
      <c r="D84" s="201"/>
      <c r="E84" s="201"/>
      <c r="F84" s="201"/>
      <c r="G84" s="20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64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>
        <f t="shared" ref="AH84:AN84" si="392">+AH79+AH81+AH83</f>
        <v>12400.144717618128</v>
      </c>
      <c r="AI84" s="111">
        <f t="shared" si="392"/>
        <v>12413.503928826083</v>
      </c>
      <c r="AJ84" s="111">
        <f t="shared" si="392"/>
        <v>12447.523148951579</v>
      </c>
      <c r="AK84" s="111">
        <f t="shared" si="392"/>
        <v>12547.035380560486</v>
      </c>
      <c r="AL84" s="111">
        <f t="shared" si="392"/>
        <v>12527.636396173337</v>
      </c>
      <c r="AM84" s="111">
        <f t="shared" si="392"/>
        <v>12605.721771759147</v>
      </c>
      <c r="AN84" s="111">
        <f t="shared" si="392"/>
        <v>12671.792391336465</v>
      </c>
      <c r="AO84" s="111">
        <f t="shared" ref="AO84:AP84" si="393">+AO79+AO81+AO83</f>
        <v>12705.204129483311</v>
      </c>
      <c r="AP84" s="111">
        <f t="shared" si="393"/>
        <v>12691.726292753339</v>
      </c>
      <c r="AQ84" s="111">
        <f t="shared" ref="AQ84:AR84" si="394">+AQ79+AQ81+AQ83</f>
        <v>12655.890695343021</v>
      </c>
      <c r="AR84" s="111">
        <f t="shared" si="394"/>
        <v>12623.417671708343</v>
      </c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</row>
    <row r="85" spans="1:86" s="112" customFormat="1" x14ac:dyDescent="0.3">
      <c r="B85" s="129"/>
      <c r="C85" s="129"/>
      <c r="D85" s="129"/>
      <c r="E85" s="129"/>
      <c r="F85" s="129"/>
      <c r="G85" s="129"/>
      <c r="H85" s="132">
        <f>H84*1.5%/365</f>
        <v>0</v>
      </c>
      <c r="I85" s="132">
        <f>I84*1.5%/365</f>
        <v>0</v>
      </c>
      <c r="J85" s="132">
        <f>J84*1.5%/365</f>
        <v>0</v>
      </c>
      <c r="K85" s="132">
        <f>K84*1.5%/365*3</f>
        <v>0</v>
      </c>
      <c r="L85" s="132">
        <f t="shared" ref="L85" si="395">L84*1.5%/365</f>
        <v>0</v>
      </c>
      <c r="M85" s="132">
        <f>M84*1.5%/365*3</f>
        <v>0</v>
      </c>
      <c r="N85" s="132">
        <f t="shared" ref="N85" si="396">N84*1.5%/365</f>
        <v>0</v>
      </c>
      <c r="O85" s="132">
        <f>O84*1.5%/365</f>
        <v>0</v>
      </c>
      <c r="P85" s="132">
        <f>P84*1.5%/365</f>
        <v>0</v>
      </c>
      <c r="Q85" s="132">
        <f>Q84*1.5%/365</f>
        <v>0</v>
      </c>
      <c r="R85" s="132"/>
      <c r="S85" s="132"/>
      <c r="T85" s="132">
        <f>T84*1.5%/365*3</f>
        <v>0</v>
      </c>
      <c r="U85" s="132"/>
      <c r="V85" s="132">
        <f>V84*1.5%/365</f>
        <v>0</v>
      </c>
      <c r="W85" s="131"/>
      <c r="X85" s="132">
        <f>X84*1.5%/365</f>
        <v>0</v>
      </c>
      <c r="Y85" s="132">
        <f>Y84*1.5%/365</f>
        <v>0</v>
      </c>
      <c r="Z85" s="132"/>
      <c r="AA85" s="132">
        <f t="shared" ref="AA85:AF85" si="397">AA84*1.5%/365</f>
        <v>0</v>
      </c>
      <c r="AB85" s="132">
        <f t="shared" si="397"/>
        <v>0</v>
      </c>
      <c r="AC85" s="132">
        <f t="shared" si="397"/>
        <v>0</v>
      </c>
      <c r="AD85" s="132">
        <f t="shared" si="397"/>
        <v>0</v>
      </c>
      <c r="AE85" s="132">
        <f t="shared" si="397"/>
        <v>0</v>
      </c>
      <c r="AF85" s="132">
        <f t="shared" si="397"/>
        <v>0</v>
      </c>
      <c r="AG85" s="132">
        <f>AG84*1.5%/365</f>
        <v>0</v>
      </c>
      <c r="AH85" s="132">
        <f>AH84*1.5%/365</f>
        <v>0.50959498839526551</v>
      </c>
      <c r="AI85" s="132">
        <f>AI84*1.5%/365</f>
        <v>0.51014399707504454</v>
      </c>
      <c r="AJ85" s="132">
        <f>AJ84*1.5%/365*3</f>
        <v>1.5346261416515645</v>
      </c>
      <c r="AK85" s="132">
        <f>AK84*1.5%/365</f>
        <v>0.51563159098193778</v>
      </c>
      <c r="AL85" s="132">
        <f>AL84*1.5%/365*2</f>
        <v>1.0296687448909592</v>
      </c>
      <c r="AM85" s="132">
        <f>AM84*1.5%/365</f>
        <v>0.51804336048325261</v>
      </c>
      <c r="AN85" s="132">
        <f>AN84*1.5%/365*3</f>
        <v>1.5622757742743585</v>
      </c>
      <c r="AO85" s="132">
        <f t="shared" ref="AO85:AT85" si="398">AO84*1.5%/365</f>
        <v>0.52213167655410864</v>
      </c>
      <c r="AP85" s="132">
        <f t="shared" si="398"/>
        <v>0.52157779285287698</v>
      </c>
      <c r="AQ85" s="132">
        <f t="shared" si="398"/>
        <v>0.5201050970688913</v>
      </c>
      <c r="AR85" s="132">
        <f t="shared" si="398"/>
        <v>0.51877058924828801</v>
      </c>
      <c r="AS85" s="132">
        <f t="shared" si="398"/>
        <v>0</v>
      </c>
      <c r="AT85" s="132">
        <f t="shared" si="398"/>
        <v>0</v>
      </c>
      <c r="AU85" s="132">
        <f t="shared" ref="AU85:AV85" si="399">AU84*1.5%/365</f>
        <v>0</v>
      </c>
      <c r="AV85" s="132">
        <f t="shared" si="399"/>
        <v>0</v>
      </c>
      <c r="AW85" s="132">
        <f t="shared" ref="AW85:AX85" si="400">AW84*1.5%/365</f>
        <v>0</v>
      </c>
      <c r="AX85" s="132">
        <f t="shared" si="400"/>
        <v>0</v>
      </c>
      <c r="AY85" s="132">
        <f t="shared" ref="AY85:AZ85" si="401">AY84*1.5%/365</f>
        <v>0</v>
      </c>
      <c r="AZ85" s="132">
        <f t="shared" si="401"/>
        <v>0</v>
      </c>
      <c r="BA85" s="132">
        <f t="shared" ref="BA85:BB85" si="402">BA84*1.5%/365</f>
        <v>0</v>
      </c>
      <c r="BB85" s="132">
        <f t="shared" si="402"/>
        <v>0</v>
      </c>
      <c r="BC85" s="132">
        <f t="shared" ref="BC85:BD85" si="403">BC84*1.5%/365</f>
        <v>0</v>
      </c>
      <c r="BD85" s="132">
        <f t="shared" si="403"/>
        <v>0</v>
      </c>
      <c r="BE85" s="131"/>
      <c r="BF85" s="131"/>
      <c r="BG85" s="131"/>
      <c r="BH85" s="131"/>
      <c r="BI85" s="131"/>
      <c r="BJ85" s="131"/>
      <c r="BK85" s="131"/>
      <c r="BL85" s="131"/>
      <c r="BM85" s="131"/>
      <c r="BN85" s="131"/>
      <c r="BO85" s="131"/>
      <c r="BP85" s="131"/>
      <c r="BQ85" s="131"/>
      <c r="BR85" s="131"/>
      <c r="BS85" s="131"/>
      <c r="BT85" s="131"/>
      <c r="BU85" s="131"/>
      <c r="BV85" s="131"/>
      <c r="BW85" s="131"/>
      <c r="BX85" s="131"/>
      <c r="BY85" s="131"/>
      <c r="BZ85" s="131"/>
      <c r="CA85" s="131"/>
      <c r="CB85" s="131"/>
      <c r="CC85" s="131"/>
      <c r="CD85" s="131"/>
      <c r="CE85" s="131"/>
      <c r="CF85" s="131"/>
      <c r="CG85" s="131"/>
      <c r="CH85" s="131"/>
    </row>
    <row r="86" spans="1:86" s="112" customFormat="1" x14ac:dyDescent="0.3">
      <c r="B86" s="113"/>
      <c r="C86" s="129"/>
      <c r="D86" s="129"/>
      <c r="E86" s="129"/>
      <c r="F86" s="129"/>
      <c r="G86" s="129"/>
      <c r="H86" s="130">
        <f>+H84-H85</f>
        <v>0</v>
      </c>
      <c r="I86" s="130">
        <f>+I84-I85</f>
        <v>0</v>
      </c>
      <c r="J86" s="130">
        <f>+J84-J85</f>
        <v>0</v>
      </c>
      <c r="K86" s="130">
        <f>+K84-K85</f>
        <v>0</v>
      </c>
      <c r="L86" s="130">
        <f t="shared" ref="L86:N86" si="404">+L84-L85</f>
        <v>0</v>
      </c>
      <c r="M86" s="130">
        <f t="shared" si="404"/>
        <v>0</v>
      </c>
      <c r="N86" s="130">
        <f t="shared" si="404"/>
        <v>0</v>
      </c>
      <c r="O86" s="130">
        <f>+O84-O85</f>
        <v>0</v>
      </c>
      <c r="P86" s="130">
        <f>+P84-P85</f>
        <v>0</v>
      </c>
      <c r="Q86" s="130">
        <f>+Q84-Q85</f>
        <v>0</v>
      </c>
      <c r="R86" s="130"/>
      <c r="S86" s="130"/>
      <c r="T86" s="130">
        <f>+T84-T85</f>
        <v>0</v>
      </c>
      <c r="U86" s="130"/>
      <c r="V86" s="130">
        <f>+V84-V85</f>
        <v>0</v>
      </c>
      <c r="W86" s="131"/>
      <c r="X86" s="130">
        <f>+X84-X85</f>
        <v>0</v>
      </c>
      <c r="Y86" s="130">
        <f>+Y84-Y85</f>
        <v>0</v>
      </c>
      <c r="Z86" s="130"/>
      <c r="AA86" s="130">
        <f t="shared" ref="AA86:AF86" si="405">+AA84-AA85</f>
        <v>0</v>
      </c>
      <c r="AB86" s="130">
        <f t="shared" si="405"/>
        <v>0</v>
      </c>
      <c r="AC86" s="130">
        <f t="shared" si="405"/>
        <v>0</v>
      </c>
      <c r="AD86" s="130">
        <f t="shared" si="405"/>
        <v>0</v>
      </c>
      <c r="AE86" s="130">
        <f t="shared" si="405"/>
        <v>0</v>
      </c>
      <c r="AF86" s="130">
        <f t="shared" si="405"/>
        <v>0</v>
      </c>
      <c r="AG86" s="130">
        <f t="shared" ref="AG86:AM86" si="406">+AG84-AG85</f>
        <v>0</v>
      </c>
      <c r="AH86" s="130">
        <f t="shared" si="406"/>
        <v>12399.635122629734</v>
      </c>
      <c r="AI86" s="130">
        <f t="shared" si="406"/>
        <v>12412.993784829008</v>
      </c>
      <c r="AJ86" s="130">
        <f t="shared" si="406"/>
        <v>12445.988522809928</v>
      </c>
      <c r="AK86" s="130">
        <f t="shared" si="406"/>
        <v>12546.519748969504</v>
      </c>
      <c r="AL86" s="130">
        <f t="shared" si="406"/>
        <v>12526.606727428445</v>
      </c>
      <c r="AM86" s="130">
        <f t="shared" si="406"/>
        <v>12605.203728398663</v>
      </c>
      <c r="AN86" s="130">
        <f t="shared" ref="AN86:AO86" si="407">+AN84-AN85</f>
        <v>12670.23011556219</v>
      </c>
      <c r="AO86" s="130">
        <f t="shared" si="407"/>
        <v>12704.681997806756</v>
      </c>
      <c r="AP86" s="130">
        <f t="shared" ref="AP86:AQ86" si="408">+AP84-AP85</f>
        <v>12691.204714960486</v>
      </c>
      <c r="AQ86" s="130">
        <f t="shared" si="408"/>
        <v>12655.370590245953</v>
      </c>
      <c r="AR86" s="130">
        <f t="shared" ref="AR86" si="409">+AR84-AR85</f>
        <v>12622.898901119095</v>
      </c>
      <c r="AS86" s="130">
        <f t="shared" ref="AS86:AY86" si="410">+AS84-AS85</f>
        <v>0</v>
      </c>
      <c r="AT86" s="130">
        <f t="shared" si="410"/>
        <v>0</v>
      </c>
      <c r="AU86" s="130">
        <f t="shared" si="410"/>
        <v>0</v>
      </c>
      <c r="AV86" s="130">
        <f t="shared" si="410"/>
        <v>0</v>
      </c>
      <c r="AW86" s="130">
        <f t="shared" si="410"/>
        <v>0</v>
      </c>
      <c r="AX86" s="130">
        <f t="shared" si="410"/>
        <v>0</v>
      </c>
      <c r="AY86" s="130">
        <f t="shared" si="410"/>
        <v>0</v>
      </c>
      <c r="AZ86" s="130">
        <f t="shared" ref="AZ86:BA86" si="411">+AZ84-AZ85</f>
        <v>0</v>
      </c>
      <c r="BA86" s="130">
        <f t="shared" si="411"/>
        <v>0</v>
      </c>
      <c r="BB86" s="130">
        <f t="shared" ref="BB86:BC86" si="412">+BB84-BB85</f>
        <v>0</v>
      </c>
      <c r="BC86" s="130">
        <f t="shared" si="412"/>
        <v>0</v>
      </c>
      <c r="BD86" s="130">
        <f t="shared" ref="BD86" si="413">+BD84-BD85</f>
        <v>0</v>
      </c>
      <c r="BE86" s="131"/>
      <c r="BF86" s="131"/>
      <c r="BG86" s="131"/>
      <c r="BH86" s="131"/>
      <c r="BI86" s="131"/>
      <c r="BJ86" s="131"/>
      <c r="BK86" s="131"/>
      <c r="BL86" s="131"/>
      <c r="BM86" s="131"/>
      <c r="BN86" s="131"/>
      <c r="BO86" s="131"/>
      <c r="BP86" s="131"/>
      <c r="BQ86" s="131"/>
      <c r="BR86" s="131"/>
      <c r="BS86" s="131"/>
      <c r="BT86" s="131"/>
      <c r="BU86" s="131"/>
      <c r="BV86" s="131"/>
      <c r="BW86" s="131"/>
      <c r="BX86" s="131"/>
      <c r="BY86" s="131"/>
      <c r="BZ86" s="131"/>
      <c r="CA86" s="131"/>
      <c r="CB86" s="131"/>
      <c r="CC86" s="131"/>
      <c r="CD86" s="131"/>
      <c r="CE86" s="131"/>
      <c r="CF86" s="131"/>
      <c r="CG86" s="131"/>
      <c r="CH86" s="131"/>
    </row>
    <row r="87" spans="1:86" s="112" customFormat="1" x14ac:dyDescent="0.3">
      <c r="A87" s="129"/>
      <c r="B87" s="129"/>
      <c r="C87" s="129"/>
      <c r="D87" s="129"/>
      <c r="E87" s="129"/>
      <c r="F87" s="129"/>
      <c r="G87" s="129"/>
      <c r="H87" s="130" t="e">
        <f>+H86/H79*100</f>
        <v>#DIV/0!</v>
      </c>
      <c r="I87" s="130">
        <f>+I86/B84*I45</f>
        <v>0</v>
      </c>
      <c r="J87" s="130">
        <f>+J86/$B$43*J45</f>
        <v>0</v>
      </c>
      <c r="K87" s="130">
        <f>+K86/$B$43*K45</f>
        <v>0</v>
      </c>
      <c r="L87" s="130">
        <f>+L86/$B$43*L45</f>
        <v>0</v>
      </c>
      <c r="M87" s="130">
        <f>+M86/$B$43*M45</f>
        <v>0</v>
      </c>
      <c r="N87" s="130">
        <f>+N86/$B$43*N45</f>
        <v>0</v>
      </c>
      <c r="O87" s="130">
        <f>+O86/$B$54*O36</f>
        <v>0</v>
      </c>
      <c r="P87" s="130">
        <f>+P86/$B$64*P25</f>
        <v>0</v>
      </c>
      <c r="Q87" s="130">
        <f>+Q86/$B$64*Q25</f>
        <v>0</v>
      </c>
      <c r="R87" s="130"/>
      <c r="S87" s="130"/>
      <c r="T87" s="130">
        <f>+T86/$B$74*T15</f>
        <v>0</v>
      </c>
      <c r="U87" s="130"/>
      <c r="V87" s="130" t="e">
        <f>+V86/N84*V45</f>
        <v>#DIV/0!</v>
      </c>
      <c r="W87" s="131"/>
      <c r="X87" s="130">
        <f>+X86/$B$54*X36</f>
        <v>0</v>
      </c>
      <c r="Y87" s="130">
        <f>+Y86/$B$54*Y36</f>
        <v>0</v>
      </c>
      <c r="Z87" s="130"/>
      <c r="AA87" s="130">
        <f t="shared" ref="AA87:AF87" si="414">+AA86/$B$54*AA36</f>
        <v>0</v>
      </c>
      <c r="AB87" s="130">
        <f t="shared" si="414"/>
        <v>0</v>
      </c>
      <c r="AC87" s="130">
        <f t="shared" si="414"/>
        <v>0</v>
      </c>
      <c r="AD87" s="130">
        <f t="shared" si="414"/>
        <v>0</v>
      </c>
      <c r="AE87" s="130">
        <f t="shared" si="414"/>
        <v>0</v>
      </c>
      <c r="AF87" s="130">
        <f t="shared" si="414"/>
        <v>0</v>
      </c>
      <c r="AG87" s="159">
        <f>TRUNC(+AG86/(2966.046),3)*AG15</f>
        <v>0</v>
      </c>
      <c r="AH87" s="159">
        <f t="shared" ref="AH87:AN87" si="415">TRUNC(+AH86/(172.057),3)*AH3</f>
        <v>99.027264700000003</v>
      </c>
      <c r="AI87" s="159">
        <f t="shared" si="415"/>
        <v>99.0284616</v>
      </c>
      <c r="AJ87" s="175">
        <f t="shared" si="415"/>
        <v>99.208823999999993</v>
      </c>
      <c r="AK87" s="175">
        <f t="shared" si="415"/>
        <v>99.736330000000009</v>
      </c>
      <c r="AL87" s="175">
        <f t="shared" si="415"/>
        <v>99.887088000000006</v>
      </c>
      <c r="AM87" s="175">
        <f t="shared" si="415"/>
        <v>100.01591719999999</v>
      </c>
      <c r="AN87" s="175">
        <f t="shared" si="415"/>
        <v>100.36627505</v>
      </c>
      <c r="AO87" s="175">
        <f t="shared" ref="AO87:AP87" si="416">TRUNC(+AO86/(172.057),3)*AO3</f>
        <v>100.59825360000001</v>
      </c>
      <c r="AP87" s="175">
        <f t="shared" si="416"/>
        <v>100.6985172</v>
      </c>
      <c r="AQ87" s="175">
        <f t="shared" ref="AQ87:AR87" si="417">TRUNC(+AQ86/(172.057),3)*AQ3</f>
        <v>100.55798395000001</v>
      </c>
      <c r="AR87" s="175">
        <f t="shared" si="417"/>
        <v>100.51234820000001</v>
      </c>
      <c r="AS87" s="130">
        <f t="shared" ref="AS87:BD87" si="418">+AS86/AK84*AS45</f>
        <v>0</v>
      </c>
      <c r="AT87" s="130">
        <f t="shared" si="418"/>
        <v>0</v>
      </c>
      <c r="AU87" s="130">
        <f t="shared" si="418"/>
        <v>0</v>
      </c>
      <c r="AV87" s="130">
        <f t="shared" si="418"/>
        <v>0</v>
      </c>
      <c r="AW87" s="130">
        <f t="shared" si="418"/>
        <v>0</v>
      </c>
      <c r="AX87" s="130">
        <f t="shared" si="418"/>
        <v>0</v>
      </c>
      <c r="AY87" s="130">
        <f t="shared" si="418"/>
        <v>0</v>
      </c>
      <c r="AZ87" s="130">
        <f t="shared" si="418"/>
        <v>0</v>
      </c>
      <c r="BA87" s="130" t="e">
        <f t="shared" si="418"/>
        <v>#DIV/0!</v>
      </c>
      <c r="BB87" s="130" t="e">
        <f t="shared" si="418"/>
        <v>#DIV/0!</v>
      </c>
      <c r="BC87" s="130" t="e">
        <f t="shared" si="418"/>
        <v>#DIV/0!</v>
      </c>
      <c r="BD87" s="130" t="e">
        <f t="shared" si="418"/>
        <v>#DIV/0!</v>
      </c>
      <c r="BE87" s="131"/>
      <c r="BF87" s="131"/>
      <c r="BG87" s="131"/>
      <c r="BH87" s="131"/>
      <c r="BI87" s="131"/>
      <c r="BJ87" s="131"/>
      <c r="BK87" s="131"/>
      <c r="BL87" s="131"/>
      <c r="BM87" s="131"/>
      <c r="BN87" s="131"/>
      <c r="BO87" s="131"/>
      <c r="BP87" s="131"/>
      <c r="BQ87" s="131"/>
      <c r="BR87" s="131"/>
      <c r="BS87" s="131"/>
      <c r="BT87" s="131"/>
      <c r="BU87" s="131"/>
      <c r="BV87" s="131"/>
      <c r="BW87" s="131"/>
      <c r="BX87" s="131"/>
      <c r="BY87" s="131"/>
      <c r="BZ87" s="131"/>
      <c r="CA87" s="131"/>
      <c r="CB87" s="131"/>
      <c r="CC87" s="131"/>
      <c r="CD87" s="131"/>
      <c r="CE87" s="131"/>
      <c r="CF87" s="131"/>
      <c r="CG87" s="131"/>
      <c r="CH87" s="131"/>
    </row>
    <row r="88" spans="1:86" x14ac:dyDescent="0.3">
      <c r="H88" s="128"/>
    </row>
    <row r="89" spans="1:86" x14ac:dyDescent="0.3">
      <c r="A89" s="201"/>
      <c r="B89" s="201">
        <v>218881.19</v>
      </c>
      <c r="C89" s="201"/>
      <c r="D89" s="201"/>
      <c r="E89" s="201"/>
      <c r="F89" s="201"/>
      <c r="G89" s="201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>
        <v>89235.82</v>
      </c>
      <c r="AJ89" s="64">
        <f>+AI96+97.76</f>
        <v>89429.717601120195</v>
      </c>
      <c r="AK89" s="64">
        <f t="shared" ref="AK89:AR89" si="419">+AJ96</f>
        <v>89667.428998636809</v>
      </c>
      <c r="AL89" s="64">
        <f t="shared" si="419"/>
        <v>90391.708678574563</v>
      </c>
      <c r="AM89" s="64">
        <f t="shared" si="419"/>
        <v>90248.244827398041</v>
      </c>
      <c r="AN89" s="64">
        <f t="shared" si="419"/>
        <v>90814.498844994698</v>
      </c>
      <c r="AO89" s="64">
        <f t="shared" si="419"/>
        <v>91282.983043203407</v>
      </c>
      <c r="AP89" s="64">
        <f t="shared" si="419"/>
        <v>91531.192472239301</v>
      </c>
      <c r="AQ89" s="64">
        <f t="shared" si="419"/>
        <v>91434.095058040519</v>
      </c>
      <c r="AR89" s="64">
        <f t="shared" si="419"/>
        <v>91175.927229291527</v>
      </c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</row>
    <row r="90" spans="1:86" x14ac:dyDescent="0.3">
      <c r="A90" s="127" t="s">
        <v>99</v>
      </c>
      <c r="B90" s="201">
        <v>218881.19</v>
      </c>
      <c r="C90" s="201" t="s">
        <v>100</v>
      </c>
      <c r="D90" s="201"/>
      <c r="E90" s="201"/>
      <c r="F90" s="201"/>
      <c r="G90" s="201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64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>
        <f>+AI89/(AI38+AI49+AI153+AI59+AI69+AI79+AI130+AI89)</f>
        <v>1.2348584127959632E-2</v>
      </c>
      <c r="AJ90" s="118">
        <f>+AJ89/(AJ38+AJ49+AJ153+AJ59+AJ69+AJ79+AJ130+AJ89)</f>
        <v>1.2362231323889333E-2</v>
      </c>
      <c r="AK90" s="118">
        <f>+AK89/(AK38+AK49+AK153+AK59+AK69+AK79+AK130+AK89)</f>
        <v>1.2362458594977513E-2</v>
      </c>
      <c r="AL90" s="118">
        <f>+AL89/(AL38+AL49+AL153+AL59+AL69+AL79+AL130+AL89)</f>
        <v>1.236334344325753E-2</v>
      </c>
      <c r="AM90" s="118">
        <f>+AM89/(AM38+AM49+AM153+AM59+AM69+AM79+AM130+AM89+AM99)</f>
        <v>1.2352345316760391E-2</v>
      </c>
      <c r="AN90" s="118">
        <f>+AN89/(AN38+AN49+AN153+AN59+AN69+AN79+AN130+AN89+AN99)</f>
        <v>1.2353961820081435E-2</v>
      </c>
      <c r="AO90" s="118">
        <f>+AO89/(AO38+AO49+AO153+AO59+AO69+AO79+AO130+AO89+AO99)</f>
        <v>1.2354552712389093E-2</v>
      </c>
      <c r="AP90" s="118">
        <f>AP89/(AP38+AP49+AP153+AP59+AP69+AP79+AP130+AP89+AP99+AP109)</f>
        <v>1.2312765989978242E-2</v>
      </c>
      <c r="AQ90" s="118">
        <f>AQ89/(AQ38+AQ49+AQ153+AQ59+AQ69+AQ79+AQ130+AQ89+AQ99+AQ109+AQ119)</f>
        <v>1.1890149427238629E-2</v>
      </c>
      <c r="AR90" s="118">
        <f>AR89/(AR38+AR49+AR153+AR59+AR69+AR79+AR130+AR89+AR99+AR109+AR119)</f>
        <v>1.1889797175986656E-2</v>
      </c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</row>
    <row r="91" spans="1:86" x14ac:dyDescent="0.3">
      <c r="A91" s="127"/>
      <c r="B91" s="201"/>
      <c r="C91" s="201"/>
      <c r="D91" s="201"/>
      <c r="E91" s="201"/>
      <c r="F91" s="201"/>
      <c r="G91" s="145">
        <f>+B94/(B85+B94)</f>
        <v>1</v>
      </c>
      <c r="H91" s="118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64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>
        <f t="shared" ref="AI91:AN91" si="420">+(AI33*AI90)</f>
        <v>17.883634437283106</v>
      </c>
      <c r="AJ91" s="43">
        <f t="shared" si="420"/>
        <v>180.36976253059251</v>
      </c>
      <c r="AK91" s="43">
        <f t="shared" si="420"/>
        <v>489.06551536478281</v>
      </c>
      <c r="AL91" s="43">
        <f t="shared" si="420"/>
        <v>146.90241904770886</v>
      </c>
      <c r="AM91" s="43">
        <f t="shared" si="420"/>
        <v>133.32386618067838</v>
      </c>
      <c r="AN91" s="43">
        <f t="shared" si="420"/>
        <v>340.53929123385717</v>
      </c>
      <c r="AO91" s="43">
        <f t="shared" ref="AO91:AP91" si="421">+(AO33*AO90)</f>
        <v>218.00157772141461</v>
      </c>
      <c r="AP91" s="43">
        <f t="shared" si="421"/>
        <v>90.795588122467976</v>
      </c>
      <c r="AQ91" s="43">
        <f t="shared" ref="AQ91:AR91" si="422">+(AQ33*AQ90)</f>
        <v>-126.22582389052175</v>
      </c>
      <c r="AR91" s="43">
        <f t="shared" si="422"/>
        <v>-41.314424643642965</v>
      </c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</row>
    <row r="92" spans="1:86" x14ac:dyDescent="0.3">
      <c r="A92" s="127"/>
      <c r="B92" s="201"/>
      <c r="C92" s="201" t="s">
        <v>101</v>
      </c>
      <c r="D92" s="201"/>
      <c r="E92" s="201"/>
      <c r="F92" s="201"/>
      <c r="G92" s="145"/>
      <c r="H92" s="118"/>
      <c r="I92" s="43"/>
      <c r="J92" s="43"/>
      <c r="K92" s="43"/>
      <c r="L92" s="43"/>
      <c r="M92" s="43"/>
      <c r="N92" s="43"/>
      <c r="O92" s="118"/>
      <c r="P92" s="118"/>
      <c r="Q92" s="118"/>
      <c r="R92" s="118"/>
      <c r="S92" s="118"/>
      <c r="T92" s="118"/>
      <c r="U92" s="118"/>
      <c r="V92" s="43"/>
      <c r="W92" s="64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>
        <f>AI89/(AI59+AI69+AI49+AI38+AI79+AI89)</f>
        <v>1.2696950247528914E-2</v>
      </c>
      <c r="AJ92" s="118">
        <f>AJ89/(AJ59+AJ69+AJ49+AJ38+AJ79+AJ89)</f>
        <v>1.2710668481438024E-2</v>
      </c>
      <c r="AK92" s="118">
        <f>AK89/(AK59+AK69+AK49+AK38+AK79+AK89)</f>
        <v>1.2710668481438024E-2</v>
      </c>
      <c r="AL92" s="118">
        <f>AL89/(AL59+AL69+AL49+AL38+AL79+AL89)</f>
        <v>1.2710668481438024E-2</v>
      </c>
      <c r="AM92" s="118">
        <f>AM89/(AM38+AM49+AM59+AM69+AM79+AM89+AM99)</f>
        <v>1.2700183480330562E-2</v>
      </c>
      <c r="AN92" s="118">
        <f>AN89/(AN38+AN49+AN59+AN69+AN79+AN89+AN99)</f>
        <v>1.2700183480330566E-2</v>
      </c>
      <c r="AO92" s="118">
        <f>AO89/(AO38+AO49+AO59+AO69+AO79+AO89+AO99)</f>
        <v>1.2700183480330564E-2</v>
      </c>
      <c r="AP92" s="118">
        <f>AP89/(AP38+AP49+AP59+AP69+AP79+AP89+AP99+AP109)</f>
        <v>1.2655693788424724E-2</v>
      </c>
      <c r="AQ92" s="118">
        <f>AQ89/(AQ38+AQ49+AQ59+AQ69+AQ79+AQ89+AQ99+AQ109+AQ119)</f>
        <v>1.221009582298261E-2</v>
      </c>
      <c r="AR92" s="118">
        <f>AR89/(AR38+AR49+AR59+AR69+AR79+AR89+AR99+AR109+AR119)</f>
        <v>1.221009582298261E-2</v>
      </c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</row>
    <row r="93" spans="1:86" x14ac:dyDescent="0.3">
      <c r="A93" s="127"/>
      <c r="B93" s="201">
        <v>2969.8939999999998</v>
      </c>
      <c r="C93" s="201" t="s">
        <v>102</v>
      </c>
      <c r="D93" s="201"/>
      <c r="E93" s="201"/>
      <c r="F93" s="201"/>
      <c r="G93" s="145"/>
      <c r="H93" s="118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64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>
        <f t="shared" ref="AI93:AN93" si="423">+AI92*AI34</f>
        <v>81.925293899145629</v>
      </c>
      <c r="AJ93" s="43">
        <f t="shared" si="423"/>
        <v>68.39788659220541</v>
      </c>
      <c r="AK93" s="43">
        <f t="shared" si="423"/>
        <v>238.9290449932009</v>
      </c>
      <c r="AL93" s="43">
        <f t="shared" si="423"/>
        <v>-282.94799654469301</v>
      </c>
      <c r="AM93" s="43">
        <f t="shared" si="423"/>
        <v>436.66240748861316</v>
      </c>
      <c r="AN93" s="43">
        <f t="shared" si="423"/>
        <v>139.20036103616317</v>
      </c>
      <c r="AO93" s="43">
        <f t="shared" ref="AO93:AP93" si="424">+AO92*AO34</f>
        <v>33.96956176034459</v>
      </c>
      <c r="AP93" s="43">
        <f t="shared" si="424"/>
        <v>-184.13528234406436</v>
      </c>
      <c r="AQ93" s="43">
        <f t="shared" ref="AQ93:AR93" si="425">+AQ92*AQ34</f>
        <v>-128.1948949541185</v>
      </c>
      <c r="AR93" s="43">
        <f t="shared" si="425"/>
        <v>-188.8911591892068</v>
      </c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</row>
    <row r="94" spans="1:86" x14ac:dyDescent="0.3">
      <c r="A94" s="1">
        <v>43308</v>
      </c>
      <c r="B94" s="201">
        <v>2969.8939999999998</v>
      </c>
      <c r="C94" s="201"/>
      <c r="D94" s="201"/>
      <c r="E94" s="201"/>
      <c r="F94" s="201"/>
      <c r="G94" s="20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64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>
        <f t="shared" ref="AI94:AN94" si="426">+AI89+AI91+AI93</f>
        <v>89335.628928336431</v>
      </c>
      <c r="AJ94" s="111">
        <f t="shared" si="426"/>
        <v>89678.485250243</v>
      </c>
      <c r="AK94" s="111">
        <f t="shared" si="426"/>
        <v>90395.423558994793</v>
      </c>
      <c r="AL94" s="111">
        <f t="shared" si="426"/>
        <v>90255.663101077575</v>
      </c>
      <c r="AM94" s="111">
        <f t="shared" si="426"/>
        <v>90818.231101067344</v>
      </c>
      <c r="AN94" s="111">
        <f t="shared" si="426"/>
        <v>91294.238497264712</v>
      </c>
      <c r="AO94" s="111">
        <f t="shared" ref="AO94:AP94" si="427">+AO89+AO91+AO93</f>
        <v>91534.954182685164</v>
      </c>
      <c r="AP94" s="111">
        <f t="shared" si="427"/>
        <v>91437.852778017696</v>
      </c>
      <c r="AQ94" s="111">
        <f t="shared" ref="AQ94:AR94" si="428">+AQ89+AQ91+AQ93</f>
        <v>91179.674339195873</v>
      </c>
      <c r="AR94" s="111">
        <f t="shared" si="428"/>
        <v>90945.721645458674</v>
      </c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</row>
    <row r="95" spans="1:86" s="112" customFormat="1" x14ac:dyDescent="0.3">
      <c r="B95" s="129"/>
      <c r="C95" s="129"/>
      <c r="D95" s="129"/>
      <c r="E95" s="129"/>
      <c r="F95" s="129"/>
      <c r="G95" s="129"/>
      <c r="H95" s="132">
        <f>H94*1.5%/365</f>
        <v>0</v>
      </c>
      <c r="I95" s="132">
        <f>I94*1.5%/365</f>
        <v>0</v>
      </c>
      <c r="J95" s="132">
        <f>J94*1.5%/365</f>
        <v>0</v>
      </c>
      <c r="K95" s="132">
        <f>K94*1.5%/365*3</f>
        <v>0</v>
      </c>
      <c r="L95" s="132">
        <f t="shared" ref="L95" si="429">L94*1.5%/365</f>
        <v>0</v>
      </c>
      <c r="M95" s="132">
        <f>M94*1.5%/365*3</f>
        <v>0</v>
      </c>
      <c r="N95" s="132">
        <f t="shared" ref="N95" si="430">N94*1.5%/365</f>
        <v>0</v>
      </c>
      <c r="O95" s="132">
        <f>O94*1.5%/365</f>
        <v>0</v>
      </c>
      <c r="P95" s="132">
        <f>P94*1.5%/365</f>
        <v>0</v>
      </c>
      <c r="Q95" s="132">
        <f>Q94*1.5%/365</f>
        <v>0</v>
      </c>
      <c r="R95" s="132"/>
      <c r="S95" s="132"/>
      <c r="T95" s="132">
        <f>T94*1.5%/365*3</f>
        <v>0</v>
      </c>
      <c r="U95" s="132"/>
      <c r="V95" s="132">
        <f>V94*1.5%/365</f>
        <v>0</v>
      </c>
      <c r="W95" s="131"/>
      <c r="X95" s="132">
        <f>X94*1.5%/365</f>
        <v>0</v>
      </c>
      <c r="Y95" s="132">
        <f>Y94*1.5%/365</f>
        <v>0</v>
      </c>
      <c r="Z95" s="132"/>
      <c r="AA95" s="132">
        <f t="shared" ref="AA95:AF95" si="431">AA94*1.5%/365</f>
        <v>0</v>
      </c>
      <c r="AB95" s="132">
        <f t="shared" si="431"/>
        <v>0</v>
      </c>
      <c r="AC95" s="132">
        <f t="shared" si="431"/>
        <v>0</v>
      </c>
      <c r="AD95" s="132">
        <f t="shared" si="431"/>
        <v>0</v>
      </c>
      <c r="AE95" s="132">
        <f t="shared" si="431"/>
        <v>0</v>
      </c>
      <c r="AF95" s="132">
        <f t="shared" si="431"/>
        <v>0</v>
      </c>
      <c r="AG95" s="132">
        <f>AG94*1.5%/365</f>
        <v>0</v>
      </c>
      <c r="AH95" s="132">
        <f>AH94*1.5%/365</f>
        <v>0</v>
      </c>
      <c r="AI95" s="132">
        <f>AI94*1.5%/365</f>
        <v>3.6713272162330037</v>
      </c>
      <c r="AJ95" s="132">
        <f>AJ94*1.5%/365*3</f>
        <v>11.056251606194342</v>
      </c>
      <c r="AK95" s="132">
        <f>AK94*1.5%/365</f>
        <v>3.7148804202326624</v>
      </c>
      <c r="AL95" s="132">
        <f>AL94*1.5%/365*2</f>
        <v>7.418273679540623</v>
      </c>
      <c r="AM95" s="132">
        <f>AM94*1.5%/365</f>
        <v>3.732256072646603</v>
      </c>
      <c r="AN95" s="132">
        <f>AN94*1.5%/365*3</f>
        <v>11.255454061306608</v>
      </c>
      <c r="AO95" s="132">
        <f t="shared" ref="AO95:AT95" si="432">AO94*1.5%/365</f>
        <v>3.7617104458637733</v>
      </c>
      <c r="AP95" s="132">
        <f t="shared" si="432"/>
        <v>3.7577199771788097</v>
      </c>
      <c r="AQ95" s="132">
        <f t="shared" si="432"/>
        <v>3.7471099043505154</v>
      </c>
      <c r="AR95" s="132">
        <f t="shared" si="432"/>
        <v>3.7374954100873428</v>
      </c>
      <c r="AS95" s="132">
        <f t="shared" si="432"/>
        <v>0</v>
      </c>
      <c r="AT95" s="132">
        <f t="shared" si="432"/>
        <v>0</v>
      </c>
      <c r="AU95" s="132">
        <f t="shared" ref="AU95:AV95" si="433">AU94*1.5%/365</f>
        <v>0</v>
      </c>
      <c r="AV95" s="132">
        <f t="shared" si="433"/>
        <v>0</v>
      </c>
      <c r="AW95" s="132">
        <f t="shared" ref="AW95:AX95" si="434">AW94*1.5%/365</f>
        <v>0</v>
      </c>
      <c r="AX95" s="132">
        <f t="shared" si="434"/>
        <v>0</v>
      </c>
      <c r="AY95" s="132">
        <f t="shared" ref="AY95:AZ95" si="435">AY94*1.5%/365</f>
        <v>0</v>
      </c>
      <c r="AZ95" s="132">
        <f t="shared" si="435"/>
        <v>0</v>
      </c>
      <c r="BA95" s="132">
        <f t="shared" ref="BA95:BB95" si="436">BA94*1.5%/365</f>
        <v>0</v>
      </c>
      <c r="BB95" s="132">
        <f t="shared" si="436"/>
        <v>0</v>
      </c>
      <c r="BC95" s="132">
        <f t="shared" ref="BC95:BD95" si="437">BC94*1.5%/365</f>
        <v>0</v>
      </c>
      <c r="BD95" s="132">
        <f t="shared" si="437"/>
        <v>0</v>
      </c>
      <c r="BE95" s="131"/>
      <c r="BF95" s="131"/>
      <c r="BG95" s="131"/>
      <c r="BH95" s="131"/>
      <c r="BI95" s="131"/>
      <c r="BJ95" s="131"/>
      <c r="BK95" s="131"/>
      <c r="BL95" s="131"/>
      <c r="BM95" s="131"/>
      <c r="BN95" s="131"/>
      <c r="BO95" s="131"/>
      <c r="BP95" s="131"/>
      <c r="BQ95" s="131"/>
      <c r="BR95" s="131"/>
      <c r="BS95" s="131"/>
      <c r="BT95" s="131"/>
      <c r="BU95" s="131"/>
      <c r="BV95" s="131"/>
      <c r="BW95" s="131"/>
      <c r="BX95" s="131"/>
      <c r="BY95" s="131"/>
      <c r="BZ95" s="131"/>
      <c r="CA95" s="131"/>
      <c r="CB95" s="131"/>
      <c r="CC95" s="131"/>
      <c r="CD95" s="131"/>
      <c r="CE95" s="131"/>
      <c r="CF95" s="131"/>
      <c r="CG95" s="131"/>
      <c r="CH95" s="131"/>
    </row>
    <row r="96" spans="1:86" s="112" customFormat="1" x14ac:dyDescent="0.3">
      <c r="B96" s="113"/>
      <c r="C96" s="129"/>
      <c r="D96" s="129"/>
      <c r="E96" s="129"/>
      <c r="F96" s="129"/>
      <c r="G96" s="129"/>
      <c r="H96" s="130">
        <f>+H94-H95</f>
        <v>0</v>
      </c>
      <c r="I96" s="130">
        <f>+I94-I95</f>
        <v>0</v>
      </c>
      <c r="J96" s="130">
        <f>+J94-J95</f>
        <v>0</v>
      </c>
      <c r="K96" s="130">
        <f>+K94-K95</f>
        <v>0</v>
      </c>
      <c r="L96" s="130">
        <f t="shared" ref="L96:N96" si="438">+L94-L95</f>
        <v>0</v>
      </c>
      <c r="M96" s="130">
        <f t="shared" si="438"/>
        <v>0</v>
      </c>
      <c r="N96" s="130">
        <f t="shared" si="438"/>
        <v>0</v>
      </c>
      <c r="O96" s="130">
        <f>+O94-O95</f>
        <v>0</v>
      </c>
      <c r="P96" s="130">
        <f>+P94-P95</f>
        <v>0</v>
      </c>
      <c r="Q96" s="130">
        <f>+Q94-Q95</f>
        <v>0</v>
      </c>
      <c r="R96" s="130"/>
      <c r="S96" s="130"/>
      <c r="T96" s="130">
        <f>+T94-T95</f>
        <v>0</v>
      </c>
      <c r="U96" s="130"/>
      <c r="V96" s="130">
        <f>+V94-V95</f>
        <v>0</v>
      </c>
      <c r="W96" s="131"/>
      <c r="X96" s="130">
        <f>+X94-X95</f>
        <v>0</v>
      </c>
      <c r="Y96" s="130">
        <f>+Y94-Y95</f>
        <v>0</v>
      </c>
      <c r="Z96" s="130"/>
      <c r="AA96" s="130">
        <f t="shared" ref="AA96:AF96" si="439">+AA94-AA95</f>
        <v>0</v>
      </c>
      <c r="AB96" s="130">
        <f t="shared" si="439"/>
        <v>0</v>
      </c>
      <c r="AC96" s="130">
        <f t="shared" si="439"/>
        <v>0</v>
      </c>
      <c r="AD96" s="130">
        <f t="shared" si="439"/>
        <v>0</v>
      </c>
      <c r="AE96" s="130">
        <f t="shared" si="439"/>
        <v>0</v>
      </c>
      <c r="AF96" s="130">
        <f t="shared" si="439"/>
        <v>0</v>
      </c>
      <c r="AG96" s="130">
        <f t="shared" ref="AG96:AM96" si="440">+AG94-AG95</f>
        <v>0</v>
      </c>
      <c r="AH96" s="130">
        <f t="shared" si="440"/>
        <v>0</v>
      </c>
      <c r="AI96" s="130">
        <f t="shared" si="440"/>
        <v>89331.957601120201</v>
      </c>
      <c r="AJ96" s="130">
        <f t="shared" si="440"/>
        <v>89667.428998636809</v>
      </c>
      <c r="AK96" s="130">
        <f t="shared" si="440"/>
        <v>90391.708678574563</v>
      </c>
      <c r="AL96" s="130">
        <f t="shared" si="440"/>
        <v>90248.244827398041</v>
      </c>
      <c r="AM96" s="130">
        <f t="shared" si="440"/>
        <v>90814.498844994698</v>
      </c>
      <c r="AN96" s="130">
        <f t="shared" ref="AN96:AO96" si="441">+AN94-AN95</f>
        <v>91282.983043203407</v>
      </c>
      <c r="AO96" s="130">
        <f t="shared" si="441"/>
        <v>91531.192472239301</v>
      </c>
      <c r="AP96" s="130">
        <f t="shared" ref="AP96:AQ96" si="442">+AP94-AP95</f>
        <v>91434.095058040519</v>
      </c>
      <c r="AQ96" s="130">
        <f t="shared" si="442"/>
        <v>91175.927229291527</v>
      </c>
      <c r="AR96" s="130">
        <f t="shared" ref="AR96" si="443">+AR94-AR95</f>
        <v>90941.984150048593</v>
      </c>
      <c r="AS96" s="130">
        <f t="shared" ref="AS96:AY96" si="444">+AS94-AS95</f>
        <v>0</v>
      </c>
      <c r="AT96" s="130">
        <f t="shared" si="444"/>
        <v>0</v>
      </c>
      <c r="AU96" s="130">
        <f t="shared" si="444"/>
        <v>0</v>
      </c>
      <c r="AV96" s="130">
        <f t="shared" si="444"/>
        <v>0</v>
      </c>
      <c r="AW96" s="130">
        <f t="shared" si="444"/>
        <v>0</v>
      </c>
      <c r="AX96" s="130">
        <f t="shared" si="444"/>
        <v>0</v>
      </c>
      <c r="AY96" s="130">
        <f t="shared" si="444"/>
        <v>0</v>
      </c>
      <c r="AZ96" s="130">
        <f t="shared" ref="AZ96:BA96" si="445">+AZ94-AZ95</f>
        <v>0</v>
      </c>
      <c r="BA96" s="130">
        <f t="shared" si="445"/>
        <v>0</v>
      </c>
      <c r="BB96" s="130">
        <f t="shared" ref="BB96:BC96" si="446">+BB94-BB95</f>
        <v>0</v>
      </c>
      <c r="BC96" s="130">
        <f t="shared" si="446"/>
        <v>0</v>
      </c>
      <c r="BD96" s="130">
        <f t="shared" ref="BD96" si="447">+BD94-BD95</f>
        <v>0</v>
      </c>
      <c r="BE96" s="131"/>
      <c r="BF96" s="131"/>
      <c r="BG96" s="131"/>
      <c r="BH96" s="131"/>
      <c r="BI96" s="131"/>
      <c r="BJ96" s="131"/>
      <c r="BK96" s="131"/>
      <c r="BL96" s="131"/>
      <c r="BM96" s="131"/>
      <c r="BN96" s="131"/>
      <c r="BO96" s="131"/>
      <c r="BP96" s="131"/>
      <c r="BQ96" s="131"/>
      <c r="BR96" s="131"/>
      <c r="BS96" s="131"/>
      <c r="BT96" s="131"/>
      <c r="BU96" s="131"/>
      <c r="BV96" s="131"/>
      <c r="BW96" s="131"/>
      <c r="BX96" s="131"/>
      <c r="BY96" s="131"/>
      <c r="BZ96" s="131"/>
      <c r="CA96" s="131"/>
      <c r="CB96" s="131"/>
      <c r="CC96" s="131"/>
      <c r="CD96" s="131"/>
      <c r="CE96" s="131"/>
      <c r="CF96" s="131"/>
      <c r="CG96" s="131"/>
      <c r="CH96" s="131"/>
    </row>
    <row r="97" spans="1:86" s="112" customFormat="1" x14ac:dyDescent="0.3">
      <c r="A97" s="129"/>
      <c r="B97" s="129"/>
      <c r="C97" s="129"/>
      <c r="D97" s="129"/>
      <c r="E97" s="129"/>
      <c r="F97" s="129"/>
      <c r="G97" s="129"/>
      <c r="H97" s="130" t="e">
        <f>+H96/H89*100</f>
        <v>#DIV/0!</v>
      </c>
      <c r="I97" s="130">
        <f>+I96/B94*I55</f>
        <v>0</v>
      </c>
      <c r="J97" s="130">
        <f>+J96/$B$43*J55</f>
        <v>0</v>
      </c>
      <c r="K97" s="130">
        <f>+K96/$B$43*K55</f>
        <v>0</v>
      </c>
      <c r="L97" s="130">
        <f>+L96/$B$43*L55</f>
        <v>0</v>
      </c>
      <c r="M97" s="130">
        <f>+M96/$B$43*M55</f>
        <v>0</v>
      </c>
      <c r="N97" s="130">
        <f>+N96/$B$43*N55</f>
        <v>0</v>
      </c>
      <c r="O97" s="130">
        <f>+O96/$B$54*O46</f>
        <v>0</v>
      </c>
      <c r="P97" s="130">
        <f>+P96/$B$64*P35</f>
        <v>0</v>
      </c>
      <c r="Q97" s="130">
        <f>+Q96/$B$64*Q35</f>
        <v>0</v>
      </c>
      <c r="R97" s="130"/>
      <c r="S97" s="130"/>
      <c r="T97" s="130">
        <f>+T96/$B$74*T25</f>
        <v>0</v>
      </c>
      <c r="U97" s="130"/>
      <c r="V97" s="130" t="e">
        <f>+V96/N94*V55</f>
        <v>#DIV/0!</v>
      </c>
      <c r="W97" s="131"/>
      <c r="X97" s="130">
        <f>+X96/$B$54*X46</f>
        <v>0</v>
      </c>
      <c r="Y97" s="130">
        <f>+Y96/$B$54*Y46</f>
        <v>0</v>
      </c>
      <c r="Z97" s="130"/>
      <c r="AA97" s="130">
        <f t="shared" ref="AA97:AF97" si="448">+AA96/$B$54*AA46</f>
        <v>0</v>
      </c>
      <c r="AB97" s="130">
        <f t="shared" si="448"/>
        <v>0</v>
      </c>
      <c r="AC97" s="130">
        <f t="shared" si="448"/>
        <v>0</v>
      </c>
      <c r="AD97" s="130">
        <f t="shared" si="448"/>
        <v>0</v>
      </c>
      <c r="AE97" s="130">
        <f t="shared" si="448"/>
        <v>0</v>
      </c>
      <c r="AF97" s="130">
        <f t="shared" si="448"/>
        <v>0</v>
      </c>
      <c r="AG97" s="159">
        <f>TRUNC(+AG96/(2966.046),3)*AG25</f>
        <v>0</v>
      </c>
      <c r="AH97" s="159">
        <f>TRUNC(+AH96/(172.057),3)*AH13</f>
        <v>0</v>
      </c>
      <c r="AI97" s="159">
        <f t="shared" ref="AI97:AN97" si="449">TRUNC(+AI96/(1239.593),3)*AI3</f>
        <v>98.920022249999988</v>
      </c>
      <c r="AJ97" s="175">
        <f t="shared" si="449"/>
        <v>99.208823999999993</v>
      </c>
      <c r="AK97" s="175">
        <f t="shared" si="449"/>
        <v>99.736330000000009</v>
      </c>
      <c r="AL97" s="175">
        <f t="shared" si="449"/>
        <v>99.887088000000006</v>
      </c>
      <c r="AM97" s="175">
        <f t="shared" si="449"/>
        <v>100.01591719999999</v>
      </c>
      <c r="AN97" s="175">
        <f t="shared" si="449"/>
        <v>100.36627505</v>
      </c>
      <c r="AO97" s="175">
        <f t="shared" ref="AO97:AP97" si="450">TRUNC(+AO96/(1239.593),3)*AO3</f>
        <v>100.59825360000001</v>
      </c>
      <c r="AP97" s="175">
        <f t="shared" si="450"/>
        <v>100.6985172</v>
      </c>
      <c r="AQ97" s="175">
        <f t="shared" ref="AQ97:AR97" si="451">TRUNC(+AQ96/(1239.593),3)*AQ3</f>
        <v>100.55798395000001</v>
      </c>
      <c r="AR97" s="175">
        <f t="shared" si="451"/>
        <v>100.51234820000001</v>
      </c>
      <c r="AS97" s="130">
        <f t="shared" ref="AS97:BD97" si="452">+AS96/AK94*AS55</f>
        <v>0</v>
      </c>
      <c r="AT97" s="130">
        <f t="shared" si="452"/>
        <v>0</v>
      </c>
      <c r="AU97" s="130">
        <f t="shared" si="452"/>
        <v>0</v>
      </c>
      <c r="AV97" s="130">
        <f t="shared" si="452"/>
        <v>0</v>
      </c>
      <c r="AW97" s="130">
        <f t="shared" si="452"/>
        <v>0</v>
      </c>
      <c r="AX97" s="130">
        <f t="shared" si="452"/>
        <v>0</v>
      </c>
      <c r="AY97" s="130">
        <f t="shared" si="452"/>
        <v>0</v>
      </c>
      <c r="AZ97" s="130">
        <f t="shared" si="452"/>
        <v>0</v>
      </c>
      <c r="BA97" s="130" t="e">
        <f t="shared" si="452"/>
        <v>#DIV/0!</v>
      </c>
      <c r="BB97" s="130" t="e">
        <f t="shared" si="452"/>
        <v>#DIV/0!</v>
      </c>
      <c r="BC97" s="130" t="e">
        <f t="shared" si="452"/>
        <v>#DIV/0!</v>
      </c>
      <c r="BD97" s="130" t="e">
        <f t="shared" si="452"/>
        <v>#DIV/0!</v>
      </c>
      <c r="BE97" s="131"/>
      <c r="BF97" s="131"/>
      <c r="BG97" s="131"/>
      <c r="BH97" s="131"/>
      <c r="BI97" s="131"/>
      <c r="BJ97" s="131"/>
      <c r="BK97" s="131"/>
      <c r="BL97" s="131"/>
      <c r="BM97" s="131"/>
      <c r="BN97" s="131"/>
      <c r="BO97" s="131"/>
      <c r="BP97" s="131"/>
      <c r="BQ97" s="131"/>
      <c r="BR97" s="131"/>
      <c r="BS97" s="131"/>
      <c r="BT97" s="131"/>
      <c r="BU97" s="131"/>
      <c r="BV97" s="131"/>
      <c r="BW97" s="131"/>
      <c r="BX97" s="131"/>
      <c r="BY97" s="131"/>
      <c r="BZ97" s="131"/>
      <c r="CA97" s="131"/>
      <c r="CB97" s="131"/>
      <c r="CC97" s="131"/>
      <c r="CD97" s="131"/>
      <c r="CE97" s="131"/>
      <c r="CF97" s="131"/>
      <c r="CG97" s="131"/>
      <c r="CH97" s="131"/>
    </row>
    <row r="98" spans="1:86" x14ac:dyDescent="0.3">
      <c r="H98" s="128"/>
    </row>
    <row r="99" spans="1:86" x14ac:dyDescent="0.3">
      <c r="A99" s="201"/>
      <c r="B99" s="201">
        <v>218881.19</v>
      </c>
      <c r="C99" s="201"/>
      <c r="D99" s="201"/>
      <c r="E99" s="201"/>
      <c r="F99" s="201"/>
      <c r="G99" s="201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>
        <f>8042.35/1.372</f>
        <v>5861.7711370262386</v>
      </c>
      <c r="AN99" s="64">
        <f>+AM106</f>
        <v>5898.5502617939428</v>
      </c>
      <c r="AO99" s="64">
        <f>+AN106</f>
        <v>5928.9790768525045</v>
      </c>
      <c r="AP99" s="64">
        <f>+AO106</f>
        <v>5945.1006853097442</v>
      </c>
      <c r="AQ99" s="64">
        <f>+AP106</f>
        <v>5938.7940494176137</v>
      </c>
      <c r="AR99" s="64">
        <f>+AQ106</f>
        <v>5922.0256266082415</v>
      </c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</row>
    <row r="100" spans="1:86" x14ac:dyDescent="0.3">
      <c r="A100" s="127" t="s">
        <v>99</v>
      </c>
      <c r="B100" s="201">
        <v>218881.19</v>
      </c>
      <c r="C100" s="201" t="s">
        <v>100</v>
      </c>
      <c r="D100" s="201"/>
      <c r="E100" s="201"/>
      <c r="F100" s="201"/>
      <c r="G100" s="201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64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H100" s="118"/>
      <c r="AI100" s="118"/>
      <c r="AJ100" s="118"/>
      <c r="AK100" s="118"/>
      <c r="AL100" s="118"/>
      <c r="AM100" s="118">
        <f>+AM99/(AM38+AM49+AM153+AM59+AM69+AM79+AM130+AM89+AM99)</f>
        <v>8.0230503530397416E-4</v>
      </c>
      <c r="AN100" s="118">
        <f>+AN99/(AN38+AN49+AN153+AN59+AN69+AN79+AN130+AN89+AN99)</f>
        <v>8.0241002983908469E-4</v>
      </c>
      <c r="AO100" s="118">
        <f>+AO99/(AO38+AO49+AO153+AO59+AO69+AO79+AO130+AO89+AO99)</f>
        <v>8.0244840926109733E-4</v>
      </c>
      <c r="AP100" s="118">
        <f>AP99/(AP38+AP49+AP153+AP59+AP69+AP79+AP130+AP89+AP99+AP109)</f>
        <v>7.9973429328236202E-4</v>
      </c>
      <c r="AQ100" s="118">
        <f>AQ99/(AQ38+AQ49+AQ153+AQ59+AQ69+AQ79+AQ130+AQ89+AQ99+AQ109+AQ119)</f>
        <v>7.7228465618156138E-4</v>
      </c>
      <c r="AR100" s="118">
        <f>AR99/(AR38+AR49+AR153+AR59+AR69+AR79+AR130+AR89+AR99+AR109+AR119)</f>
        <v>7.7226177688650424E-4</v>
      </c>
      <c r="AS100" s="118"/>
      <c r="AT100" s="118"/>
      <c r="AU100" s="118"/>
      <c r="AV100" s="118"/>
      <c r="AW100" s="118"/>
      <c r="AX100" s="118"/>
      <c r="AY100" s="118"/>
      <c r="AZ100" s="118"/>
      <c r="BA100" s="118"/>
      <c r="BB100" s="118"/>
      <c r="BC100" s="118"/>
      <c r="BD100" s="118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</row>
    <row r="101" spans="1:86" x14ac:dyDescent="0.3">
      <c r="A101" s="127"/>
      <c r="B101" s="201"/>
      <c r="C101" s="201"/>
      <c r="D101" s="201"/>
      <c r="E101" s="201"/>
      <c r="F101" s="201"/>
      <c r="G101" s="145">
        <f>+B104/(B95+B104)</f>
        <v>1</v>
      </c>
      <c r="H101" s="118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64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>
        <f t="shared" ref="AM101:AR101" si="453">+(AM33*AM100)</f>
        <v>8.6596032105589824</v>
      </c>
      <c r="AN101" s="43">
        <f t="shared" si="453"/>
        <v>22.118584047764109</v>
      </c>
      <c r="AO101" s="43">
        <f t="shared" si="453"/>
        <v>14.15955909788094</v>
      </c>
      <c r="AP101" s="43">
        <f t="shared" si="453"/>
        <v>5.8973219794301208</v>
      </c>
      <c r="AQ101" s="43">
        <f t="shared" si="453"/>
        <v>-8.1985737522531039</v>
      </c>
      <c r="AR101" s="43">
        <f t="shared" si="453"/>
        <v>-2.6834394661316554</v>
      </c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</row>
    <row r="102" spans="1:86" x14ac:dyDescent="0.3">
      <c r="A102" s="127"/>
      <c r="B102" s="201"/>
      <c r="C102" s="201" t="s">
        <v>101</v>
      </c>
      <c r="D102" s="201"/>
      <c r="E102" s="201"/>
      <c r="F102" s="201"/>
      <c r="G102" s="145"/>
      <c r="H102" s="118"/>
      <c r="I102" s="43"/>
      <c r="J102" s="43"/>
      <c r="K102" s="43"/>
      <c r="L102" s="43"/>
      <c r="M102" s="43"/>
      <c r="N102" s="43"/>
      <c r="O102" s="118"/>
      <c r="P102" s="118"/>
      <c r="Q102" s="118"/>
      <c r="R102" s="118"/>
      <c r="S102" s="118"/>
      <c r="T102" s="118"/>
      <c r="U102" s="118"/>
      <c r="V102" s="43"/>
      <c r="W102" s="64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>
        <f>AM99/(AM38+AM49+AM59+AM69+AM79+AM89+AM99)</f>
        <v>8.2489769305007631E-4</v>
      </c>
      <c r="AN102" s="118">
        <f>AN99/(AN38+AN49+AN59+AN69+AN79+AN89+AN99)</f>
        <v>8.2489769305007653E-4</v>
      </c>
      <c r="AO102" s="118">
        <f>AO99/(AO38+AO49+AO59+AO69+AO79+AO89+AO99)</f>
        <v>8.2489769305007642E-4</v>
      </c>
      <c r="AP102" s="118">
        <f>AP99/(AP38+AP49+AP59+AP69+AP79+AP89+AP99+AP109)</f>
        <v>8.2200801478090225E-4</v>
      </c>
      <c r="AQ102" s="118">
        <f>AQ99/(AQ38+AQ49+AQ59+AQ69+AQ79+AQ89+AQ99+AQ109+AQ119)</f>
        <v>7.9306569797970921E-4</v>
      </c>
      <c r="AR102" s="118">
        <f>AR99/(AR38+AR49+AR59+AR69+AR79+AR89+AR99+AR109+AR119)</f>
        <v>7.9306569797970932E-4</v>
      </c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</row>
    <row r="103" spans="1:86" x14ac:dyDescent="0.3">
      <c r="A103" s="127"/>
      <c r="B103" s="201">
        <v>2969.8939999999998</v>
      </c>
      <c r="C103" s="201" t="s">
        <v>102</v>
      </c>
      <c r="D103" s="201"/>
      <c r="E103" s="201"/>
      <c r="F103" s="201"/>
      <c r="G103" s="145"/>
      <c r="H103" s="118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64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>
        <f t="shared" ref="AM103:AR103" si="454">+AM102*AM34</f>
        <v>28.361937694594154</v>
      </c>
      <c r="AN103" s="43">
        <f t="shared" si="454"/>
        <v>9.0412911646753642</v>
      </c>
      <c r="AO103" s="43">
        <f t="shared" si="454"/>
        <v>2.2063786065318323</v>
      </c>
      <c r="AP103" s="43">
        <f t="shared" si="454"/>
        <v>-11.959887811856216</v>
      </c>
      <c r="AQ103" s="43">
        <f t="shared" si="454"/>
        <v>-8.3264681390017845</v>
      </c>
      <c r="AR103" s="43">
        <f t="shared" si="454"/>
        <v>-12.26878979300194</v>
      </c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</row>
    <row r="104" spans="1:86" x14ac:dyDescent="0.3">
      <c r="A104" s="1">
        <v>43308</v>
      </c>
      <c r="B104" s="201">
        <v>2969.8939999999998</v>
      </c>
      <c r="C104" s="201"/>
      <c r="D104" s="201"/>
      <c r="E104" s="201"/>
      <c r="F104" s="201"/>
      <c r="G104" s="20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64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>
        <f t="shared" ref="AM104:AR104" si="455">+AM99+AM101+AM103</f>
        <v>5898.7926779313921</v>
      </c>
      <c r="AN104" s="111">
        <f t="shared" si="455"/>
        <v>5929.710137006382</v>
      </c>
      <c r="AO104" s="111">
        <f t="shared" si="455"/>
        <v>5945.3450145569177</v>
      </c>
      <c r="AP104" s="111">
        <f t="shared" si="455"/>
        <v>5939.0381194773181</v>
      </c>
      <c r="AQ104" s="111">
        <f t="shared" si="455"/>
        <v>5922.269007526359</v>
      </c>
      <c r="AR104" s="111">
        <f t="shared" si="455"/>
        <v>5907.0733973491078</v>
      </c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</row>
    <row r="105" spans="1:86" s="112" customFormat="1" x14ac:dyDescent="0.3">
      <c r="B105" s="129"/>
      <c r="C105" s="129"/>
      <c r="D105" s="129"/>
      <c r="E105" s="129"/>
      <c r="F105" s="129"/>
      <c r="G105" s="129"/>
      <c r="H105" s="132">
        <f>H104*1.5%/365</f>
        <v>0</v>
      </c>
      <c r="I105" s="132">
        <f>I104*1.5%/365</f>
        <v>0</v>
      </c>
      <c r="J105" s="132">
        <f>J104*1.5%/365</f>
        <v>0</v>
      </c>
      <c r="K105" s="132">
        <f>K104*1.5%/365*3</f>
        <v>0</v>
      </c>
      <c r="L105" s="132">
        <f t="shared" ref="L105" si="456">L104*1.5%/365</f>
        <v>0</v>
      </c>
      <c r="M105" s="132">
        <f>M104*1.5%/365*3</f>
        <v>0</v>
      </c>
      <c r="N105" s="132">
        <f t="shared" ref="N105" si="457">N104*1.5%/365</f>
        <v>0</v>
      </c>
      <c r="O105" s="132">
        <f>O104*1.5%/365</f>
        <v>0</v>
      </c>
      <c r="P105" s="132">
        <f>P104*1.5%/365</f>
        <v>0</v>
      </c>
      <c r="Q105" s="132">
        <f>Q104*1.5%/365</f>
        <v>0</v>
      </c>
      <c r="R105" s="132"/>
      <c r="S105" s="132"/>
      <c r="T105" s="132">
        <f>T104*1.5%/365*3</f>
        <v>0</v>
      </c>
      <c r="U105" s="132"/>
      <c r="V105" s="132">
        <f>V104*1.5%/365</f>
        <v>0</v>
      </c>
      <c r="W105" s="131"/>
      <c r="X105" s="132">
        <f>X104*1.5%/365</f>
        <v>0</v>
      </c>
      <c r="Y105" s="132">
        <f>Y104*1.5%/365</f>
        <v>0</v>
      </c>
      <c r="Z105" s="132"/>
      <c r="AA105" s="132">
        <f t="shared" ref="AA105:AF105" si="458">AA104*1.5%/365</f>
        <v>0</v>
      </c>
      <c r="AB105" s="132">
        <f t="shared" si="458"/>
        <v>0</v>
      </c>
      <c r="AC105" s="132">
        <f t="shared" si="458"/>
        <v>0</v>
      </c>
      <c r="AD105" s="132">
        <f t="shared" si="458"/>
        <v>0</v>
      </c>
      <c r="AE105" s="132">
        <f t="shared" si="458"/>
        <v>0</v>
      </c>
      <c r="AF105" s="132">
        <f t="shared" si="458"/>
        <v>0</v>
      </c>
      <c r="AG105" s="132">
        <f>AG104*1.5%/365</f>
        <v>0</v>
      </c>
      <c r="AH105" s="132">
        <f>AH104*1.5%/365</f>
        <v>0</v>
      </c>
      <c r="AI105" s="132">
        <f>AI104*1.5%/365</f>
        <v>0</v>
      </c>
      <c r="AJ105" s="132">
        <f>AJ104*1.5%/365*3</f>
        <v>0</v>
      </c>
      <c r="AK105" s="132">
        <f>AK104*1.5%/365</f>
        <v>0</v>
      </c>
      <c r="AL105" s="132">
        <f>AL104*1.5%/365*2</f>
        <v>0</v>
      </c>
      <c r="AM105" s="132">
        <f>AM104*1.5%/365</f>
        <v>0.24241613744923529</v>
      </c>
      <c r="AN105" s="132">
        <f>AN104*1.5%/365*3</f>
        <v>0.73106015387749901</v>
      </c>
      <c r="AO105" s="132">
        <f t="shared" ref="AO105:AT105" si="459">AO104*1.5%/365</f>
        <v>0.24432924717357196</v>
      </c>
      <c r="AP105" s="132">
        <f t="shared" si="459"/>
        <v>0.24407005970454732</v>
      </c>
      <c r="AQ105" s="132">
        <f t="shared" si="459"/>
        <v>0.24338091811752158</v>
      </c>
      <c r="AR105" s="132">
        <f t="shared" si="459"/>
        <v>0.24275644098694962</v>
      </c>
      <c r="AS105" s="132">
        <f t="shared" si="459"/>
        <v>0</v>
      </c>
      <c r="AT105" s="132">
        <f t="shared" si="459"/>
        <v>0</v>
      </c>
      <c r="AU105" s="132">
        <f t="shared" ref="AU105:AV105" si="460">AU104*1.5%/365</f>
        <v>0</v>
      </c>
      <c r="AV105" s="132">
        <f t="shared" si="460"/>
        <v>0</v>
      </c>
      <c r="AW105" s="132">
        <f t="shared" ref="AW105:AX105" si="461">AW104*1.5%/365</f>
        <v>0</v>
      </c>
      <c r="AX105" s="132">
        <f t="shared" si="461"/>
        <v>0</v>
      </c>
      <c r="AY105" s="132">
        <f t="shared" ref="AY105:AZ105" si="462">AY104*1.5%/365</f>
        <v>0</v>
      </c>
      <c r="AZ105" s="132">
        <f t="shared" si="462"/>
        <v>0</v>
      </c>
      <c r="BA105" s="132">
        <f t="shared" ref="BA105:BB105" si="463">BA104*1.5%/365</f>
        <v>0</v>
      </c>
      <c r="BB105" s="132">
        <f t="shared" si="463"/>
        <v>0</v>
      </c>
      <c r="BC105" s="132">
        <f t="shared" ref="BC105:BD105" si="464">BC104*1.5%/365</f>
        <v>0</v>
      </c>
      <c r="BD105" s="132">
        <f t="shared" si="464"/>
        <v>0</v>
      </c>
      <c r="BE105" s="131"/>
      <c r="BF105" s="131"/>
      <c r="BG105" s="131"/>
      <c r="BH105" s="131"/>
      <c r="BI105" s="131"/>
      <c r="BJ105" s="131"/>
      <c r="BK105" s="131"/>
      <c r="BL105" s="131"/>
      <c r="BM105" s="131"/>
      <c r="BN105" s="131"/>
      <c r="BO105" s="131"/>
      <c r="BP105" s="131"/>
      <c r="BQ105" s="131"/>
      <c r="BR105" s="131"/>
      <c r="BS105" s="131"/>
      <c r="BT105" s="131"/>
      <c r="BU105" s="131"/>
      <c r="BV105" s="131"/>
      <c r="BW105" s="131"/>
      <c r="BX105" s="131"/>
      <c r="BY105" s="131"/>
      <c r="BZ105" s="131"/>
      <c r="CA105" s="131"/>
      <c r="CB105" s="131"/>
      <c r="CC105" s="131"/>
      <c r="CD105" s="131"/>
      <c r="CE105" s="131"/>
      <c r="CF105" s="131"/>
      <c r="CG105" s="131"/>
      <c r="CH105" s="131"/>
    </row>
    <row r="106" spans="1:86" s="112" customFormat="1" x14ac:dyDescent="0.3">
      <c r="B106" s="113"/>
      <c r="C106" s="129"/>
      <c r="D106" s="129"/>
      <c r="E106" s="129"/>
      <c r="F106" s="129"/>
      <c r="G106" s="129"/>
      <c r="H106" s="130">
        <f>+H104-H105</f>
        <v>0</v>
      </c>
      <c r="I106" s="130">
        <f>+I104-I105</f>
        <v>0</v>
      </c>
      <c r="J106" s="130">
        <f>+J104-J105</f>
        <v>0</v>
      </c>
      <c r="K106" s="130">
        <f>+K104-K105</f>
        <v>0</v>
      </c>
      <c r="L106" s="130">
        <f t="shared" ref="L106:N106" si="465">+L104-L105</f>
        <v>0</v>
      </c>
      <c r="M106" s="130">
        <f t="shared" si="465"/>
        <v>0</v>
      </c>
      <c r="N106" s="130">
        <f t="shared" si="465"/>
        <v>0</v>
      </c>
      <c r="O106" s="130">
        <f>+O104-O105</f>
        <v>0</v>
      </c>
      <c r="P106" s="130">
        <f>+P104-P105</f>
        <v>0</v>
      </c>
      <c r="Q106" s="130">
        <f>+Q104-Q105</f>
        <v>0</v>
      </c>
      <c r="R106" s="130"/>
      <c r="S106" s="130"/>
      <c r="T106" s="130">
        <f>+T104-T105</f>
        <v>0</v>
      </c>
      <c r="U106" s="130"/>
      <c r="V106" s="130">
        <f>+V104-V105</f>
        <v>0</v>
      </c>
      <c r="W106" s="131"/>
      <c r="X106" s="130">
        <f>+X104-X105</f>
        <v>0</v>
      </c>
      <c r="Y106" s="130">
        <f>+Y104-Y105</f>
        <v>0</v>
      </c>
      <c r="Z106" s="130"/>
      <c r="AA106" s="130">
        <f t="shared" ref="AA106:AF106" si="466">+AA104-AA105</f>
        <v>0</v>
      </c>
      <c r="AB106" s="130">
        <f t="shared" si="466"/>
        <v>0</v>
      </c>
      <c r="AC106" s="130">
        <f t="shared" si="466"/>
        <v>0</v>
      </c>
      <c r="AD106" s="130">
        <f t="shared" si="466"/>
        <v>0</v>
      </c>
      <c r="AE106" s="130">
        <f t="shared" si="466"/>
        <v>0</v>
      </c>
      <c r="AF106" s="130">
        <f t="shared" si="466"/>
        <v>0</v>
      </c>
      <c r="AG106" s="130">
        <f t="shared" ref="AG106" si="467">+AG104-AG105</f>
        <v>0</v>
      </c>
      <c r="AH106" s="130">
        <f t="shared" ref="AH106" si="468">+AH104-AH105</f>
        <v>0</v>
      </c>
      <c r="AI106" s="130">
        <f t="shared" ref="AI106" si="469">+AI104-AI105</f>
        <v>0</v>
      </c>
      <c r="AJ106" s="130">
        <f t="shared" ref="AJ106" si="470">+AJ104-AJ105</f>
        <v>0</v>
      </c>
      <c r="AK106" s="130">
        <f t="shared" ref="AK106" si="471">+AK104-AK105</f>
        <v>0</v>
      </c>
      <c r="AL106" s="130">
        <f t="shared" ref="AL106" si="472">+AL104-AL105</f>
        <v>0</v>
      </c>
      <c r="AM106" s="130">
        <f t="shared" ref="AM106:AR106" si="473">+AM104-AM105</f>
        <v>5898.5502617939428</v>
      </c>
      <c r="AN106" s="130">
        <f t="shared" si="473"/>
        <v>5928.9790768525045</v>
      </c>
      <c r="AO106" s="130">
        <f t="shared" si="473"/>
        <v>5945.1006853097442</v>
      </c>
      <c r="AP106" s="130">
        <f t="shared" si="473"/>
        <v>5938.7940494176137</v>
      </c>
      <c r="AQ106" s="130">
        <f t="shared" si="473"/>
        <v>5922.0256266082415</v>
      </c>
      <c r="AR106" s="130">
        <f t="shared" si="473"/>
        <v>5906.8306409081206</v>
      </c>
      <c r="AS106" s="130">
        <f t="shared" ref="AS106:AY106" si="474">+AS104-AS105</f>
        <v>0</v>
      </c>
      <c r="AT106" s="130">
        <f t="shared" si="474"/>
        <v>0</v>
      </c>
      <c r="AU106" s="130">
        <f t="shared" si="474"/>
        <v>0</v>
      </c>
      <c r="AV106" s="130">
        <f t="shared" si="474"/>
        <v>0</v>
      </c>
      <c r="AW106" s="130">
        <f t="shared" si="474"/>
        <v>0</v>
      </c>
      <c r="AX106" s="130">
        <f t="shared" si="474"/>
        <v>0</v>
      </c>
      <c r="AY106" s="130">
        <f t="shared" si="474"/>
        <v>0</v>
      </c>
      <c r="AZ106" s="130">
        <f t="shared" ref="AZ106:BA106" si="475">+AZ104-AZ105</f>
        <v>0</v>
      </c>
      <c r="BA106" s="130">
        <f t="shared" si="475"/>
        <v>0</v>
      </c>
      <c r="BB106" s="130">
        <f t="shared" ref="BB106:BC106" si="476">+BB104-BB105</f>
        <v>0</v>
      </c>
      <c r="BC106" s="130">
        <f t="shared" si="476"/>
        <v>0</v>
      </c>
      <c r="BD106" s="130">
        <f t="shared" ref="BD106" si="477">+BD104-BD105</f>
        <v>0</v>
      </c>
      <c r="BE106" s="131"/>
      <c r="BF106" s="131"/>
      <c r="BG106" s="131"/>
      <c r="BH106" s="131"/>
      <c r="BI106" s="131"/>
      <c r="BJ106" s="131"/>
      <c r="BK106" s="131"/>
      <c r="BL106" s="131"/>
      <c r="BM106" s="131"/>
      <c r="BN106" s="131"/>
      <c r="BO106" s="131"/>
      <c r="BP106" s="131"/>
      <c r="BQ106" s="131"/>
      <c r="BR106" s="131"/>
      <c r="BS106" s="131"/>
      <c r="BT106" s="131"/>
      <c r="BU106" s="131"/>
      <c r="BV106" s="131"/>
      <c r="BW106" s="131"/>
      <c r="BX106" s="131"/>
      <c r="BY106" s="131"/>
      <c r="BZ106" s="131"/>
      <c r="CA106" s="131"/>
      <c r="CB106" s="131"/>
      <c r="CC106" s="131"/>
      <c r="CD106" s="131"/>
      <c r="CE106" s="131"/>
      <c r="CF106" s="131"/>
      <c r="CG106" s="131"/>
      <c r="CH106" s="131"/>
    </row>
    <row r="107" spans="1:86" s="112" customFormat="1" x14ac:dyDescent="0.3">
      <c r="A107" s="129"/>
      <c r="B107" s="129"/>
      <c r="C107" s="129"/>
      <c r="D107" s="129"/>
      <c r="E107" s="129"/>
      <c r="F107" s="129"/>
      <c r="G107" s="129"/>
      <c r="H107" s="130" t="e">
        <f>+H106/H99*100</f>
        <v>#DIV/0!</v>
      </c>
      <c r="I107" s="130">
        <f>+I106/B104*I65</f>
        <v>0</v>
      </c>
      <c r="J107" s="130">
        <f>+J106/$B$43*J65</f>
        <v>0</v>
      </c>
      <c r="K107" s="130">
        <f>+K106/$B$43*K65</f>
        <v>0</v>
      </c>
      <c r="L107" s="130">
        <f>+L106/$B$43*L65</f>
        <v>0</v>
      </c>
      <c r="M107" s="130">
        <f>+M106/$B$43*M65</f>
        <v>0</v>
      </c>
      <c r="N107" s="130">
        <f>+N106/$B$43*N65</f>
        <v>0</v>
      </c>
      <c r="O107" s="130">
        <f>+O106/$B$54*O56</f>
        <v>0</v>
      </c>
      <c r="P107" s="130">
        <f>+P106/$B$64*P45</f>
        <v>0</v>
      </c>
      <c r="Q107" s="130">
        <f>+Q106/$B$64*Q45</f>
        <v>0</v>
      </c>
      <c r="R107" s="130"/>
      <c r="S107" s="130"/>
      <c r="T107" s="130">
        <f>+T106/$B$74*T35</f>
        <v>0</v>
      </c>
      <c r="U107" s="130"/>
      <c r="V107" s="130" t="e">
        <f>+V106/N104*V65</f>
        <v>#DIV/0!</v>
      </c>
      <c r="W107" s="131"/>
      <c r="X107" s="130">
        <f>+X106/$B$54*X56</f>
        <v>0</v>
      </c>
      <c r="Y107" s="130">
        <f>+Y106/$B$54*Y56</f>
        <v>0</v>
      </c>
      <c r="Z107" s="130"/>
      <c r="AA107" s="130">
        <f t="shared" ref="AA107:AF107" si="478">+AA106/$B$54*AA56</f>
        <v>0</v>
      </c>
      <c r="AB107" s="130">
        <f t="shared" si="478"/>
        <v>0</v>
      </c>
      <c r="AC107" s="130">
        <f t="shared" si="478"/>
        <v>0</v>
      </c>
      <c r="AD107" s="130">
        <f t="shared" si="478"/>
        <v>0</v>
      </c>
      <c r="AE107" s="130">
        <f t="shared" si="478"/>
        <v>0</v>
      </c>
      <c r="AF107" s="130">
        <f t="shared" si="478"/>
        <v>0</v>
      </c>
      <c r="AG107" s="159">
        <f>TRUNC(+AG106/(2966.046),3)*AG35</f>
        <v>0</v>
      </c>
      <c r="AH107" s="159">
        <f>TRUNC(+AH106/(172.057),3)*AH23</f>
        <v>0</v>
      </c>
      <c r="AI107" s="159">
        <f>TRUNC(+AI106/(1239.593),3)*AI13</f>
        <v>0</v>
      </c>
      <c r="AJ107" s="175">
        <f>TRUNC(+AJ106/(1239.593),3)*AJ13</f>
        <v>0</v>
      </c>
      <c r="AK107" s="175">
        <f>TRUNC(+AK106/(1239.593),3)*AK13</f>
        <v>0</v>
      </c>
      <c r="AL107" s="175">
        <f>TRUNC(+AL106/(1239.593),3)*AL13</f>
        <v>0</v>
      </c>
      <c r="AM107" s="175">
        <f t="shared" ref="AM107:AR107" si="479">TRUNC(+AM106/80.513,3)*AM3</f>
        <v>100.0172824</v>
      </c>
      <c r="AN107" s="175">
        <f t="shared" si="479"/>
        <v>100.36763800000001</v>
      </c>
      <c r="AO107" s="175">
        <f t="shared" si="479"/>
        <v>100.59961600000001</v>
      </c>
      <c r="AP107" s="175">
        <f t="shared" si="479"/>
        <v>100.6985172</v>
      </c>
      <c r="AQ107" s="175">
        <f t="shared" si="479"/>
        <v>100.55798395000001</v>
      </c>
      <c r="AR107" s="175">
        <f t="shared" si="479"/>
        <v>100.51234820000001</v>
      </c>
      <c r="AS107" s="130" t="e">
        <f t="shared" ref="AS107:BD107" si="480">+AS106/AK104*AS65</f>
        <v>#DIV/0!</v>
      </c>
      <c r="AT107" s="130" t="e">
        <f t="shared" si="480"/>
        <v>#DIV/0!</v>
      </c>
      <c r="AU107" s="130">
        <f t="shared" si="480"/>
        <v>0</v>
      </c>
      <c r="AV107" s="130">
        <f t="shared" si="480"/>
        <v>0</v>
      </c>
      <c r="AW107" s="130">
        <f t="shared" si="480"/>
        <v>0</v>
      </c>
      <c r="AX107" s="130">
        <f t="shared" si="480"/>
        <v>0</v>
      </c>
      <c r="AY107" s="130">
        <f t="shared" si="480"/>
        <v>0</v>
      </c>
      <c r="AZ107" s="130">
        <f t="shared" si="480"/>
        <v>0</v>
      </c>
      <c r="BA107" s="130" t="e">
        <f t="shared" si="480"/>
        <v>#DIV/0!</v>
      </c>
      <c r="BB107" s="130" t="e">
        <f t="shared" si="480"/>
        <v>#DIV/0!</v>
      </c>
      <c r="BC107" s="130" t="e">
        <f t="shared" si="480"/>
        <v>#DIV/0!</v>
      </c>
      <c r="BD107" s="130" t="e">
        <f t="shared" si="480"/>
        <v>#DIV/0!</v>
      </c>
      <c r="BE107" s="131"/>
      <c r="BF107" s="131"/>
      <c r="BG107" s="131"/>
      <c r="BH107" s="131"/>
      <c r="BI107" s="131"/>
      <c r="BJ107" s="131"/>
      <c r="BK107" s="131"/>
      <c r="BL107" s="131"/>
      <c r="BM107" s="131"/>
      <c r="BN107" s="131"/>
      <c r="BO107" s="131"/>
      <c r="BP107" s="131"/>
      <c r="BQ107" s="131"/>
      <c r="BR107" s="131"/>
      <c r="BS107" s="131"/>
      <c r="BT107" s="131"/>
      <c r="BU107" s="131"/>
      <c r="BV107" s="131"/>
      <c r="BW107" s="131"/>
      <c r="BX107" s="131"/>
      <c r="BY107" s="131"/>
      <c r="BZ107" s="131"/>
      <c r="CA107" s="131"/>
      <c r="CB107" s="131"/>
      <c r="CC107" s="131"/>
      <c r="CD107" s="131"/>
      <c r="CE107" s="131"/>
      <c r="CF107" s="131"/>
      <c r="CG107" s="131"/>
      <c r="CH107" s="131"/>
    </row>
    <row r="108" spans="1:86" x14ac:dyDescent="0.3">
      <c r="H108" s="128"/>
    </row>
    <row r="109" spans="1:86" x14ac:dyDescent="0.3">
      <c r="A109" s="201"/>
      <c r="B109" s="201">
        <v>218881.19</v>
      </c>
      <c r="C109" s="201"/>
      <c r="D109" s="201"/>
      <c r="E109" s="201"/>
      <c r="F109" s="201"/>
      <c r="G109" s="201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>
        <v>25335.68</v>
      </c>
      <c r="AQ109" s="64">
        <f>+AP116</f>
        <v>25308.803599195828</v>
      </c>
      <c r="AR109" s="64">
        <f>+AQ116</f>
        <v>25237.343178777257</v>
      </c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</row>
    <row r="110" spans="1:86" x14ac:dyDescent="0.3">
      <c r="A110" s="127" t="s">
        <v>99</v>
      </c>
      <c r="B110" s="201">
        <v>218881.19</v>
      </c>
      <c r="C110" s="201" t="s">
        <v>100</v>
      </c>
      <c r="D110" s="201"/>
      <c r="E110" s="201"/>
      <c r="F110" s="201"/>
      <c r="G110" s="201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64"/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H110" s="118"/>
      <c r="AI110" s="118"/>
      <c r="AJ110" s="118"/>
      <c r="AK110" s="118"/>
      <c r="AL110" s="118"/>
      <c r="AM110" s="118"/>
      <c r="AN110" s="118"/>
      <c r="AO110" s="118"/>
      <c r="AP110" s="118">
        <f>AP109/(AP38+AP49+AP153+AP59+AP69+AP79+AP130+AP89+AP99+AP109)</f>
        <v>3.4081528996968398E-3</v>
      </c>
      <c r="AQ110" s="118">
        <f>AQ109/(AQ38+AQ49+AQ153+AQ59+AQ69+AQ79+AQ130+AQ89+AQ99+AQ109+AQ119)</f>
        <v>3.2911733465295612E-3</v>
      </c>
      <c r="AR110" s="118">
        <f>AR109/(AR38+AR49+AR153+AR59+AR69+AR79+AR130+AR89+AR99+AR109+AR119)</f>
        <v>3.2910758439759664E-3</v>
      </c>
      <c r="AS110" s="118"/>
      <c r="AT110" s="118"/>
      <c r="AU110" s="118"/>
      <c r="AV110" s="118"/>
      <c r="AW110" s="118"/>
      <c r="AX110" s="118"/>
      <c r="AY110" s="118"/>
      <c r="AZ110" s="118"/>
      <c r="BA110" s="118"/>
      <c r="BB110" s="118"/>
      <c r="BC110" s="118"/>
      <c r="BD110" s="118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</row>
    <row r="111" spans="1:86" x14ac:dyDescent="0.3">
      <c r="A111" s="127"/>
      <c r="B111" s="201"/>
      <c r="C111" s="201"/>
      <c r="D111" s="201"/>
      <c r="E111" s="201"/>
      <c r="F111" s="201"/>
      <c r="G111" s="145">
        <f>+B114/(B105+B114)</f>
        <v>1</v>
      </c>
      <c r="H111" s="118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64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>
        <f>+(AP33*AP110)</f>
        <v>25.132065954241046</v>
      </c>
      <c r="AQ111" s="43">
        <f>+(AQ33*AQ110)</f>
        <v>-34.939095574402664</v>
      </c>
      <c r="AR111" s="43">
        <f>+(AR33*AR110)</f>
        <v>-11.435763195950026</v>
      </c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</row>
    <row r="112" spans="1:86" x14ac:dyDescent="0.3">
      <c r="A112" s="127"/>
      <c r="B112" s="201"/>
      <c r="C112" s="201" t="s">
        <v>101</v>
      </c>
      <c r="D112" s="201"/>
      <c r="E112" s="201"/>
      <c r="F112" s="201"/>
      <c r="G112" s="145"/>
      <c r="H112" s="118"/>
      <c r="I112" s="43"/>
      <c r="J112" s="43"/>
      <c r="K112" s="43"/>
      <c r="L112" s="43"/>
      <c r="M112" s="43"/>
      <c r="N112" s="43"/>
      <c r="O112" s="118"/>
      <c r="P112" s="118"/>
      <c r="Q112" s="118"/>
      <c r="R112" s="118"/>
      <c r="S112" s="118"/>
      <c r="T112" s="118"/>
      <c r="U112" s="118"/>
      <c r="V112" s="43"/>
      <c r="W112" s="64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  <c r="AP112" s="118">
        <f>AP109/(AP38+AP49+AP59+AP69+AP79+AP89+AP99+AP109)</f>
        <v>3.5030747370494958E-3</v>
      </c>
      <c r="AQ112" s="118">
        <f>AQ109/(AQ38+AQ49+AQ59+AQ69+AQ79+AQ89+AQ99+AQ109+AQ119)</f>
        <v>3.379733970299227E-3</v>
      </c>
      <c r="AR112" s="118">
        <f>AR109/(AR38+AR49+AR59+AR69+AR79+AR89+AR99+AR109+AR119)</f>
        <v>3.379733970299227E-3</v>
      </c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</row>
    <row r="113" spans="1:86" x14ac:dyDescent="0.3">
      <c r="A113" s="127"/>
      <c r="B113" s="201">
        <v>2969.8939999999998</v>
      </c>
      <c r="C113" s="201" t="s">
        <v>102</v>
      </c>
      <c r="D113" s="201"/>
      <c r="E113" s="201"/>
      <c r="F113" s="201"/>
      <c r="G113" s="145"/>
      <c r="H113" s="118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64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>
        <f>+AP112*AP34</f>
        <v>-50.968336194175343</v>
      </c>
      <c r="AQ113" s="43">
        <f>+AQ112*AQ34</f>
        <v>-35.48413113022891</v>
      </c>
      <c r="AR113" s="43">
        <f>+AR112*AR34</f>
        <v>-52.284754899246657</v>
      </c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</row>
    <row r="114" spans="1:86" x14ac:dyDescent="0.3">
      <c r="A114" s="1">
        <v>43308</v>
      </c>
      <c r="B114" s="201">
        <v>2969.8939999999998</v>
      </c>
      <c r="C114" s="201"/>
      <c r="D114" s="201"/>
      <c r="E114" s="201"/>
      <c r="F114" s="201"/>
      <c r="G114" s="20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64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>
        <f>+AP109+AP111+AP113</f>
        <v>25309.843729760065</v>
      </c>
      <c r="AQ114" s="111">
        <f>+AQ109+AQ111+AQ113</f>
        <v>25238.380372491196</v>
      </c>
      <c r="AR114" s="111">
        <f>+AR109+AR111+AR113</f>
        <v>25173.62266068206</v>
      </c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</row>
    <row r="115" spans="1:86" s="112" customFormat="1" x14ac:dyDescent="0.3">
      <c r="B115" s="129"/>
      <c r="C115" s="129"/>
      <c r="D115" s="129"/>
      <c r="E115" s="129"/>
      <c r="F115" s="129"/>
      <c r="G115" s="129"/>
      <c r="H115" s="132">
        <f>H114*1.5%/365</f>
        <v>0</v>
      </c>
      <c r="I115" s="132">
        <f>I114*1.5%/365</f>
        <v>0</v>
      </c>
      <c r="J115" s="132">
        <f>J114*1.5%/365</f>
        <v>0</v>
      </c>
      <c r="K115" s="132">
        <f>K114*1.5%/365*3</f>
        <v>0</v>
      </c>
      <c r="L115" s="132">
        <f t="shared" ref="L115" si="481">L114*1.5%/365</f>
        <v>0</v>
      </c>
      <c r="M115" s="132">
        <f>M114*1.5%/365*3</f>
        <v>0</v>
      </c>
      <c r="N115" s="132">
        <f t="shared" ref="N115" si="482">N114*1.5%/365</f>
        <v>0</v>
      </c>
      <c r="O115" s="132">
        <f>O114*1.5%/365</f>
        <v>0</v>
      </c>
      <c r="P115" s="132">
        <f>P114*1.5%/365</f>
        <v>0</v>
      </c>
      <c r="Q115" s="132">
        <f>Q114*1.5%/365</f>
        <v>0</v>
      </c>
      <c r="R115" s="132"/>
      <c r="S115" s="132"/>
      <c r="T115" s="132">
        <f>T114*1.5%/365*3</f>
        <v>0</v>
      </c>
      <c r="U115" s="132"/>
      <c r="V115" s="132">
        <f>V114*1.5%/365</f>
        <v>0</v>
      </c>
      <c r="W115" s="131"/>
      <c r="X115" s="132">
        <f>X114*1.5%/365</f>
        <v>0</v>
      </c>
      <c r="Y115" s="132">
        <f>Y114*1.5%/365</f>
        <v>0</v>
      </c>
      <c r="Z115" s="132"/>
      <c r="AA115" s="132">
        <f t="shared" ref="AA115:AF115" si="483">AA114*1.5%/365</f>
        <v>0</v>
      </c>
      <c r="AB115" s="132">
        <f t="shared" si="483"/>
        <v>0</v>
      </c>
      <c r="AC115" s="132">
        <f t="shared" si="483"/>
        <v>0</v>
      </c>
      <c r="AD115" s="132">
        <f t="shared" si="483"/>
        <v>0</v>
      </c>
      <c r="AE115" s="132">
        <f t="shared" si="483"/>
        <v>0</v>
      </c>
      <c r="AF115" s="132">
        <f t="shared" si="483"/>
        <v>0</v>
      </c>
      <c r="AG115" s="132">
        <f>AG114*1.5%/365</f>
        <v>0</v>
      </c>
      <c r="AH115" s="132">
        <f>AH114*1.5%/365</f>
        <v>0</v>
      </c>
      <c r="AI115" s="132">
        <f>AI114*1.5%/365</f>
        <v>0</v>
      </c>
      <c r="AJ115" s="132">
        <f>AJ114*1.5%/365*3</f>
        <v>0</v>
      </c>
      <c r="AK115" s="132">
        <f>AK114*1.5%/365</f>
        <v>0</v>
      </c>
      <c r="AL115" s="132">
        <f>AL114*1.5%/365*2</f>
        <v>0</v>
      </c>
      <c r="AM115" s="132">
        <f>AM114*1.5%/365</f>
        <v>0</v>
      </c>
      <c r="AN115" s="132">
        <f>AN114*1.5%/365*3</f>
        <v>0</v>
      </c>
      <c r="AO115" s="132">
        <f t="shared" ref="AO115:AT115" si="484">AO114*1.5%/365</f>
        <v>0</v>
      </c>
      <c r="AP115" s="132">
        <f t="shared" si="484"/>
        <v>1.0401305642367149</v>
      </c>
      <c r="AQ115" s="132">
        <f t="shared" si="484"/>
        <v>1.0371937139379943</v>
      </c>
      <c r="AR115" s="132">
        <f t="shared" si="484"/>
        <v>1.0345324381102214</v>
      </c>
      <c r="AS115" s="132">
        <f t="shared" si="484"/>
        <v>0</v>
      </c>
      <c r="AT115" s="132">
        <f t="shared" si="484"/>
        <v>0</v>
      </c>
      <c r="AU115" s="132">
        <f t="shared" ref="AU115:AV115" si="485">AU114*1.5%/365</f>
        <v>0</v>
      </c>
      <c r="AV115" s="132">
        <f t="shared" si="485"/>
        <v>0</v>
      </c>
      <c r="AW115" s="132">
        <f t="shared" ref="AW115:AX115" si="486">AW114*1.5%/365</f>
        <v>0</v>
      </c>
      <c r="AX115" s="132">
        <f t="shared" si="486"/>
        <v>0</v>
      </c>
      <c r="AY115" s="132">
        <f t="shared" ref="AY115:AZ115" si="487">AY114*1.5%/365</f>
        <v>0</v>
      </c>
      <c r="AZ115" s="132">
        <f t="shared" si="487"/>
        <v>0</v>
      </c>
      <c r="BA115" s="132">
        <f t="shared" ref="BA115:BB115" si="488">BA114*1.5%/365</f>
        <v>0</v>
      </c>
      <c r="BB115" s="132">
        <f t="shared" si="488"/>
        <v>0</v>
      </c>
      <c r="BC115" s="132">
        <f t="shared" ref="BC115:BD115" si="489">BC114*1.5%/365</f>
        <v>0</v>
      </c>
      <c r="BD115" s="132">
        <f t="shared" si="489"/>
        <v>0</v>
      </c>
      <c r="BE115" s="131"/>
      <c r="BF115" s="131"/>
      <c r="BG115" s="131"/>
      <c r="BH115" s="131"/>
      <c r="BI115" s="131"/>
      <c r="BJ115" s="131"/>
      <c r="BK115" s="131"/>
      <c r="BL115" s="131"/>
      <c r="BM115" s="131"/>
      <c r="BN115" s="131"/>
      <c r="BO115" s="131"/>
      <c r="BP115" s="131"/>
      <c r="BQ115" s="131"/>
      <c r="BR115" s="131"/>
      <c r="BS115" s="131"/>
      <c r="BT115" s="131"/>
      <c r="BU115" s="131"/>
      <c r="BV115" s="131"/>
      <c r="BW115" s="131"/>
      <c r="BX115" s="131"/>
      <c r="BY115" s="131"/>
      <c r="BZ115" s="131"/>
      <c r="CA115" s="131"/>
      <c r="CB115" s="131"/>
      <c r="CC115" s="131"/>
      <c r="CD115" s="131"/>
      <c r="CE115" s="131"/>
      <c r="CF115" s="131"/>
      <c r="CG115" s="131"/>
      <c r="CH115" s="131"/>
    </row>
    <row r="116" spans="1:86" s="112" customFormat="1" x14ac:dyDescent="0.3">
      <c r="B116" s="113"/>
      <c r="C116" s="129"/>
      <c r="D116" s="129"/>
      <c r="E116" s="129"/>
      <c r="F116" s="129"/>
      <c r="G116" s="129"/>
      <c r="H116" s="130">
        <f>+H114-H115</f>
        <v>0</v>
      </c>
      <c r="I116" s="130">
        <f>+I114-I115</f>
        <v>0</v>
      </c>
      <c r="J116" s="130">
        <f>+J114-J115</f>
        <v>0</v>
      </c>
      <c r="K116" s="130">
        <f>+K114-K115</f>
        <v>0</v>
      </c>
      <c r="L116" s="130">
        <f t="shared" ref="L116:N116" si="490">+L114-L115</f>
        <v>0</v>
      </c>
      <c r="M116" s="130">
        <f t="shared" si="490"/>
        <v>0</v>
      </c>
      <c r="N116" s="130">
        <f t="shared" si="490"/>
        <v>0</v>
      </c>
      <c r="O116" s="130">
        <f>+O114-O115</f>
        <v>0</v>
      </c>
      <c r="P116" s="130">
        <f>+P114-P115</f>
        <v>0</v>
      </c>
      <c r="Q116" s="130">
        <f>+Q114-Q115</f>
        <v>0</v>
      </c>
      <c r="R116" s="130"/>
      <c r="S116" s="130"/>
      <c r="T116" s="130">
        <f>+T114-T115</f>
        <v>0</v>
      </c>
      <c r="U116" s="130"/>
      <c r="V116" s="130">
        <f>+V114-V115</f>
        <v>0</v>
      </c>
      <c r="W116" s="131"/>
      <c r="X116" s="130">
        <f>+X114-X115</f>
        <v>0</v>
      </c>
      <c r="Y116" s="130">
        <f>+Y114-Y115</f>
        <v>0</v>
      </c>
      <c r="Z116" s="130"/>
      <c r="AA116" s="130">
        <f t="shared" ref="AA116:AL116" si="491">+AA114-AA115</f>
        <v>0</v>
      </c>
      <c r="AB116" s="130">
        <f t="shared" si="491"/>
        <v>0</v>
      </c>
      <c r="AC116" s="130">
        <f t="shared" si="491"/>
        <v>0</v>
      </c>
      <c r="AD116" s="130">
        <f t="shared" si="491"/>
        <v>0</v>
      </c>
      <c r="AE116" s="130">
        <f t="shared" si="491"/>
        <v>0</v>
      </c>
      <c r="AF116" s="130">
        <f t="shared" si="491"/>
        <v>0</v>
      </c>
      <c r="AG116" s="130">
        <f t="shared" si="491"/>
        <v>0</v>
      </c>
      <c r="AH116" s="130">
        <f t="shared" si="491"/>
        <v>0</v>
      </c>
      <c r="AI116" s="130">
        <f t="shared" si="491"/>
        <v>0</v>
      </c>
      <c r="AJ116" s="130">
        <f t="shared" si="491"/>
        <v>0</v>
      </c>
      <c r="AK116" s="130">
        <f t="shared" si="491"/>
        <v>0</v>
      </c>
      <c r="AL116" s="130">
        <f t="shared" si="491"/>
        <v>0</v>
      </c>
      <c r="AM116" s="130">
        <f t="shared" ref="AM116:AR116" si="492">+AM114-AM115</f>
        <v>0</v>
      </c>
      <c r="AN116" s="130">
        <f t="shared" si="492"/>
        <v>0</v>
      </c>
      <c r="AO116" s="130">
        <f t="shared" si="492"/>
        <v>0</v>
      </c>
      <c r="AP116" s="130">
        <f t="shared" si="492"/>
        <v>25308.803599195828</v>
      </c>
      <c r="AQ116" s="130">
        <f t="shared" si="492"/>
        <v>25237.343178777257</v>
      </c>
      <c r="AR116" s="130">
        <f t="shared" si="492"/>
        <v>25172.588128243951</v>
      </c>
      <c r="AS116" s="130">
        <f t="shared" ref="AS116:AY116" si="493">+AS114-AS115</f>
        <v>0</v>
      </c>
      <c r="AT116" s="130">
        <f t="shared" si="493"/>
        <v>0</v>
      </c>
      <c r="AU116" s="130">
        <f t="shared" si="493"/>
        <v>0</v>
      </c>
      <c r="AV116" s="130">
        <f t="shared" si="493"/>
        <v>0</v>
      </c>
      <c r="AW116" s="130">
        <f t="shared" si="493"/>
        <v>0</v>
      </c>
      <c r="AX116" s="130">
        <f t="shared" si="493"/>
        <v>0</v>
      </c>
      <c r="AY116" s="130">
        <f t="shared" si="493"/>
        <v>0</v>
      </c>
      <c r="AZ116" s="130">
        <f t="shared" ref="AZ116:BA116" si="494">+AZ114-AZ115</f>
        <v>0</v>
      </c>
      <c r="BA116" s="130">
        <f t="shared" si="494"/>
        <v>0</v>
      </c>
      <c r="BB116" s="130">
        <f t="shared" ref="BB116:BC116" si="495">+BB114-BB115</f>
        <v>0</v>
      </c>
      <c r="BC116" s="130">
        <f t="shared" si="495"/>
        <v>0</v>
      </c>
      <c r="BD116" s="130">
        <f t="shared" ref="BD116" si="496">+BD114-BD115</f>
        <v>0</v>
      </c>
      <c r="BE116" s="131"/>
      <c r="BF116" s="131"/>
      <c r="BG116" s="131"/>
      <c r="BH116" s="131"/>
      <c r="BI116" s="131"/>
      <c r="BJ116" s="131"/>
      <c r="BK116" s="131"/>
      <c r="BL116" s="131"/>
      <c r="BM116" s="131"/>
      <c r="BN116" s="131"/>
      <c r="BO116" s="131"/>
      <c r="BP116" s="131"/>
      <c r="BQ116" s="131"/>
      <c r="BR116" s="131"/>
      <c r="BS116" s="131"/>
      <c r="BT116" s="131"/>
      <c r="BU116" s="131"/>
      <c r="BV116" s="131"/>
      <c r="BW116" s="131"/>
      <c r="BX116" s="131"/>
      <c r="BY116" s="131"/>
      <c r="BZ116" s="131"/>
      <c r="CA116" s="131"/>
      <c r="CB116" s="131"/>
      <c r="CC116" s="131"/>
      <c r="CD116" s="131"/>
      <c r="CE116" s="131"/>
      <c r="CF116" s="131"/>
      <c r="CG116" s="131"/>
      <c r="CH116" s="131"/>
    </row>
    <row r="117" spans="1:86" s="112" customFormat="1" x14ac:dyDescent="0.3">
      <c r="A117" s="129"/>
      <c r="B117" s="129"/>
      <c r="C117" s="129"/>
      <c r="D117" s="129"/>
      <c r="E117" s="129"/>
      <c r="F117" s="129"/>
      <c r="G117" s="129"/>
      <c r="H117" s="130" t="e">
        <f>+H116/H109*100</f>
        <v>#DIV/0!</v>
      </c>
      <c r="I117" s="130">
        <f>+I116/B114*I75</f>
        <v>0</v>
      </c>
      <c r="J117" s="130">
        <f>+J116/$B$43*J75</f>
        <v>0</v>
      </c>
      <c r="K117" s="130">
        <f>+K116/$B$43*K75</f>
        <v>0</v>
      </c>
      <c r="L117" s="130">
        <f>+L116/$B$43*L75</f>
        <v>0</v>
      </c>
      <c r="M117" s="130">
        <f>+M116/$B$43*M75</f>
        <v>0</v>
      </c>
      <c r="N117" s="130">
        <f>+N116/$B$43*N75</f>
        <v>0</v>
      </c>
      <c r="O117" s="130">
        <f>+O116/$B$54*O66</f>
        <v>0</v>
      </c>
      <c r="P117" s="130">
        <f>+P116/$B$64*P55</f>
        <v>0</v>
      </c>
      <c r="Q117" s="130">
        <f>+Q116/$B$64*Q55</f>
        <v>0</v>
      </c>
      <c r="R117" s="130"/>
      <c r="S117" s="130"/>
      <c r="T117" s="130">
        <f>+T116/$B$74*T45</f>
        <v>0</v>
      </c>
      <c r="U117" s="130"/>
      <c r="V117" s="130" t="e">
        <f>+V116/N114*V75</f>
        <v>#DIV/0!</v>
      </c>
      <c r="W117" s="131"/>
      <c r="X117" s="130">
        <f>+X116/$B$54*X66</f>
        <v>0</v>
      </c>
      <c r="Y117" s="130">
        <f>+Y116/$B$54*Y66</f>
        <v>0</v>
      </c>
      <c r="Z117" s="130"/>
      <c r="AA117" s="130">
        <f t="shared" ref="AA117:AF117" si="497">+AA116/$B$54*AA66</f>
        <v>0</v>
      </c>
      <c r="AB117" s="130">
        <f t="shared" si="497"/>
        <v>0</v>
      </c>
      <c r="AC117" s="130">
        <f t="shared" si="497"/>
        <v>0</v>
      </c>
      <c r="AD117" s="130">
        <f t="shared" si="497"/>
        <v>0</v>
      </c>
      <c r="AE117" s="130">
        <f t="shared" si="497"/>
        <v>0</v>
      </c>
      <c r="AF117" s="130">
        <f t="shared" si="497"/>
        <v>0</v>
      </c>
      <c r="AG117" s="159">
        <f>TRUNC(+AG116/(2966.046),3)*AG45</f>
        <v>0</v>
      </c>
      <c r="AH117" s="159">
        <f>TRUNC(+AH116/(172.057),3)*AH33</f>
        <v>0</v>
      </c>
      <c r="AI117" s="159">
        <f>TRUNC(+AI116/(1239.593),3)*AI23</f>
        <v>0</v>
      </c>
      <c r="AJ117" s="175">
        <f>TRUNC(+AJ116/(1239.593),3)*AJ23</f>
        <v>0</v>
      </c>
      <c r="AK117" s="175">
        <f>TRUNC(+AK116/(1239.593),3)*AK23</f>
        <v>0</v>
      </c>
      <c r="AL117" s="175">
        <f>TRUNC(+AL116/(1239.593),3)*AL23</f>
        <v>0</v>
      </c>
      <c r="AM117" s="175">
        <f>TRUNC(+AM116/80.513,3)*AM13</f>
        <v>0</v>
      </c>
      <c r="AN117" s="175">
        <f>TRUNC(+AN116/80.513,3)*AN13</f>
        <v>0</v>
      </c>
      <c r="AO117" s="175">
        <f>TRUNC(+AO116/80.513,3)*AO13</f>
        <v>0</v>
      </c>
      <c r="AP117" s="175">
        <f>TRUNC(+AP116/343.118,3)*AP3</f>
        <v>100.6985172</v>
      </c>
      <c r="AQ117" s="175">
        <f>TRUNC(+AQ116/343.118,3)*AQ3</f>
        <v>100.55661680000001</v>
      </c>
      <c r="AR117" s="175">
        <f>TRUNC(+AR116/343.118,3)*AR3</f>
        <v>100.51234820000001</v>
      </c>
      <c r="AS117" s="130" t="e">
        <f t="shared" ref="AS117:BD117" si="498">+AS116/AK114*AS75</f>
        <v>#DIV/0!</v>
      </c>
      <c r="AT117" s="130" t="e">
        <f t="shared" si="498"/>
        <v>#DIV/0!</v>
      </c>
      <c r="AU117" s="130" t="e">
        <f t="shared" si="498"/>
        <v>#DIV/0!</v>
      </c>
      <c r="AV117" s="130" t="e">
        <f t="shared" si="498"/>
        <v>#DIV/0!</v>
      </c>
      <c r="AW117" s="130" t="e">
        <f t="shared" si="498"/>
        <v>#DIV/0!</v>
      </c>
      <c r="AX117" s="130">
        <f t="shared" si="498"/>
        <v>0</v>
      </c>
      <c r="AY117" s="130">
        <f t="shared" si="498"/>
        <v>0</v>
      </c>
      <c r="AZ117" s="130">
        <f t="shared" si="498"/>
        <v>0</v>
      </c>
      <c r="BA117" s="130" t="e">
        <f t="shared" si="498"/>
        <v>#DIV/0!</v>
      </c>
      <c r="BB117" s="130" t="e">
        <f t="shared" si="498"/>
        <v>#DIV/0!</v>
      </c>
      <c r="BC117" s="130" t="e">
        <f t="shared" si="498"/>
        <v>#DIV/0!</v>
      </c>
      <c r="BD117" s="130" t="e">
        <f t="shared" si="498"/>
        <v>#DIV/0!</v>
      </c>
      <c r="BE117" s="131"/>
      <c r="BF117" s="131"/>
      <c r="BG117" s="131"/>
      <c r="BH117" s="131"/>
      <c r="BI117" s="131"/>
      <c r="BJ117" s="131"/>
      <c r="BK117" s="131"/>
      <c r="BL117" s="131"/>
      <c r="BM117" s="131"/>
      <c r="BN117" s="131"/>
      <c r="BO117" s="131"/>
      <c r="BP117" s="131"/>
      <c r="BQ117" s="131"/>
      <c r="BR117" s="131"/>
      <c r="BS117" s="131"/>
      <c r="BT117" s="131"/>
      <c r="BU117" s="131"/>
      <c r="BV117" s="131"/>
      <c r="BW117" s="131"/>
      <c r="BX117" s="131"/>
      <c r="BY117" s="131"/>
      <c r="BZ117" s="131"/>
      <c r="CA117" s="131"/>
      <c r="CB117" s="131"/>
      <c r="CC117" s="131"/>
      <c r="CD117" s="131"/>
      <c r="CE117" s="131"/>
      <c r="CF117" s="131"/>
      <c r="CG117" s="131"/>
      <c r="CH117" s="131"/>
    </row>
    <row r="118" spans="1:86" x14ac:dyDescent="0.3">
      <c r="H118" s="128"/>
    </row>
    <row r="119" spans="1:86" x14ac:dyDescent="0.3">
      <c r="A119" s="201"/>
      <c r="B119" s="201">
        <v>218881.19</v>
      </c>
      <c r="C119" s="201"/>
      <c r="D119" s="201"/>
      <c r="E119" s="201"/>
      <c r="F119" s="201"/>
      <c r="G119" s="201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>
        <v>263661.27</v>
      </c>
      <c r="AR119" s="64">
        <f>AQ126</f>
        <v>262916.81184620201</v>
      </c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</row>
    <row r="120" spans="1:86" x14ac:dyDescent="0.3">
      <c r="A120" s="127" t="s">
        <v>99</v>
      </c>
      <c r="B120" s="201">
        <v>218881.19</v>
      </c>
      <c r="C120" s="201" t="s">
        <v>100</v>
      </c>
      <c r="D120" s="201"/>
      <c r="E120" s="201"/>
      <c r="F120" s="201"/>
      <c r="G120" s="201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64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18">
        <f>AQ119/(AQ38+AQ49+AQ153+AQ59+AQ69+AQ79+AQ130+AQ89+AQ99+AQ109+AQ119)</f>
        <v>3.4286683719956905E-2</v>
      </c>
      <c r="AR120" s="118">
        <f>AR119/(AR38+AR49+AR153+AR59+AR69+AR79+AR130+AR89+AR99+AR109+AR119)</f>
        <v>3.4285667960874962E-2</v>
      </c>
      <c r="AS120" s="118"/>
      <c r="AT120" s="118"/>
      <c r="AU120" s="118"/>
      <c r="AV120" s="118"/>
      <c r="AW120" s="118"/>
      <c r="AX120" s="118"/>
      <c r="AY120" s="118"/>
      <c r="AZ120" s="118"/>
      <c r="BA120" s="118"/>
      <c r="BB120" s="118"/>
      <c r="BC120" s="118"/>
      <c r="BD120" s="118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</row>
    <row r="121" spans="1:86" x14ac:dyDescent="0.3">
      <c r="A121" s="127"/>
      <c r="B121" s="201"/>
      <c r="C121" s="201"/>
      <c r="D121" s="201"/>
      <c r="E121" s="201"/>
      <c r="F121" s="201"/>
      <c r="G121" s="145">
        <f>+B124/(B115+B124)</f>
        <v>1</v>
      </c>
      <c r="H121" s="118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64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>
        <f>+(AQ33*AQ120)</f>
        <v>-363.98742736662172</v>
      </c>
      <c r="AR121" s="43">
        <f>+(AR33*AR120)</f>
        <v>-119.13513951166179</v>
      </c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</row>
    <row r="122" spans="1:86" x14ac:dyDescent="0.3">
      <c r="A122" s="127"/>
      <c r="B122" s="201"/>
      <c r="C122" s="201" t="s">
        <v>101</v>
      </c>
      <c r="D122" s="201"/>
      <c r="E122" s="201"/>
      <c r="F122" s="201"/>
      <c r="G122" s="145"/>
      <c r="H122" s="118"/>
      <c r="I122" s="43"/>
      <c r="J122" s="43"/>
      <c r="K122" s="43"/>
      <c r="L122" s="43"/>
      <c r="M122" s="43"/>
      <c r="N122" s="43"/>
      <c r="O122" s="118"/>
      <c r="P122" s="118"/>
      <c r="Q122" s="118"/>
      <c r="R122" s="118"/>
      <c r="S122" s="118"/>
      <c r="T122" s="118"/>
      <c r="U122" s="118"/>
      <c r="V122" s="43"/>
      <c r="W122" s="64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8"/>
      <c r="AP122" s="118"/>
      <c r="AQ122" s="118">
        <f>AQ119/(AQ38+AQ49+AQ59+AQ69+AQ79+AQ89+AQ99+AQ109+AQ119)</f>
        <v>3.5209287842415074E-2</v>
      </c>
      <c r="AR122" s="118">
        <f>AR119/(AR38+AR49+AR59+AR69+AR79+AR89+AR99+AR109+AR119)</f>
        <v>3.5209287842415081E-2</v>
      </c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</row>
    <row r="123" spans="1:86" x14ac:dyDescent="0.3">
      <c r="A123" s="127"/>
      <c r="B123" s="201">
        <v>2969.8939999999998</v>
      </c>
      <c r="C123" s="201" t="s">
        <v>102</v>
      </c>
      <c r="D123" s="201"/>
      <c r="E123" s="201"/>
      <c r="F123" s="201"/>
      <c r="G123" s="145"/>
      <c r="H123" s="118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64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>
        <f>+AQ122*AQ34</f>
        <v>-369.66548189342166</v>
      </c>
      <c r="AR123" s="43">
        <f>+AR122*AR34</f>
        <v>-544.69049966518867</v>
      </c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</row>
    <row r="124" spans="1:86" x14ac:dyDescent="0.3">
      <c r="A124" s="1">
        <v>43308</v>
      </c>
      <c r="B124" s="201">
        <v>2969.8939999999998</v>
      </c>
      <c r="C124" s="201"/>
      <c r="D124" s="201"/>
      <c r="E124" s="201"/>
      <c r="F124" s="201"/>
      <c r="G124" s="20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64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>
        <f>+AQ119+AQ121+AQ123</f>
        <v>262927.61709074001</v>
      </c>
      <c r="AR124" s="111">
        <f>+AR119+AR121+AR123</f>
        <v>262252.98620702513</v>
      </c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</row>
    <row r="125" spans="1:86" s="112" customFormat="1" x14ac:dyDescent="0.3">
      <c r="B125" s="129"/>
      <c r="C125" s="129"/>
      <c r="D125" s="129"/>
      <c r="E125" s="129"/>
      <c r="F125" s="129"/>
      <c r="G125" s="129"/>
      <c r="H125" s="132">
        <f>H124*1.5%/365</f>
        <v>0</v>
      </c>
      <c r="I125" s="132">
        <f>I124*1.5%/365</f>
        <v>0</v>
      </c>
      <c r="J125" s="132">
        <f>J124*1.5%/365</f>
        <v>0</v>
      </c>
      <c r="K125" s="132">
        <f>K124*1.5%/365*3</f>
        <v>0</v>
      </c>
      <c r="L125" s="132">
        <f t="shared" ref="L125" si="499">L124*1.5%/365</f>
        <v>0</v>
      </c>
      <c r="M125" s="132">
        <f>M124*1.5%/365*3</f>
        <v>0</v>
      </c>
      <c r="N125" s="132">
        <f t="shared" ref="N125" si="500">N124*1.5%/365</f>
        <v>0</v>
      </c>
      <c r="O125" s="132">
        <f>O124*1.5%/365</f>
        <v>0</v>
      </c>
      <c r="P125" s="132">
        <f>P124*1.5%/365</f>
        <v>0</v>
      </c>
      <c r="Q125" s="132">
        <f>Q124*1.5%/365</f>
        <v>0</v>
      </c>
      <c r="R125" s="132"/>
      <c r="S125" s="132"/>
      <c r="T125" s="132">
        <f>T124*1.5%/365*3</f>
        <v>0</v>
      </c>
      <c r="U125" s="132"/>
      <c r="V125" s="132">
        <f>V124*1.5%/365</f>
        <v>0</v>
      </c>
      <c r="W125" s="131"/>
      <c r="X125" s="132">
        <f>X124*1.5%/365</f>
        <v>0</v>
      </c>
      <c r="Y125" s="132">
        <f>Y124*1.5%/365</f>
        <v>0</v>
      </c>
      <c r="Z125" s="132"/>
      <c r="AA125" s="132">
        <f t="shared" ref="AA125:AF125" si="501">AA124*1.5%/365</f>
        <v>0</v>
      </c>
      <c r="AB125" s="132">
        <f t="shared" si="501"/>
        <v>0</v>
      </c>
      <c r="AC125" s="132">
        <f t="shared" si="501"/>
        <v>0</v>
      </c>
      <c r="AD125" s="132">
        <f t="shared" si="501"/>
        <v>0</v>
      </c>
      <c r="AE125" s="132">
        <f t="shared" si="501"/>
        <v>0</v>
      </c>
      <c r="AF125" s="132">
        <f t="shared" si="501"/>
        <v>0</v>
      </c>
      <c r="AG125" s="132">
        <f>AG124*1.5%/365</f>
        <v>0</v>
      </c>
      <c r="AH125" s="132">
        <f>AH124*1.5%/365</f>
        <v>0</v>
      </c>
      <c r="AI125" s="132">
        <f>AI124*1.5%/365</f>
        <v>0</v>
      </c>
      <c r="AJ125" s="132">
        <f>AJ124*1.5%/365*3</f>
        <v>0</v>
      </c>
      <c r="AK125" s="132">
        <f>AK124*1.5%/365</f>
        <v>0</v>
      </c>
      <c r="AL125" s="132">
        <f>AL124*1.5%/365*2</f>
        <v>0</v>
      </c>
      <c r="AM125" s="132">
        <f>AM124*1.5%/365</f>
        <v>0</v>
      </c>
      <c r="AN125" s="132">
        <f>AN124*1.5%/365*3</f>
        <v>0</v>
      </c>
      <c r="AO125" s="132">
        <f t="shared" ref="AO125:AT125" si="502">AO124*1.5%/365</f>
        <v>0</v>
      </c>
      <c r="AP125" s="132">
        <f t="shared" si="502"/>
        <v>0</v>
      </c>
      <c r="AQ125" s="132">
        <f t="shared" si="502"/>
        <v>10.805244537975616</v>
      </c>
      <c r="AR125" s="132">
        <f t="shared" si="502"/>
        <v>10.777519981110622</v>
      </c>
      <c r="AS125" s="132">
        <f t="shared" si="502"/>
        <v>0</v>
      </c>
      <c r="AT125" s="132">
        <f t="shared" si="502"/>
        <v>0</v>
      </c>
      <c r="AU125" s="132">
        <f t="shared" ref="AU125:AV125" si="503">AU124*1.5%/365</f>
        <v>0</v>
      </c>
      <c r="AV125" s="132">
        <f t="shared" si="503"/>
        <v>0</v>
      </c>
      <c r="AW125" s="132">
        <f t="shared" ref="AW125:AX125" si="504">AW124*1.5%/365</f>
        <v>0</v>
      </c>
      <c r="AX125" s="132">
        <f t="shared" si="504"/>
        <v>0</v>
      </c>
      <c r="AY125" s="132">
        <f t="shared" ref="AY125:AZ125" si="505">AY124*1.5%/365</f>
        <v>0</v>
      </c>
      <c r="AZ125" s="132">
        <f t="shared" si="505"/>
        <v>0</v>
      </c>
      <c r="BA125" s="132">
        <f t="shared" ref="BA125:BB125" si="506">BA124*1.5%/365</f>
        <v>0</v>
      </c>
      <c r="BB125" s="132">
        <f t="shared" si="506"/>
        <v>0</v>
      </c>
      <c r="BC125" s="132">
        <f t="shared" ref="BC125:BD125" si="507">BC124*1.5%/365</f>
        <v>0</v>
      </c>
      <c r="BD125" s="132">
        <f t="shared" si="507"/>
        <v>0</v>
      </c>
      <c r="BE125" s="131"/>
      <c r="BF125" s="131"/>
      <c r="BG125" s="131"/>
      <c r="BH125" s="131"/>
      <c r="BI125" s="131"/>
      <c r="BJ125" s="131"/>
      <c r="BK125" s="131"/>
      <c r="BL125" s="131"/>
      <c r="BM125" s="131"/>
      <c r="BN125" s="131"/>
      <c r="BO125" s="131"/>
      <c r="BP125" s="131"/>
      <c r="BQ125" s="131"/>
      <c r="BR125" s="131"/>
      <c r="BS125" s="131"/>
      <c r="BT125" s="131"/>
      <c r="BU125" s="131"/>
      <c r="BV125" s="131"/>
      <c r="BW125" s="131"/>
      <c r="BX125" s="131"/>
      <c r="BY125" s="131"/>
      <c r="BZ125" s="131"/>
      <c r="CA125" s="131"/>
      <c r="CB125" s="131"/>
      <c r="CC125" s="131"/>
      <c r="CD125" s="131"/>
      <c r="CE125" s="131"/>
      <c r="CF125" s="131"/>
      <c r="CG125" s="131"/>
      <c r="CH125" s="131"/>
    </row>
    <row r="126" spans="1:86" s="112" customFormat="1" x14ac:dyDescent="0.3">
      <c r="B126" s="113"/>
      <c r="C126" s="129"/>
      <c r="D126" s="129"/>
      <c r="E126" s="129"/>
      <c r="F126" s="129"/>
      <c r="G126" s="129"/>
      <c r="H126" s="130">
        <f>+H124-H125</f>
        <v>0</v>
      </c>
      <c r="I126" s="130">
        <f>+I124-I125</f>
        <v>0</v>
      </c>
      <c r="J126" s="130">
        <f>+J124-J125</f>
        <v>0</v>
      </c>
      <c r="K126" s="130">
        <f>+K124-K125</f>
        <v>0</v>
      </c>
      <c r="L126" s="130">
        <f t="shared" ref="L126:N126" si="508">+L124-L125</f>
        <v>0</v>
      </c>
      <c r="M126" s="130">
        <f t="shared" si="508"/>
        <v>0</v>
      </c>
      <c r="N126" s="130">
        <f t="shared" si="508"/>
        <v>0</v>
      </c>
      <c r="O126" s="130">
        <f>+O124-O125</f>
        <v>0</v>
      </c>
      <c r="P126" s="130">
        <f>+P124-P125</f>
        <v>0</v>
      </c>
      <c r="Q126" s="130">
        <f>+Q124-Q125</f>
        <v>0</v>
      </c>
      <c r="R126" s="130"/>
      <c r="S126" s="130"/>
      <c r="T126" s="130">
        <f>+T124-T125</f>
        <v>0</v>
      </c>
      <c r="U126" s="130"/>
      <c r="V126" s="130">
        <f>+V124-V125</f>
        <v>0</v>
      </c>
      <c r="W126" s="131"/>
      <c r="X126" s="130">
        <f>+X124-X125</f>
        <v>0</v>
      </c>
      <c r="Y126" s="130">
        <f>+Y124-Y125</f>
        <v>0</v>
      </c>
      <c r="Z126" s="130"/>
      <c r="AA126" s="130">
        <f t="shared" ref="AA126:AL126" si="509">+AA124-AA125</f>
        <v>0</v>
      </c>
      <c r="AB126" s="130">
        <f t="shared" si="509"/>
        <v>0</v>
      </c>
      <c r="AC126" s="130">
        <f t="shared" si="509"/>
        <v>0</v>
      </c>
      <c r="AD126" s="130">
        <f t="shared" si="509"/>
        <v>0</v>
      </c>
      <c r="AE126" s="130">
        <f t="shared" si="509"/>
        <v>0</v>
      </c>
      <c r="AF126" s="130">
        <f t="shared" si="509"/>
        <v>0</v>
      </c>
      <c r="AG126" s="130">
        <f t="shared" si="509"/>
        <v>0</v>
      </c>
      <c r="AH126" s="130">
        <f t="shared" si="509"/>
        <v>0</v>
      </c>
      <c r="AI126" s="130">
        <f t="shared" si="509"/>
        <v>0</v>
      </c>
      <c r="AJ126" s="130">
        <f t="shared" si="509"/>
        <v>0</v>
      </c>
      <c r="AK126" s="130">
        <f t="shared" si="509"/>
        <v>0</v>
      </c>
      <c r="AL126" s="130">
        <f t="shared" si="509"/>
        <v>0</v>
      </c>
      <c r="AM126" s="130">
        <f t="shared" ref="AM126:AR126" si="510">+AM124-AM125</f>
        <v>0</v>
      </c>
      <c r="AN126" s="130">
        <f t="shared" si="510"/>
        <v>0</v>
      </c>
      <c r="AO126" s="130">
        <f t="shared" si="510"/>
        <v>0</v>
      </c>
      <c r="AP126" s="130">
        <f t="shared" si="510"/>
        <v>0</v>
      </c>
      <c r="AQ126" s="130">
        <f t="shared" si="510"/>
        <v>262916.81184620201</v>
      </c>
      <c r="AR126" s="130">
        <f t="shared" si="510"/>
        <v>262242.20868704404</v>
      </c>
      <c r="AS126" s="130">
        <f t="shared" ref="AS126:AY126" si="511">+AS124-AS125</f>
        <v>0</v>
      </c>
      <c r="AT126" s="130">
        <f t="shared" si="511"/>
        <v>0</v>
      </c>
      <c r="AU126" s="130">
        <f t="shared" si="511"/>
        <v>0</v>
      </c>
      <c r="AV126" s="130">
        <f t="shared" si="511"/>
        <v>0</v>
      </c>
      <c r="AW126" s="130">
        <f t="shared" si="511"/>
        <v>0</v>
      </c>
      <c r="AX126" s="130">
        <f t="shared" si="511"/>
        <v>0</v>
      </c>
      <c r="AY126" s="130">
        <f t="shared" si="511"/>
        <v>0</v>
      </c>
      <c r="AZ126" s="130">
        <f t="shared" ref="AZ126:BA126" si="512">+AZ124-AZ125</f>
        <v>0</v>
      </c>
      <c r="BA126" s="130">
        <f t="shared" si="512"/>
        <v>0</v>
      </c>
      <c r="BB126" s="130">
        <f t="shared" ref="BB126:BC126" si="513">+BB124-BB125</f>
        <v>0</v>
      </c>
      <c r="BC126" s="130">
        <f t="shared" si="513"/>
        <v>0</v>
      </c>
      <c r="BD126" s="130">
        <f t="shared" ref="BD126" si="514">+BD124-BD125</f>
        <v>0</v>
      </c>
      <c r="BE126" s="131"/>
      <c r="BF126" s="131"/>
      <c r="BG126" s="131"/>
      <c r="BH126" s="131"/>
      <c r="BI126" s="131"/>
      <c r="BJ126" s="131"/>
      <c r="BK126" s="131"/>
      <c r="BL126" s="131"/>
      <c r="BM126" s="131"/>
      <c r="BN126" s="131"/>
      <c r="BO126" s="131"/>
      <c r="BP126" s="131"/>
      <c r="BQ126" s="131"/>
      <c r="BR126" s="131"/>
      <c r="BS126" s="131"/>
      <c r="BT126" s="131"/>
      <c r="BU126" s="131"/>
      <c r="BV126" s="131"/>
      <c r="BW126" s="131"/>
      <c r="BX126" s="131"/>
      <c r="BY126" s="131"/>
      <c r="BZ126" s="131"/>
      <c r="CA126" s="131"/>
      <c r="CB126" s="131"/>
      <c r="CC126" s="131"/>
      <c r="CD126" s="131"/>
      <c r="CE126" s="131"/>
      <c r="CF126" s="131"/>
      <c r="CG126" s="131"/>
      <c r="CH126" s="131"/>
    </row>
    <row r="127" spans="1:86" s="112" customFormat="1" x14ac:dyDescent="0.3">
      <c r="A127" s="129"/>
      <c r="B127" s="129"/>
      <c r="C127" s="129"/>
      <c r="D127" s="129"/>
      <c r="E127" s="129"/>
      <c r="F127" s="129"/>
      <c r="G127" s="129"/>
      <c r="H127" s="130" t="e">
        <f>+H126/H119*100</f>
        <v>#DIV/0!</v>
      </c>
      <c r="I127" s="130">
        <f>+I126/B124*I85</f>
        <v>0</v>
      </c>
      <c r="J127" s="130">
        <f>+J126/$B$43*J85</f>
        <v>0</v>
      </c>
      <c r="K127" s="130">
        <f>+K126/$B$43*K85</f>
        <v>0</v>
      </c>
      <c r="L127" s="130">
        <f>+L126/$B$43*L85</f>
        <v>0</v>
      </c>
      <c r="M127" s="130">
        <f>+M126/$B$43*M85</f>
        <v>0</v>
      </c>
      <c r="N127" s="130">
        <f>+N126/$B$43*N85</f>
        <v>0</v>
      </c>
      <c r="O127" s="130">
        <f>+O126/$B$54*O76</f>
        <v>0</v>
      </c>
      <c r="P127" s="130">
        <f>+P126/$B$64*P65</f>
        <v>0</v>
      </c>
      <c r="Q127" s="130">
        <f>+Q126/$B$64*Q65</f>
        <v>0</v>
      </c>
      <c r="R127" s="130"/>
      <c r="S127" s="130"/>
      <c r="T127" s="130">
        <f>+T126/$B$74*T55</f>
        <v>0</v>
      </c>
      <c r="U127" s="130"/>
      <c r="V127" s="130" t="e">
        <f>+V126/N124*V85</f>
        <v>#DIV/0!</v>
      </c>
      <c r="W127" s="131"/>
      <c r="X127" s="130">
        <f>+X126/$B$54*X76</f>
        <v>0</v>
      </c>
      <c r="Y127" s="130">
        <f>+Y126/$B$54*Y76</f>
        <v>0</v>
      </c>
      <c r="Z127" s="130"/>
      <c r="AA127" s="130">
        <f t="shared" ref="AA127:AF127" si="515">+AA126/$B$54*AA76</f>
        <v>0</v>
      </c>
      <c r="AB127" s="130">
        <f t="shared" si="515"/>
        <v>0</v>
      </c>
      <c r="AC127" s="130">
        <f t="shared" si="515"/>
        <v>0</v>
      </c>
      <c r="AD127" s="130">
        <f t="shared" si="515"/>
        <v>0</v>
      </c>
      <c r="AE127" s="130">
        <f t="shared" si="515"/>
        <v>0</v>
      </c>
      <c r="AF127" s="130">
        <f t="shared" si="515"/>
        <v>0</v>
      </c>
      <c r="AG127" s="159">
        <f>TRUNC(+AG126/(2966.046),3)*AG55</f>
        <v>0</v>
      </c>
      <c r="AH127" s="159">
        <f>TRUNC(+AH126/(172.057),3)*AH43</f>
        <v>0</v>
      </c>
      <c r="AI127" s="159">
        <f>TRUNC(+AI126/(1239.593),3)*AI33</f>
        <v>0</v>
      </c>
      <c r="AJ127" s="175">
        <f>TRUNC(+AJ126/(1239.593),3)*AJ33</f>
        <v>0</v>
      </c>
      <c r="AK127" s="175">
        <f>TRUNC(+AK126/(1239.593),3)*AK33</f>
        <v>0</v>
      </c>
      <c r="AL127" s="175">
        <f>TRUNC(+AL126/(1239.593),3)*AL33</f>
        <v>0</v>
      </c>
      <c r="AM127" s="175">
        <f>TRUNC(+AM126/80.513,3)*AM23</f>
        <v>0</v>
      </c>
      <c r="AN127" s="175">
        <f>TRUNC(+AN126/80.513,3)*AN23</f>
        <v>0</v>
      </c>
      <c r="AO127" s="175">
        <f>TRUNC(+AO126/80.513,3)*AO23</f>
        <v>0</v>
      </c>
      <c r="AP127" s="175">
        <f>TRUNC(+AP126/343.118,3)*AP13</f>
        <v>0</v>
      </c>
      <c r="AQ127" s="175">
        <f>TRUNC(+AQ126/3574.517,3)*AQ3</f>
        <v>100.55798395000001</v>
      </c>
      <c r="AR127" s="175">
        <f>TRUNC(+AR126/3574.517,3)*AR3</f>
        <v>100.51234820000001</v>
      </c>
      <c r="AS127" s="130" t="e">
        <f t="shared" ref="AS127:BD127" si="516">+AS126/AK124*AS85</f>
        <v>#DIV/0!</v>
      </c>
      <c r="AT127" s="130" t="e">
        <f t="shared" si="516"/>
        <v>#DIV/0!</v>
      </c>
      <c r="AU127" s="130" t="e">
        <f t="shared" si="516"/>
        <v>#DIV/0!</v>
      </c>
      <c r="AV127" s="130" t="e">
        <f t="shared" si="516"/>
        <v>#DIV/0!</v>
      </c>
      <c r="AW127" s="130" t="e">
        <f t="shared" si="516"/>
        <v>#DIV/0!</v>
      </c>
      <c r="AX127" s="130" t="e">
        <f t="shared" si="516"/>
        <v>#DIV/0!</v>
      </c>
      <c r="AY127" s="130">
        <f t="shared" si="516"/>
        <v>0</v>
      </c>
      <c r="AZ127" s="130">
        <f t="shared" si="516"/>
        <v>0</v>
      </c>
      <c r="BA127" s="130" t="e">
        <f t="shared" si="516"/>
        <v>#DIV/0!</v>
      </c>
      <c r="BB127" s="130" t="e">
        <f t="shared" si="516"/>
        <v>#DIV/0!</v>
      </c>
      <c r="BC127" s="130" t="e">
        <f t="shared" si="516"/>
        <v>#DIV/0!</v>
      </c>
      <c r="BD127" s="130" t="e">
        <f t="shared" si="516"/>
        <v>#DIV/0!</v>
      </c>
      <c r="BE127" s="131"/>
      <c r="BF127" s="131"/>
      <c r="BG127" s="131"/>
      <c r="BH127" s="131"/>
      <c r="BI127" s="131"/>
      <c r="BJ127" s="131"/>
      <c r="BK127" s="131"/>
      <c r="BL127" s="131"/>
      <c r="BM127" s="131"/>
      <c r="BN127" s="131"/>
      <c r="BO127" s="131"/>
      <c r="BP127" s="131"/>
      <c r="BQ127" s="131"/>
      <c r="BR127" s="131"/>
      <c r="BS127" s="131"/>
      <c r="BT127" s="131"/>
      <c r="BU127" s="131"/>
      <c r="BV127" s="131"/>
      <c r="BW127" s="131"/>
      <c r="BX127" s="131"/>
      <c r="BY127" s="131"/>
      <c r="BZ127" s="131"/>
      <c r="CA127" s="131"/>
      <c r="CB127" s="131"/>
      <c r="CC127" s="131"/>
      <c r="CD127" s="131"/>
      <c r="CE127" s="131"/>
      <c r="CF127" s="131"/>
      <c r="CG127" s="131"/>
      <c r="CH127" s="131"/>
    </row>
    <row r="128" spans="1:86" x14ac:dyDescent="0.3">
      <c r="H128" s="128"/>
    </row>
    <row r="129" spans="1:86" x14ac:dyDescent="0.3">
      <c r="H129" s="128"/>
    </row>
    <row r="130" spans="1:86" x14ac:dyDescent="0.3">
      <c r="A130" s="201"/>
      <c r="B130" s="201">
        <v>218881.19</v>
      </c>
      <c r="C130" s="201"/>
      <c r="D130" s="201"/>
      <c r="E130" s="201"/>
      <c r="F130" s="201"/>
      <c r="G130" s="201"/>
      <c r="H130" s="64"/>
      <c r="I130" s="64"/>
      <c r="J130" s="64"/>
      <c r="K130" s="64"/>
      <c r="L130" s="64"/>
      <c r="M130" s="64"/>
      <c r="N130" s="64"/>
      <c r="O130" s="64"/>
      <c r="P130" s="64"/>
      <c r="Q130" s="64">
        <v>218881.19</v>
      </c>
      <c r="R130" s="64"/>
      <c r="S130" s="64"/>
      <c r="T130" s="64">
        <v>218881.19</v>
      </c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>
        <v>50000</v>
      </c>
      <c r="AI130" s="64">
        <f t="shared" ref="AI130:AX130" si="517">+AH137</f>
        <v>50109.744644874627</v>
      </c>
      <c r="AJ130" s="64">
        <f t="shared" si="517"/>
        <v>50117.727356243158</v>
      </c>
      <c r="AK130" s="64">
        <f t="shared" si="517"/>
        <v>50212.61786053441</v>
      </c>
      <c r="AL130" s="64">
        <f t="shared" si="517"/>
        <v>50484.413531167462</v>
      </c>
      <c r="AM130" s="64">
        <f t="shared" si="517"/>
        <v>50562.30343183675</v>
      </c>
      <c r="AN130" s="64">
        <f t="shared" si="517"/>
        <v>50634.918225255838</v>
      </c>
      <c r="AO130" s="64">
        <f t="shared" si="517"/>
        <v>50818.524690752907</v>
      </c>
      <c r="AP130" s="64">
        <f t="shared" si="517"/>
        <v>50937.795825032896</v>
      </c>
      <c r="AQ130" s="64">
        <f t="shared" si="517"/>
        <v>50986.228840928699</v>
      </c>
      <c r="AR130" s="64">
        <f t="shared" si="517"/>
        <v>50913.74933149312</v>
      </c>
      <c r="AS130" s="64">
        <f t="shared" si="517"/>
        <v>50888.587455328328</v>
      </c>
      <c r="AT130" s="64">
        <f t="shared" si="517"/>
        <v>50943.447309960196</v>
      </c>
      <c r="AU130" s="64">
        <f t="shared" si="517"/>
        <v>50857.391678745611</v>
      </c>
      <c r="AV130" s="64">
        <f t="shared" si="517"/>
        <v>50693.801516717285</v>
      </c>
      <c r="AW130" s="64">
        <f t="shared" si="517"/>
        <v>50510.342545352614</v>
      </c>
      <c r="AX130" s="64">
        <f t="shared" si="517"/>
        <v>50511.571334925531</v>
      </c>
      <c r="AY130" s="64">
        <f>+AX137</f>
        <v>50526.798939001535</v>
      </c>
      <c r="AZ130" s="64">
        <f>+AY137</f>
        <v>50506.631675092103</v>
      </c>
      <c r="BA130" s="64">
        <f>+AZ137</f>
        <v>50501.130082328913</v>
      </c>
      <c r="BB130" s="64">
        <f>+BA137-3.17</f>
        <v>50587.882041508783</v>
      </c>
      <c r="BC130" s="64">
        <f>+BB137</f>
        <v>50694.19032822959</v>
      </c>
      <c r="BD130" s="64">
        <f>+BC137</f>
        <v>50478.179938071778</v>
      </c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</row>
    <row r="131" spans="1:86" x14ac:dyDescent="0.3">
      <c r="A131" s="127" t="s">
        <v>104</v>
      </c>
      <c r="B131" s="201">
        <v>218881.19</v>
      </c>
      <c r="C131" s="201" t="s">
        <v>100</v>
      </c>
      <c r="D131" s="201"/>
      <c r="E131" s="201"/>
      <c r="F131" s="201"/>
      <c r="G131" s="201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>
        <f>Q130/(N61+N72+N82+Q130+N186)</f>
        <v>0.9995298796607166</v>
      </c>
      <c r="R131" s="118"/>
      <c r="S131" s="118"/>
      <c r="T131" s="118">
        <f>Q130/(Q61+Q72+Q82+Q130+Q186)</f>
        <v>0.15754129472663617</v>
      </c>
      <c r="U131" s="118"/>
      <c r="V131" s="118"/>
      <c r="W131" s="64"/>
      <c r="X131" s="118"/>
      <c r="Y131" s="118"/>
      <c r="Z131" s="118"/>
      <c r="AA131" s="118"/>
      <c r="AB131" s="118"/>
      <c r="AC131" s="118"/>
      <c r="AD131" s="118"/>
      <c r="AE131" s="118"/>
      <c r="AF131" s="118"/>
      <c r="AG131" s="118"/>
      <c r="AH131" s="118">
        <f>+AH130/(AH38+AH49+AH153+AH59+AH69+AH79+AH130)</f>
        <v>7.0586817953908337E-3</v>
      </c>
      <c r="AI131" s="118">
        <f>+AI130/(AI38+AI49+AI153+AI59+AI69+AI79+AI130+AI89)</f>
        <v>6.9342602261940204E-3</v>
      </c>
      <c r="AJ131" s="118">
        <f>+AJ130/(AJ38+AJ49+AJ153+AJ59+AJ69+AJ79+AJ130+AJ89)</f>
        <v>6.9279760198832814E-3</v>
      </c>
      <c r="AK131" s="118">
        <f>+AK130/(AK38+AK49+AK153+AK59+AK69+AK79+AK130+AK89)</f>
        <v>6.9228193133063073E-3</v>
      </c>
      <c r="AL131" s="118">
        <f>+AL130/(AL38+AL49+AL153+AL59+AL69+AL79+AL130+AL89)</f>
        <v>6.905015428314433E-3</v>
      </c>
      <c r="AM131" s="118">
        <f>+AM130/(AM38+AM49+AM153+AM59+AM69+AM79+AM130+AM89+AM99)</f>
        <v>6.9205005947246779E-3</v>
      </c>
      <c r="AN131" s="118">
        <f>+AN130/(AN38+AN49+AN153+AN59+AN69+AN79+AN130+AN89+AN99)</f>
        <v>6.8881274958688312E-3</v>
      </c>
      <c r="AO131" s="118">
        <f>+AO130/(AO38+AO49+AO153+AO59+AO69+AO79+AO130+AO89+AO99)</f>
        <v>6.8779538214762594E-3</v>
      </c>
      <c r="AP131" s="118">
        <f>AP130/(AP38+AP49+AP153+AP59+AP69+AP79+AP130+AP89+AP99+AP109)</f>
        <v>6.8521467174061023E-3</v>
      </c>
      <c r="AQ131" s="118">
        <f>AQ130/(AQ38+AQ49+AQ153+AQ59+AQ69+AQ79+AQ130+AQ89+AQ99+AQ109+AQ119)</f>
        <v>6.6302824921622618E-3</v>
      </c>
      <c r="AR131" s="118">
        <f>AR130/(AR38+AR49+AR153+AR59+AR69+AR79+AR130+AR89+AR99+AR109+AR119)</f>
        <v>6.6394076969255216E-3</v>
      </c>
      <c r="AS131" s="118">
        <f>AS130/(AS38+AS153+AS130)</f>
        <v>6.6528604713197081E-3</v>
      </c>
      <c r="AT131" s="118">
        <f>AT130/(AT38+AT153+AT130)</f>
        <v>6.6594872743019279E-3</v>
      </c>
      <c r="AU131" s="118">
        <f>AU130/(AU38+AU153+AU130)</f>
        <v>6.6811188946698805E-3</v>
      </c>
      <c r="AV131" s="118">
        <f>AV130/(AV38+AV153+AV130)</f>
        <v>6.6795920333628522E-3</v>
      </c>
      <c r="AW131" s="118">
        <f>AW130/(AW38+AW153+AW130)</f>
        <v>6.6714639032232131E-3</v>
      </c>
      <c r="AX131" s="118">
        <f>AX130/(AX38+AX153+AX130+AX49)</f>
        <v>6.4439323148995711E-3</v>
      </c>
      <c r="AY131" s="118">
        <f t="shared" ref="AY131:BD131" si="518">AY130/(AY38+AY49+AY153+AY130+AY141)</f>
        <v>6.4097785152501122E-3</v>
      </c>
      <c r="AZ131" s="118">
        <f t="shared" si="518"/>
        <v>6.4038504234460898E-3</v>
      </c>
      <c r="BA131" s="118">
        <f t="shared" si="518"/>
        <v>6.3948360347983362E-3</v>
      </c>
      <c r="BB131" s="118">
        <f t="shared" si="518"/>
        <v>6.3770787057395298E-3</v>
      </c>
      <c r="BC131" s="118">
        <f t="shared" si="518"/>
        <v>6.3787539145088151E-3</v>
      </c>
      <c r="BD131" s="118">
        <f t="shared" si="518"/>
        <v>6.3762990398684568E-3</v>
      </c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</row>
    <row r="132" spans="1:86" x14ac:dyDescent="0.3">
      <c r="A132" s="127"/>
      <c r="B132" s="201"/>
      <c r="C132" s="201"/>
      <c r="D132" s="201"/>
      <c r="E132" s="201"/>
      <c r="F132" s="201"/>
      <c r="G132" s="145">
        <f>+B135/(B86+B135)</f>
        <v>1</v>
      </c>
      <c r="H132" s="118"/>
      <c r="I132" s="43"/>
      <c r="J132" s="43"/>
      <c r="K132" s="43"/>
      <c r="L132" s="43"/>
      <c r="M132" s="43"/>
      <c r="N132" s="43"/>
      <c r="O132" s="43"/>
      <c r="P132" s="43"/>
      <c r="Q132" s="43">
        <f>+(Q56*Q131)</f>
        <v>124829.54631376435</v>
      </c>
      <c r="R132" s="43"/>
      <c r="S132" s="43"/>
      <c r="T132" s="43">
        <f>+(T56*T131)</f>
        <v>19614.834782775357</v>
      </c>
      <c r="U132" s="43"/>
      <c r="V132" s="43"/>
      <c r="W132" s="64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>
        <f t="shared" ref="AH132:AN132" si="519">+(AH33*AH131)</f>
        <v>111.8040340815094</v>
      </c>
      <c r="AI132" s="43">
        <f t="shared" si="519"/>
        <v>10.042428645520852</v>
      </c>
      <c r="AJ132" s="43">
        <f t="shared" si="519"/>
        <v>101.08186433214598</v>
      </c>
      <c r="AK132" s="43">
        <f t="shared" si="519"/>
        <v>273.87045782421723</v>
      </c>
      <c r="AL132" s="43">
        <f t="shared" si="519"/>
        <v>82.046048031961348</v>
      </c>
      <c r="AM132" s="43">
        <f t="shared" si="519"/>
        <v>74.695765988864295</v>
      </c>
      <c r="AN132" s="43">
        <f t="shared" si="519"/>
        <v>189.87253559086625</v>
      </c>
      <c r="AO132" s="43">
        <f t="shared" ref="AO132:AP132" si="520">+(AO33*AO131)</f>
        <v>121.36455438595203</v>
      </c>
      <c r="AP132" s="43">
        <f t="shared" si="520"/>
        <v>50.528426481483457</v>
      </c>
      <c r="AQ132" s="43">
        <f t="shared" ref="AQ132:AR132" si="521">+(AQ33*AQ131)</f>
        <v>-70.387077582291425</v>
      </c>
      <c r="AR132" s="43">
        <f t="shared" si="521"/>
        <v>-23.070478403706659</v>
      </c>
      <c r="AS132" s="43">
        <f t="shared" ref="AS132:AX132" si="522">+(AS33*AS131)</f>
        <v>61.141328043514285</v>
      </c>
      <c r="AT132" s="43">
        <f t="shared" si="522"/>
        <v>-83.965515524405234</v>
      </c>
      <c r="AU132" s="43">
        <f t="shared" si="522"/>
        <v>-161.50676949780495</v>
      </c>
      <c r="AV132" s="43">
        <f t="shared" si="522"/>
        <v>-181.38311855378197</v>
      </c>
      <c r="AW132" s="43">
        <f t="shared" si="522"/>
        <v>3.3046928840807799</v>
      </c>
      <c r="AX132" s="43">
        <f t="shared" si="522"/>
        <v>21.457703546503787</v>
      </c>
      <c r="AY132" s="43">
        <f t="shared" ref="AY132:BD132" si="523">+(AY33*AY131)</f>
        <v>-18.091563606334539</v>
      </c>
      <c r="AZ132" s="43">
        <f t="shared" si="523"/>
        <v>-3.4261185622355796</v>
      </c>
      <c r="BA132" s="43">
        <f t="shared" si="523"/>
        <v>92.00112895566896</v>
      </c>
      <c r="BB132" s="43">
        <f t="shared" si="523"/>
        <v>108.39169523053486</v>
      </c>
      <c r="BC132" s="43">
        <f t="shared" si="523"/>
        <v>-209.78628554981262</v>
      </c>
      <c r="BD132" s="43">
        <f t="shared" si="523"/>
        <v>187.21864640539454</v>
      </c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</row>
    <row r="133" spans="1:86" x14ac:dyDescent="0.3">
      <c r="A133" s="127"/>
      <c r="B133" s="201"/>
      <c r="C133" s="201" t="s">
        <v>101</v>
      </c>
      <c r="D133" s="201"/>
      <c r="E133" s="201"/>
      <c r="F133" s="201"/>
      <c r="G133" s="145"/>
      <c r="H133" s="118"/>
      <c r="I133" s="43"/>
      <c r="J133" s="43"/>
      <c r="K133" s="43"/>
      <c r="L133" s="43"/>
      <c r="M133" s="43"/>
      <c r="N133" s="43"/>
      <c r="O133" s="118"/>
      <c r="P133" s="118"/>
      <c r="Q133" s="118">
        <f>+Q130/(Q82+Q130+Q72+Q61)</f>
        <v>1.0001557653095245</v>
      </c>
      <c r="R133" s="118"/>
      <c r="S133" s="118"/>
      <c r="T133" s="118">
        <f>+T130/(T82+T130+T72+T61)</f>
        <v>1.0008768900295202</v>
      </c>
      <c r="U133" s="118"/>
      <c r="V133" s="43"/>
      <c r="W133" s="64"/>
      <c r="X133" s="118"/>
      <c r="Y133" s="118"/>
      <c r="Z133" s="118"/>
      <c r="AA133" s="118"/>
      <c r="AB133" s="118"/>
      <c r="AC133" s="118"/>
      <c r="AD133" s="118"/>
      <c r="AE133" s="118"/>
      <c r="AF133" s="118"/>
      <c r="AG133" s="118"/>
      <c r="AH133" s="118">
        <v>0</v>
      </c>
      <c r="AI133" s="118">
        <v>0</v>
      </c>
      <c r="AJ133" s="118">
        <v>0</v>
      </c>
      <c r="AK133" s="118">
        <v>0</v>
      </c>
      <c r="AL133" s="118">
        <v>0</v>
      </c>
      <c r="AM133" s="118">
        <v>0</v>
      </c>
      <c r="AN133" s="118">
        <v>0</v>
      </c>
      <c r="AO133" s="118">
        <v>0</v>
      </c>
      <c r="AP133" s="118">
        <v>0</v>
      </c>
      <c r="AQ133" s="118">
        <v>0</v>
      </c>
      <c r="AR133" s="118">
        <v>0</v>
      </c>
      <c r="AS133" s="118">
        <v>0</v>
      </c>
      <c r="AT133" s="118">
        <v>0</v>
      </c>
      <c r="AU133" s="118">
        <v>0</v>
      </c>
      <c r="AV133" s="118">
        <v>0</v>
      </c>
      <c r="AW133" s="118">
        <v>0</v>
      </c>
      <c r="AX133" s="118">
        <v>0</v>
      </c>
      <c r="AY133" s="118">
        <v>0</v>
      </c>
      <c r="AZ133" s="118">
        <v>0</v>
      </c>
      <c r="BA133" s="118">
        <v>0</v>
      </c>
      <c r="BB133" s="118">
        <v>0</v>
      </c>
      <c r="BC133" s="118">
        <v>0</v>
      </c>
      <c r="BD133" s="118">
        <v>0</v>
      </c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</row>
    <row r="134" spans="1:86" x14ac:dyDescent="0.3">
      <c r="A134" s="127"/>
      <c r="B134" s="201">
        <v>2969.8939999999998</v>
      </c>
      <c r="C134" s="201" t="s">
        <v>102</v>
      </c>
      <c r="D134" s="201"/>
      <c r="E134" s="201"/>
      <c r="F134" s="201"/>
      <c r="G134" s="145"/>
      <c r="H134" s="118"/>
      <c r="I134" s="43"/>
      <c r="J134" s="43"/>
      <c r="K134" s="43"/>
      <c r="L134" s="43"/>
      <c r="M134" s="43"/>
      <c r="N134" s="43"/>
      <c r="O134" s="43"/>
      <c r="P134" s="43"/>
      <c r="Q134" s="43">
        <f>+Q133*Q67</f>
        <v>100.32103001161229</v>
      </c>
      <c r="R134" s="43"/>
      <c r="S134" s="43"/>
      <c r="T134" s="43">
        <f>+T133*T57</f>
        <v>100.07603890511704</v>
      </c>
      <c r="U134" s="43"/>
      <c r="V134" s="43"/>
      <c r="W134" s="64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>
        <f t="shared" ref="AH134:AN134" si="524">+AH133*AH34</f>
        <v>0</v>
      </c>
      <c r="AI134" s="43">
        <f t="shared" si="524"/>
        <v>0</v>
      </c>
      <c r="AJ134" s="43">
        <f t="shared" si="524"/>
        <v>0</v>
      </c>
      <c r="AK134" s="43">
        <f t="shared" si="524"/>
        <v>0</v>
      </c>
      <c r="AL134" s="43">
        <f t="shared" si="524"/>
        <v>0</v>
      </c>
      <c r="AM134" s="43">
        <f t="shared" si="524"/>
        <v>0</v>
      </c>
      <c r="AN134" s="43">
        <f t="shared" si="524"/>
        <v>0</v>
      </c>
      <c r="AO134" s="43">
        <f t="shared" ref="AO134:AP134" si="525">+AO133*AO34</f>
        <v>0</v>
      </c>
      <c r="AP134" s="43">
        <f t="shared" si="525"/>
        <v>0</v>
      </c>
      <c r="AQ134" s="43">
        <f t="shared" ref="AQ134:AR134" si="526">+AQ133*AQ34</f>
        <v>0</v>
      </c>
      <c r="AR134" s="43">
        <f t="shared" si="526"/>
        <v>0</v>
      </c>
      <c r="AS134" s="43">
        <f t="shared" ref="AS134:AT134" si="527">+AS133*AS34</f>
        <v>0</v>
      </c>
      <c r="AT134" s="43">
        <f t="shared" si="527"/>
        <v>0</v>
      </c>
      <c r="AU134" s="43">
        <f t="shared" ref="AU134:AV134" si="528">+AU133*AU34</f>
        <v>0</v>
      </c>
      <c r="AV134" s="43">
        <f t="shared" si="528"/>
        <v>0</v>
      </c>
      <c r="AW134" s="43">
        <f t="shared" ref="AW134:AX134" si="529">+AW133*AW34</f>
        <v>0</v>
      </c>
      <c r="AX134" s="43">
        <f t="shared" si="529"/>
        <v>0</v>
      </c>
      <c r="AY134" s="43">
        <f t="shared" ref="AY134:AZ134" si="530">+AY133*AY34</f>
        <v>0</v>
      </c>
      <c r="AZ134" s="43">
        <f t="shared" si="530"/>
        <v>0</v>
      </c>
      <c r="BA134" s="43">
        <f t="shared" ref="BA134:BB134" si="531">+BA133*BA34</f>
        <v>0</v>
      </c>
      <c r="BB134" s="43">
        <f t="shared" si="531"/>
        <v>0</v>
      </c>
      <c r="BC134" s="43">
        <f t="shared" ref="BC134:BD134" si="532">+BC133*BC34</f>
        <v>0</v>
      </c>
      <c r="BD134" s="43">
        <f t="shared" si="532"/>
        <v>0</v>
      </c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</row>
    <row r="135" spans="1:86" x14ac:dyDescent="0.3">
      <c r="A135" s="1">
        <v>43308</v>
      </c>
      <c r="B135" s="201">
        <v>2969.8939999999998</v>
      </c>
      <c r="C135" s="201"/>
      <c r="D135" s="201"/>
      <c r="E135" s="201"/>
      <c r="F135" s="201"/>
      <c r="G135" s="20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>
        <f>+Q130+Q132+Q134</f>
        <v>343811.05734377599</v>
      </c>
      <c r="R135" s="111"/>
      <c r="S135" s="111"/>
      <c r="T135" s="111">
        <f>+T130+T132+T134</f>
        <v>238596.10082168048</v>
      </c>
      <c r="U135" s="111"/>
      <c r="V135" s="111"/>
      <c r="W135" s="64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>
        <f t="shared" ref="AH135:AN135" si="533">+AH130+AH132+AH134</f>
        <v>50111.804034081506</v>
      </c>
      <c r="AI135" s="111">
        <f t="shared" si="533"/>
        <v>50119.78707352015</v>
      </c>
      <c r="AJ135" s="111">
        <f t="shared" si="533"/>
        <v>50218.809220575306</v>
      </c>
      <c r="AK135" s="111">
        <f t="shared" si="533"/>
        <v>50486.488318358628</v>
      </c>
      <c r="AL135" s="111">
        <f t="shared" si="533"/>
        <v>50566.459579199422</v>
      </c>
      <c r="AM135" s="111">
        <f t="shared" si="533"/>
        <v>50636.999197825615</v>
      </c>
      <c r="AN135" s="111">
        <f t="shared" si="533"/>
        <v>50824.790760846707</v>
      </c>
      <c r="AO135" s="111">
        <f t="shared" ref="AO135:AP135" si="534">+AO130+AO132+AO134</f>
        <v>50939.88924513886</v>
      </c>
      <c r="AP135" s="111">
        <f t="shared" si="534"/>
        <v>50988.324251514379</v>
      </c>
      <c r="AQ135" s="111">
        <f t="shared" ref="AQ135:AR135" si="535">+AQ130+AQ132+AQ134</f>
        <v>50915.841763346405</v>
      </c>
      <c r="AR135" s="111">
        <f t="shared" si="535"/>
        <v>50890.678853089412</v>
      </c>
      <c r="AS135" s="111">
        <f t="shared" ref="AS135:AY135" si="536">+AS130+AS132+AS134</f>
        <v>50949.728783371844</v>
      </c>
      <c r="AT135" s="111">
        <f t="shared" si="536"/>
        <v>50859.481794435793</v>
      </c>
      <c r="AU135" s="111">
        <f t="shared" si="536"/>
        <v>50695.884909247805</v>
      </c>
      <c r="AV135" s="111">
        <f t="shared" si="536"/>
        <v>50512.4183981635</v>
      </c>
      <c r="AW135" s="111">
        <f t="shared" si="536"/>
        <v>50513.647238236692</v>
      </c>
      <c r="AX135" s="111">
        <f t="shared" si="536"/>
        <v>50533.029038472036</v>
      </c>
      <c r="AY135" s="111">
        <f t="shared" si="536"/>
        <v>50508.707375395199</v>
      </c>
      <c r="AZ135" s="111">
        <f t="shared" ref="AZ135:BA135" si="537">+AZ130+AZ132+AZ134</f>
        <v>50503.205556529865</v>
      </c>
      <c r="BA135" s="111">
        <f t="shared" si="537"/>
        <v>50593.131211284584</v>
      </c>
      <c r="BB135" s="111">
        <f t="shared" ref="BB135:BC135" si="538">+BB130+BB132+BB134</f>
        <v>50696.27373673932</v>
      </c>
      <c r="BC135" s="111">
        <f t="shared" si="538"/>
        <v>50484.40404267978</v>
      </c>
      <c r="BD135" s="111">
        <f t="shared" ref="BD135" si="539">+BD130+BD132+BD134</f>
        <v>50665.398584477174</v>
      </c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</row>
    <row r="136" spans="1:86" s="154" customFormat="1" x14ac:dyDescent="0.3">
      <c r="B136" s="170"/>
      <c r="C136" s="170"/>
      <c r="D136" s="170"/>
      <c r="E136" s="170"/>
      <c r="F136" s="170"/>
      <c r="G136" s="170"/>
      <c r="H136" s="171">
        <f>H135*1.5%/365</f>
        <v>0</v>
      </c>
      <c r="I136" s="171">
        <f>I135*1.5%/365</f>
        <v>0</v>
      </c>
      <c r="J136" s="171">
        <f>J135*1.5%/365</f>
        <v>0</v>
      </c>
      <c r="K136" s="171">
        <f>K135*1.5%/365*3</f>
        <v>0</v>
      </c>
      <c r="L136" s="171">
        <f t="shared" ref="L136" si="540">L135*1.5%/365</f>
        <v>0</v>
      </c>
      <c r="M136" s="171">
        <f>M135*1.5%/365*3</f>
        <v>0</v>
      </c>
      <c r="N136" s="171">
        <f t="shared" ref="N136" si="541">N135*1.5%/365</f>
        <v>0</v>
      </c>
      <c r="O136" s="171">
        <f>O135*1.5%/365</f>
        <v>0</v>
      </c>
      <c r="P136" s="171">
        <f>P135*1.5%/365</f>
        <v>0</v>
      </c>
      <c r="Q136" s="171">
        <f>Q135*1.5%/365</f>
        <v>14.129221534675725</v>
      </c>
      <c r="R136" s="171"/>
      <c r="S136" s="171"/>
      <c r="T136" s="171">
        <f>T135*1.5%/365*3</f>
        <v>29.415957635549645</v>
      </c>
      <c r="U136" s="171"/>
      <c r="V136" s="171">
        <f>V135*1.5%/365</f>
        <v>0</v>
      </c>
      <c r="W136" s="172"/>
      <c r="X136" s="171">
        <f>X135*1.5%/365</f>
        <v>0</v>
      </c>
      <c r="Y136" s="171">
        <f>Y135*1.5%/365</f>
        <v>0</v>
      </c>
      <c r="Z136" s="171"/>
      <c r="AA136" s="171">
        <f t="shared" ref="AA136:AF136" si="542">AA135*1.5%/365</f>
        <v>0</v>
      </c>
      <c r="AB136" s="171">
        <f t="shared" si="542"/>
        <v>0</v>
      </c>
      <c r="AC136" s="171">
        <f t="shared" si="542"/>
        <v>0</v>
      </c>
      <c r="AD136" s="171">
        <f t="shared" si="542"/>
        <v>0</v>
      </c>
      <c r="AE136" s="171">
        <f t="shared" si="542"/>
        <v>0</v>
      </c>
      <c r="AF136" s="171">
        <f t="shared" si="542"/>
        <v>0</v>
      </c>
      <c r="AG136" s="171">
        <f>AG135*1.5%/365</f>
        <v>0</v>
      </c>
      <c r="AH136" s="171">
        <f>AH135*1.5%/365</f>
        <v>2.0593892068800619</v>
      </c>
      <c r="AI136" s="171">
        <f>AI135*1.5%/365</f>
        <v>2.0597172769939784</v>
      </c>
      <c r="AJ136" s="171">
        <f>AJ135*1.5%/365*3</f>
        <v>6.1913600408928451</v>
      </c>
      <c r="AK136" s="171">
        <f>AK135*1.5%/365</f>
        <v>2.0747871911654228</v>
      </c>
      <c r="AL136" s="171">
        <f>AL135*1.5%/365*2</f>
        <v>4.1561473626739245</v>
      </c>
      <c r="AM136" s="171">
        <f>AM135*1.5%/365</f>
        <v>2.0809725697736554</v>
      </c>
      <c r="AN136" s="171">
        <f>AN135*1.5%/365*3</f>
        <v>6.2660700938030178</v>
      </c>
      <c r="AO136" s="171">
        <f>AO135*1.5%/365</f>
        <v>2.0934201059646105</v>
      </c>
      <c r="AP136" s="171">
        <f>AP135*1.5%/365</f>
        <v>2.0954105856786729</v>
      </c>
      <c r="AQ136" s="171">
        <f>AQ135*1.5%/365</f>
        <v>2.0924318532882085</v>
      </c>
      <c r="AR136" s="171">
        <f>AR135*1.5%/365</f>
        <v>2.0913977610858661</v>
      </c>
      <c r="AS136" s="171">
        <f>AS135*1.5%/365*3</f>
        <v>6.281473411648582</v>
      </c>
      <c r="AT136" s="171">
        <f>AT135*1.5%/365</f>
        <v>2.0901156901822926</v>
      </c>
      <c r="AU136" s="171">
        <f>AU135*1.5%/365</f>
        <v>2.0833925305170329</v>
      </c>
      <c r="AV136" s="171">
        <f>AV135*1.5%/365</f>
        <v>2.0758528108834313</v>
      </c>
      <c r="AW136" s="171">
        <f>AW135*1.5%/365</f>
        <v>2.0759033111604119</v>
      </c>
      <c r="AX136" s="171">
        <f>AX135*1.5%/365*3</f>
        <v>6.2300994704965511</v>
      </c>
      <c r="AY136" s="171">
        <f>AY135*1.5%/365</f>
        <v>2.0757003030984329</v>
      </c>
      <c r="AZ136" s="171">
        <f>AZ135*1.5%/365</f>
        <v>2.0754742009532818</v>
      </c>
      <c r="BA136" s="171">
        <f>BA135*1.5%/365</f>
        <v>2.0791697758062155</v>
      </c>
      <c r="BB136" s="171">
        <f>BB135*1.5%/365</f>
        <v>2.0834085097290131</v>
      </c>
      <c r="BC136" s="171">
        <f>BC135*1.5%/365*3</f>
        <v>6.2241046080016158</v>
      </c>
      <c r="BD136" s="171">
        <f>BD135*1.5%/365</f>
        <v>2.0821396678552264</v>
      </c>
      <c r="BE136" s="172"/>
      <c r="BF136" s="172"/>
      <c r="BG136" s="172"/>
      <c r="BH136" s="172"/>
      <c r="BI136" s="172"/>
      <c r="BJ136" s="172"/>
      <c r="BK136" s="172"/>
      <c r="BL136" s="172"/>
      <c r="BM136" s="172"/>
      <c r="BN136" s="172"/>
      <c r="BO136" s="172"/>
      <c r="BP136" s="172"/>
      <c r="BQ136" s="172"/>
      <c r="BR136" s="172"/>
      <c r="BS136" s="172"/>
      <c r="BT136" s="172"/>
      <c r="BU136" s="172"/>
      <c r="BV136" s="172"/>
      <c r="BW136" s="172"/>
      <c r="BX136" s="172"/>
      <c r="BY136" s="172"/>
      <c r="BZ136" s="172"/>
      <c r="CA136" s="172"/>
      <c r="CB136" s="172"/>
      <c r="CC136" s="172"/>
      <c r="CD136" s="172"/>
      <c r="CE136" s="172"/>
      <c r="CF136" s="172"/>
      <c r="CG136" s="172"/>
      <c r="CH136" s="172"/>
    </row>
    <row r="137" spans="1:86" s="154" customFormat="1" x14ac:dyDescent="0.3">
      <c r="B137" s="155"/>
      <c r="C137" s="170"/>
      <c r="D137" s="170"/>
      <c r="E137" s="170"/>
      <c r="F137" s="170"/>
      <c r="G137" s="170"/>
      <c r="H137" s="173">
        <f>+H135-H136</f>
        <v>0</v>
      </c>
      <c r="I137" s="173">
        <f>+I135-I136</f>
        <v>0</v>
      </c>
      <c r="J137" s="173">
        <f>+J135-J136</f>
        <v>0</v>
      </c>
      <c r="K137" s="173">
        <f>+K135-K136</f>
        <v>0</v>
      </c>
      <c r="L137" s="173">
        <f t="shared" ref="L137:N137" si="543">+L135-L136</f>
        <v>0</v>
      </c>
      <c r="M137" s="173">
        <f t="shared" si="543"/>
        <v>0</v>
      </c>
      <c r="N137" s="173">
        <f t="shared" si="543"/>
        <v>0</v>
      </c>
      <c r="O137" s="173">
        <f>+O135-O136</f>
        <v>0</v>
      </c>
      <c r="P137" s="173">
        <f>+P135-P136</f>
        <v>0</v>
      </c>
      <c r="Q137" s="173">
        <f>+Q135-Q136</f>
        <v>343796.92812224134</v>
      </c>
      <c r="R137" s="173"/>
      <c r="S137" s="173"/>
      <c r="T137" s="173">
        <f>+T135-T136</f>
        <v>238566.68486404492</v>
      </c>
      <c r="U137" s="173"/>
      <c r="V137" s="173">
        <f>+V135-V136</f>
        <v>0</v>
      </c>
      <c r="W137" s="172"/>
      <c r="X137" s="173">
        <f>+X135-X136</f>
        <v>0</v>
      </c>
      <c r="Y137" s="173">
        <f>+Y135-Y136</f>
        <v>0</v>
      </c>
      <c r="Z137" s="173"/>
      <c r="AA137" s="173">
        <f t="shared" ref="AA137:AF137" si="544">+AA135-AA136</f>
        <v>0</v>
      </c>
      <c r="AB137" s="173">
        <f t="shared" si="544"/>
        <v>0</v>
      </c>
      <c r="AC137" s="173">
        <f t="shared" si="544"/>
        <v>0</v>
      </c>
      <c r="AD137" s="173">
        <f t="shared" si="544"/>
        <v>0</v>
      </c>
      <c r="AE137" s="173">
        <f t="shared" si="544"/>
        <v>0</v>
      </c>
      <c r="AF137" s="173">
        <f t="shared" si="544"/>
        <v>0</v>
      </c>
      <c r="AG137" s="173">
        <f t="shared" ref="AG137:AM137" si="545">+AG135-AG136</f>
        <v>0</v>
      </c>
      <c r="AH137" s="173">
        <f t="shared" si="545"/>
        <v>50109.744644874627</v>
      </c>
      <c r="AI137" s="173">
        <f t="shared" si="545"/>
        <v>50117.727356243158</v>
      </c>
      <c r="AJ137" s="173">
        <f t="shared" si="545"/>
        <v>50212.61786053441</v>
      </c>
      <c r="AK137" s="173">
        <f t="shared" si="545"/>
        <v>50484.413531167462</v>
      </c>
      <c r="AL137" s="173">
        <f t="shared" si="545"/>
        <v>50562.30343183675</v>
      </c>
      <c r="AM137" s="173">
        <f t="shared" si="545"/>
        <v>50634.918225255838</v>
      </c>
      <c r="AN137" s="173">
        <f t="shared" ref="AN137:AO137" si="546">+AN135-AN136</f>
        <v>50818.524690752907</v>
      </c>
      <c r="AO137" s="173">
        <f t="shared" si="546"/>
        <v>50937.795825032896</v>
      </c>
      <c r="AP137" s="173">
        <f t="shared" ref="AP137:AQ137" si="547">+AP135-AP136</f>
        <v>50986.228840928699</v>
      </c>
      <c r="AQ137" s="173">
        <f t="shared" si="547"/>
        <v>50913.74933149312</v>
      </c>
      <c r="AR137" s="173">
        <f t="shared" ref="AR137:AS137" si="548">+AR135-AR136</f>
        <v>50888.587455328328</v>
      </c>
      <c r="AS137" s="173">
        <f t="shared" si="548"/>
        <v>50943.447309960196</v>
      </c>
      <c r="AT137" s="173">
        <f t="shared" ref="AT137:AU137" si="549">+AT135-AT136</f>
        <v>50857.391678745611</v>
      </c>
      <c r="AU137" s="173">
        <f t="shared" si="549"/>
        <v>50693.801516717285</v>
      </c>
      <c r="AV137" s="173">
        <f t="shared" ref="AV137" si="550">+AV135-AV136</f>
        <v>50510.342545352614</v>
      </c>
      <c r="AW137" s="173">
        <f t="shared" ref="AW137:AX137" si="551">+AW135-AW136</f>
        <v>50511.571334925531</v>
      </c>
      <c r="AX137" s="173">
        <f t="shared" si="551"/>
        <v>50526.798939001535</v>
      </c>
      <c r="AY137" s="173">
        <f t="shared" ref="AY137:AZ137" si="552">+AY135-AY136</f>
        <v>50506.631675092103</v>
      </c>
      <c r="AZ137" s="173">
        <f t="shared" si="552"/>
        <v>50501.130082328913</v>
      </c>
      <c r="BA137" s="173">
        <f t="shared" ref="BA137:BB137" si="553">+BA135-BA136</f>
        <v>50591.052041508781</v>
      </c>
      <c r="BB137" s="173">
        <f t="shared" si="553"/>
        <v>50694.19032822959</v>
      </c>
      <c r="BC137" s="173">
        <f t="shared" ref="BC137:BD137" si="554">+BC135-BC136</f>
        <v>50478.179938071778</v>
      </c>
      <c r="BD137" s="173">
        <f t="shared" si="554"/>
        <v>50663.316444809316</v>
      </c>
      <c r="BE137" s="172"/>
      <c r="BF137" s="172"/>
      <c r="BG137" s="172"/>
      <c r="BH137" s="172"/>
      <c r="BI137" s="172"/>
      <c r="BJ137" s="172"/>
      <c r="BK137" s="172"/>
      <c r="BL137" s="172"/>
      <c r="BM137" s="172"/>
      <c r="BN137" s="172"/>
      <c r="BO137" s="172"/>
      <c r="BP137" s="172"/>
      <c r="BQ137" s="172"/>
      <c r="BR137" s="172"/>
      <c r="BS137" s="172"/>
      <c r="BT137" s="172"/>
      <c r="BU137" s="172"/>
      <c r="BV137" s="172"/>
      <c r="BW137" s="172"/>
      <c r="BX137" s="172"/>
      <c r="BY137" s="172"/>
      <c r="BZ137" s="172"/>
      <c r="CA137" s="172"/>
      <c r="CB137" s="172"/>
      <c r="CC137" s="172"/>
      <c r="CD137" s="172"/>
      <c r="CE137" s="172"/>
      <c r="CF137" s="172"/>
      <c r="CG137" s="172"/>
      <c r="CH137" s="172"/>
    </row>
    <row r="138" spans="1:86" s="154" customFormat="1" x14ac:dyDescent="0.3">
      <c r="A138" s="170"/>
      <c r="B138" s="170"/>
      <c r="C138" s="170"/>
      <c r="D138" s="170"/>
      <c r="E138" s="170"/>
      <c r="F138" s="170"/>
      <c r="G138" s="170"/>
      <c r="H138" s="173" t="e">
        <f>+H137/H130*100</f>
        <v>#DIV/0!</v>
      </c>
      <c r="I138" s="173">
        <f>+I137/B135*I56</f>
        <v>0</v>
      </c>
      <c r="J138" s="173">
        <f>+J137/$B$43*J56</f>
        <v>0</v>
      </c>
      <c r="K138" s="173">
        <f>+K137/$B$43*K56</f>
        <v>0</v>
      </c>
      <c r="L138" s="173">
        <f>+L137/$B$43*L56</f>
        <v>0</v>
      </c>
      <c r="M138" s="173">
        <f>+M137/$B$43*M56</f>
        <v>0</v>
      </c>
      <c r="N138" s="173">
        <f>+N137/$B$43*N56</f>
        <v>0</v>
      </c>
      <c r="O138" s="173">
        <f>+O137/$B$54*O47</f>
        <v>0</v>
      </c>
      <c r="P138" s="173">
        <f>+P137/$B$64*P36</f>
        <v>0</v>
      </c>
      <c r="Q138" s="173">
        <f>+Q137/$B$64*Q36</f>
        <v>0</v>
      </c>
      <c r="R138" s="173"/>
      <c r="S138" s="173"/>
      <c r="T138" s="173">
        <f>+T137/$B$74*T26</f>
        <v>191550344.27663049</v>
      </c>
      <c r="U138" s="173"/>
      <c r="V138" s="173" t="e">
        <f>+V137/N135*V56</f>
        <v>#DIV/0!</v>
      </c>
      <c r="W138" s="172"/>
      <c r="X138" s="173">
        <f>+X137/$B$54*X47</f>
        <v>0</v>
      </c>
      <c r="Y138" s="173">
        <f>+Y137/$B$54*Y47</f>
        <v>0</v>
      </c>
      <c r="Z138" s="173"/>
      <c r="AA138" s="173">
        <f t="shared" ref="AA138:AF138" si="555">+AA137/$B$54*AA47</f>
        <v>0</v>
      </c>
      <c r="AB138" s="173">
        <f t="shared" si="555"/>
        <v>0</v>
      </c>
      <c r="AC138" s="173">
        <f t="shared" si="555"/>
        <v>0</v>
      </c>
      <c r="AD138" s="173">
        <f t="shared" si="555"/>
        <v>0</v>
      </c>
      <c r="AE138" s="173">
        <f t="shared" si="555"/>
        <v>0</v>
      </c>
      <c r="AF138" s="173">
        <f t="shared" si="555"/>
        <v>0</v>
      </c>
      <c r="AG138" s="174">
        <f>TRUNC(+AG137/(2966.046),3)*AG26</f>
        <v>0</v>
      </c>
      <c r="AH138" s="174">
        <f t="shared" ref="AH138:AN138" si="556">TRUNC(+AH137/(500),3)</f>
        <v>100.21899999999999</v>
      </c>
      <c r="AI138" s="174">
        <f t="shared" si="556"/>
        <v>100.235</v>
      </c>
      <c r="AJ138" s="174">
        <f t="shared" si="556"/>
        <v>100.425</v>
      </c>
      <c r="AK138" s="174">
        <f t="shared" si="556"/>
        <v>100.968</v>
      </c>
      <c r="AL138" s="174">
        <f t="shared" si="556"/>
        <v>101.124</v>
      </c>
      <c r="AM138" s="174">
        <f t="shared" si="556"/>
        <v>101.26900000000001</v>
      </c>
      <c r="AN138" s="174">
        <f t="shared" si="556"/>
        <v>101.637</v>
      </c>
      <c r="AO138" s="174">
        <f t="shared" ref="AO138:AP138" si="557">TRUNC(+AO137/(500),3)</f>
        <v>101.875</v>
      </c>
      <c r="AP138" s="174">
        <f t="shared" si="557"/>
        <v>101.97199999999999</v>
      </c>
      <c r="AQ138" s="174">
        <f t="shared" ref="AQ138:AS138" si="558">TRUNC(+AQ137/(500),3)</f>
        <v>101.827</v>
      </c>
      <c r="AR138" s="174">
        <f t="shared" si="558"/>
        <v>101.777</v>
      </c>
      <c r="AS138" s="174">
        <f t="shared" si="558"/>
        <v>101.886</v>
      </c>
      <c r="AT138" s="174">
        <f t="shared" ref="AT138:AU138" si="559">TRUNC(+AT137/(500),3)</f>
        <v>101.714</v>
      </c>
      <c r="AU138" s="174">
        <f t="shared" si="559"/>
        <v>101.387</v>
      </c>
      <c r="AV138" s="174">
        <f t="shared" ref="AV138" si="560">TRUNC(+AV137/(500),3)</f>
        <v>101.02</v>
      </c>
      <c r="AW138" s="174">
        <f t="shared" ref="AW138:AX138" si="561">TRUNC(+AW137/(500),3)</f>
        <v>101.023</v>
      </c>
      <c r="AX138" s="174">
        <f t="shared" si="561"/>
        <v>101.053</v>
      </c>
      <c r="AY138" s="174">
        <f t="shared" ref="AY138:BD138" si="562">TRUNC(+AY137/(500),4)</f>
        <v>101.0132</v>
      </c>
      <c r="AZ138" s="174">
        <f t="shared" si="562"/>
        <v>101.0022</v>
      </c>
      <c r="BA138" s="174">
        <f t="shared" si="562"/>
        <v>101.18210000000001</v>
      </c>
      <c r="BB138" s="174">
        <f t="shared" si="562"/>
        <v>101.3883</v>
      </c>
      <c r="BC138" s="174">
        <f t="shared" si="562"/>
        <v>100.9563</v>
      </c>
      <c r="BD138" s="174">
        <f t="shared" si="562"/>
        <v>101.3266</v>
      </c>
      <c r="BE138" s="172"/>
      <c r="BF138" s="172"/>
      <c r="BG138" s="172"/>
      <c r="BH138" s="172"/>
      <c r="BI138" s="172"/>
      <c r="BJ138" s="172"/>
      <c r="BK138" s="172"/>
      <c r="BL138" s="172"/>
      <c r="BM138" s="172"/>
      <c r="BN138" s="172"/>
      <c r="BO138" s="172"/>
      <c r="BP138" s="172"/>
      <c r="BQ138" s="172"/>
      <c r="BR138" s="172"/>
      <c r="BS138" s="172"/>
      <c r="BT138" s="172"/>
      <c r="BU138" s="172"/>
      <c r="BV138" s="172"/>
      <c r="BW138" s="172"/>
      <c r="BX138" s="172"/>
      <c r="BY138" s="172"/>
      <c r="BZ138" s="172"/>
      <c r="CA138" s="172"/>
      <c r="CB138" s="172"/>
      <c r="CC138" s="172"/>
      <c r="CD138" s="172"/>
      <c r="CE138" s="172"/>
      <c r="CF138" s="172"/>
      <c r="CG138" s="172"/>
      <c r="CH138" s="172"/>
    </row>
    <row r="139" spans="1:86" x14ac:dyDescent="0.3">
      <c r="H139" s="128"/>
    </row>
    <row r="140" spans="1:86" x14ac:dyDescent="0.3">
      <c r="H140" s="128"/>
    </row>
    <row r="141" spans="1:86" x14ac:dyDescent="0.3">
      <c r="A141" s="201"/>
      <c r="B141" s="201">
        <v>218881.19</v>
      </c>
      <c r="C141" s="201"/>
      <c r="D141" s="201"/>
      <c r="E141" s="201"/>
      <c r="F141" s="201"/>
      <c r="G141" s="201"/>
      <c r="H141" s="64"/>
      <c r="I141" s="64"/>
      <c r="J141" s="64"/>
      <c r="K141" s="64"/>
      <c r="L141" s="64"/>
      <c r="M141" s="64"/>
      <c r="N141" s="64"/>
      <c r="O141" s="64"/>
      <c r="P141" s="64"/>
      <c r="Q141" s="64">
        <v>218881.19</v>
      </c>
      <c r="R141" s="64"/>
      <c r="S141" s="64"/>
      <c r="T141" s="64">
        <v>218881.19</v>
      </c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>
        <v>50000</v>
      </c>
      <c r="AZ141" s="64">
        <f>AY148</f>
        <v>49980.043002591774</v>
      </c>
      <c r="BA141" s="64">
        <f>AZ148</f>
        <v>49974.598770146105</v>
      </c>
      <c r="BB141" s="64">
        <f>BA148-1.85</f>
        <v>50061.733191352389</v>
      </c>
      <c r="BC141" s="64">
        <f>BB148</f>
        <v>50166.935798598926</v>
      </c>
      <c r="BD141" s="64">
        <f>BC148</f>
        <v>49953.172065423314</v>
      </c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</row>
    <row r="142" spans="1:86" x14ac:dyDescent="0.3">
      <c r="A142" s="127" t="s">
        <v>104</v>
      </c>
      <c r="B142" s="201">
        <v>218881.19</v>
      </c>
      <c r="C142" s="201" t="s">
        <v>100</v>
      </c>
      <c r="D142" s="201"/>
      <c r="E142" s="201"/>
      <c r="F142" s="201"/>
      <c r="G142" s="201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>
        <f>Q141/(N72+N83+N93+Q141+N197)</f>
        <v>1</v>
      </c>
      <c r="R142" s="118"/>
      <c r="S142" s="118"/>
      <c r="T142" s="118">
        <f>Q141/(Q72+Q83+Q93+Q141+Q197)</f>
        <v>0.99999984020315213</v>
      </c>
      <c r="U142" s="118"/>
      <c r="V142" s="118"/>
      <c r="W142" s="64"/>
      <c r="X142" s="118"/>
      <c r="Y142" s="118"/>
      <c r="Z142" s="118"/>
      <c r="AA142" s="118"/>
      <c r="AB142" s="118"/>
      <c r="AC142" s="118"/>
      <c r="AD142" s="118"/>
      <c r="AE142" s="118"/>
      <c r="AF142" s="118"/>
      <c r="AG142" s="118"/>
      <c r="AH142" s="118"/>
      <c r="AI142" s="118"/>
      <c r="AJ142" s="118"/>
      <c r="AK142" s="118"/>
      <c r="AL142" s="118"/>
      <c r="AM142" s="118"/>
      <c r="AN142" s="118"/>
      <c r="AO142" s="118"/>
      <c r="AP142" s="118"/>
      <c r="AQ142" s="118"/>
      <c r="AR142" s="118"/>
      <c r="AS142" s="118"/>
      <c r="AT142" s="118"/>
      <c r="AU142" s="118"/>
      <c r="AV142" s="118"/>
      <c r="AW142" s="118"/>
      <c r="AX142" s="118"/>
      <c r="AY142" s="118">
        <f t="shared" ref="AY142:BD142" si="563">AY141/(AY38+AY49+AY153+AY130+AY141)</f>
        <v>6.3429493356469266E-3</v>
      </c>
      <c r="AZ142" s="118">
        <f t="shared" si="563"/>
        <v>6.3370830508945718E-3</v>
      </c>
      <c r="BA142" s="118">
        <f t="shared" si="563"/>
        <v>6.3281626474284468E-3</v>
      </c>
      <c r="BB142" s="118">
        <f t="shared" si="563"/>
        <v>6.310752690635189E-3</v>
      </c>
      <c r="BC142" s="118">
        <f t="shared" si="563"/>
        <v>6.3124104760783322E-3</v>
      </c>
      <c r="BD142" s="118">
        <f t="shared" si="563"/>
        <v>6.3099811338267033E-3</v>
      </c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</row>
    <row r="143" spans="1:86" x14ac:dyDescent="0.3">
      <c r="A143" s="127"/>
      <c r="B143" s="201"/>
      <c r="C143" s="201"/>
      <c r="D143" s="201"/>
      <c r="E143" s="201"/>
      <c r="F143" s="201"/>
      <c r="G143" s="145">
        <f>+B146/(B97+B146)</f>
        <v>1</v>
      </c>
      <c r="H143" s="118"/>
      <c r="I143" s="43"/>
      <c r="J143" s="43"/>
      <c r="K143" s="43"/>
      <c r="L143" s="43"/>
      <c r="M143" s="43"/>
      <c r="N143" s="43"/>
      <c r="O143" s="43"/>
      <c r="P143" s="43"/>
      <c r="Q143" s="43">
        <f>+(Q67*Q142)</f>
        <v>100.30540590901388</v>
      </c>
      <c r="R143" s="43"/>
      <c r="S143" s="43"/>
      <c r="T143" s="43">
        <f>+(T67*T142)</f>
        <v>99.987344884342434</v>
      </c>
      <c r="U143" s="43"/>
      <c r="V143" s="43"/>
      <c r="W143" s="64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>
        <f t="shared" ref="AY143:BD143" si="564">+(AY33*AY142)</f>
        <v>-17.902938624882587</v>
      </c>
      <c r="AZ143" s="43">
        <f t="shared" si="564"/>
        <v>-3.3903974070985181</v>
      </c>
      <c r="BA143" s="43">
        <f t="shared" si="564"/>
        <v>91.041913289160959</v>
      </c>
      <c r="BB143" s="43">
        <f t="shared" si="564"/>
        <v>107.26434687139118</v>
      </c>
      <c r="BC143" s="43">
        <f t="shared" si="564"/>
        <v>-207.60436354663321</v>
      </c>
      <c r="BD143" s="43">
        <f t="shared" si="564"/>
        <v>185.27144340817856</v>
      </c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</row>
    <row r="144" spans="1:86" x14ac:dyDescent="0.3">
      <c r="A144" s="127"/>
      <c r="B144" s="201"/>
      <c r="C144" s="201" t="s">
        <v>101</v>
      </c>
      <c r="D144" s="201"/>
      <c r="E144" s="201"/>
      <c r="F144" s="201"/>
      <c r="G144" s="145"/>
      <c r="H144" s="118"/>
      <c r="I144" s="43"/>
      <c r="J144" s="43"/>
      <c r="K144" s="43"/>
      <c r="L144" s="43"/>
      <c r="M144" s="43"/>
      <c r="N144" s="43"/>
      <c r="O144" s="118"/>
      <c r="P144" s="118"/>
      <c r="Q144" s="118">
        <f>+Q141/(Q93+Q141+Q83+Q72)</f>
        <v>0.99999984020315213</v>
      </c>
      <c r="R144" s="118"/>
      <c r="S144" s="118"/>
      <c r="T144" s="118">
        <f>+T141/(T93+T141+T83+T72)</f>
        <v>0.99999984032843825</v>
      </c>
      <c r="U144" s="118"/>
      <c r="V144" s="43"/>
      <c r="W144" s="64"/>
      <c r="X144" s="118"/>
      <c r="Y144" s="118"/>
      <c r="Z144" s="118"/>
      <c r="AA144" s="118"/>
      <c r="AB144" s="118"/>
      <c r="AC144" s="118"/>
      <c r="AD144" s="118"/>
      <c r="AE144" s="118"/>
      <c r="AF144" s="118"/>
      <c r="AG144" s="118"/>
      <c r="AH144" s="118"/>
      <c r="AI144" s="118"/>
      <c r="AJ144" s="118"/>
      <c r="AK144" s="118"/>
      <c r="AL144" s="118"/>
      <c r="AM144" s="118"/>
      <c r="AN144" s="118"/>
      <c r="AO144" s="118"/>
      <c r="AP144" s="118"/>
      <c r="AQ144" s="118"/>
      <c r="AR144" s="118"/>
      <c r="AS144" s="118"/>
      <c r="AT144" s="118"/>
      <c r="AU144" s="118"/>
      <c r="AV144" s="118"/>
      <c r="AW144" s="118"/>
      <c r="AX144" s="118"/>
      <c r="AY144" s="118">
        <v>0</v>
      </c>
      <c r="AZ144" s="118">
        <v>0</v>
      </c>
      <c r="BA144" s="118">
        <v>0</v>
      </c>
      <c r="BB144" s="118">
        <v>0</v>
      </c>
      <c r="BC144" s="118">
        <v>0</v>
      </c>
      <c r="BD144" s="118">
        <v>0</v>
      </c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</row>
    <row r="145" spans="1:123" x14ac:dyDescent="0.3">
      <c r="A145" s="127"/>
      <c r="B145" s="201">
        <v>2969.8939999999998</v>
      </c>
      <c r="C145" s="201" t="s">
        <v>102</v>
      </c>
      <c r="D145" s="201"/>
      <c r="E145" s="201"/>
      <c r="F145" s="201"/>
      <c r="G145" s="145"/>
      <c r="H145" s="118"/>
      <c r="I145" s="43"/>
      <c r="J145" s="43"/>
      <c r="K145" s="43"/>
      <c r="L145" s="43"/>
      <c r="M145" s="43"/>
      <c r="N145" s="43"/>
      <c r="O145" s="43"/>
      <c r="P145" s="43"/>
      <c r="Q145" s="43">
        <f>+Q144*Q78</f>
        <v>0</v>
      </c>
      <c r="R145" s="43"/>
      <c r="S145" s="43"/>
      <c r="T145" s="43">
        <f>+T144*T68</f>
        <v>0</v>
      </c>
      <c r="U145" s="43"/>
      <c r="V145" s="43"/>
      <c r="W145" s="64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>
        <f t="shared" ref="AY145:AZ145" si="565">+AY144*AY45</f>
        <v>0</v>
      </c>
      <c r="AZ145" s="43">
        <f t="shared" si="565"/>
        <v>0</v>
      </c>
      <c r="BA145" s="43">
        <f t="shared" ref="BA145:BB145" si="566">+BA144*BA45</f>
        <v>0</v>
      </c>
      <c r="BB145" s="43">
        <f t="shared" si="566"/>
        <v>0</v>
      </c>
      <c r="BC145" s="43">
        <f t="shared" ref="BC145:BD145" si="567">+BC144*BC45</f>
        <v>0</v>
      </c>
      <c r="BD145" s="43">
        <f t="shared" si="567"/>
        <v>0</v>
      </c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</row>
    <row r="146" spans="1:123" x14ac:dyDescent="0.3">
      <c r="A146" s="1">
        <v>43308</v>
      </c>
      <c r="B146" s="201">
        <v>2969.8939999999998</v>
      </c>
      <c r="C146" s="201"/>
      <c r="D146" s="201"/>
      <c r="E146" s="201"/>
      <c r="F146" s="201"/>
      <c r="G146" s="20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>
        <f>+Q141+Q143+Q145</f>
        <v>218981.49540590902</v>
      </c>
      <c r="R146" s="111"/>
      <c r="S146" s="111"/>
      <c r="T146" s="111">
        <f>+T141+T143+T145</f>
        <v>218981.17734488435</v>
      </c>
      <c r="U146" s="111"/>
      <c r="V146" s="111"/>
      <c r="W146" s="64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1"/>
      <c r="AH146" s="111"/>
      <c r="AI146" s="111"/>
      <c r="AJ146" s="111"/>
      <c r="AK146" s="111"/>
      <c r="AL146" s="111"/>
      <c r="AM146" s="111"/>
      <c r="AN146" s="111"/>
      <c r="AO146" s="111"/>
      <c r="AP146" s="111"/>
      <c r="AQ146" s="111"/>
      <c r="AR146" s="111"/>
      <c r="AS146" s="111"/>
      <c r="AT146" s="111"/>
      <c r="AU146" s="111"/>
      <c r="AV146" s="111"/>
      <c r="AW146" s="111"/>
      <c r="AX146" s="111"/>
      <c r="AY146" s="111">
        <f t="shared" ref="AY146:BD146" si="568">+AY141+AY143+AY145</f>
        <v>49982.09706137512</v>
      </c>
      <c r="AZ146" s="111">
        <f t="shared" si="568"/>
        <v>49976.652605184674</v>
      </c>
      <c r="BA146" s="111">
        <f t="shared" si="568"/>
        <v>50065.640683435267</v>
      </c>
      <c r="BB146" s="111">
        <f t="shared" si="568"/>
        <v>50168.997538223783</v>
      </c>
      <c r="BC146" s="111">
        <f t="shared" si="568"/>
        <v>49959.331435052292</v>
      </c>
      <c r="BD146" s="111">
        <f t="shared" si="568"/>
        <v>50138.443508831493</v>
      </c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</row>
    <row r="147" spans="1:123" s="154" customFormat="1" x14ac:dyDescent="0.3">
      <c r="B147" s="170"/>
      <c r="C147" s="170"/>
      <c r="D147" s="170"/>
      <c r="E147" s="170"/>
      <c r="F147" s="170"/>
      <c r="G147" s="170"/>
      <c r="H147" s="171">
        <f>H146*1.5%/365</f>
        <v>0</v>
      </c>
      <c r="I147" s="171">
        <f>I146*1.5%/365</f>
        <v>0</v>
      </c>
      <c r="J147" s="171">
        <f>J146*1.5%/365</f>
        <v>0</v>
      </c>
      <c r="K147" s="171">
        <f>K146*1.5%/365*3</f>
        <v>0</v>
      </c>
      <c r="L147" s="171">
        <f t="shared" ref="L147" si="569">L146*1.5%/365</f>
        <v>0</v>
      </c>
      <c r="M147" s="171">
        <f>M146*1.5%/365*3</f>
        <v>0</v>
      </c>
      <c r="N147" s="171">
        <f t="shared" ref="N147" si="570">N146*1.5%/365</f>
        <v>0</v>
      </c>
      <c r="O147" s="171">
        <f>O146*1.5%/365</f>
        <v>0</v>
      </c>
      <c r="P147" s="171">
        <f>P146*1.5%/365</f>
        <v>0</v>
      </c>
      <c r="Q147" s="171">
        <f>Q146*1.5%/365</f>
        <v>8.9992395372291387</v>
      </c>
      <c r="R147" s="171"/>
      <c r="S147" s="171"/>
      <c r="T147" s="171">
        <f>T146*1.5%/365*3</f>
        <v>26.997679398684369</v>
      </c>
      <c r="U147" s="171"/>
      <c r="V147" s="171">
        <f>V146*1.5%/365</f>
        <v>0</v>
      </c>
      <c r="W147" s="172"/>
      <c r="X147" s="171">
        <f>X146*1.5%/365</f>
        <v>0</v>
      </c>
      <c r="Y147" s="171">
        <f>Y146*1.5%/365</f>
        <v>0</v>
      </c>
      <c r="Z147" s="171"/>
      <c r="AA147" s="171">
        <f t="shared" ref="AA147:AF147" si="571">AA146*1.5%/365</f>
        <v>0</v>
      </c>
      <c r="AB147" s="171">
        <f t="shared" si="571"/>
        <v>0</v>
      </c>
      <c r="AC147" s="171">
        <f t="shared" si="571"/>
        <v>0</v>
      </c>
      <c r="AD147" s="171">
        <f t="shared" si="571"/>
        <v>0</v>
      </c>
      <c r="AE147" s="171">
        <f t="shared" si="571"/>
        <v>0</v>
      </c>
      <c r="AF147" s="171">
        <f t="shared" si="571"/>
        <v>0</v>
      </c>
      <c r="AG147" s="171">
        <f>AG146*1.5%/365</f>
        <v>0</v>
      </c>
      <c r="AH147" s="171">
        <f>AH146*1.5%/365</f>
        <v>0</v>
      </c>
      <c r="AI147" s="171">
        <f>AI146*1.5%/365</f>
        <v>0</v>
      </c>
      <c r="AJ147" s="171">
        <f>AJ146*1.5%/365*3</f>
        <v>0</v>
      </c>
      <c r="AK147" s="171">
        <f>AK146*1.5%/365</f>
        <v>0</v>
      </c>
      <c r="AL147" s="171">
        <f>AL146*1.5%/365*2</f>
        <v>0</v>
      </c>
      <c r="AM147" s="171">
        <f>AM146*1.5%/365</f>
        <v>0</v>
      </c>
      <c r="AN147" s="171">
        <f>AN146*1.5%/365*3</f>
        <v>0</v>
      </c>
      <c r="AO147" s="171">
        <f>AO146*1.5%/365</f>
        <v>0</v>
      </c>
      <c r="AP147" s="171">
        <f>AP146*1.5%/365</f>
        <v>0</v>
      </c>
      <c r="AQ147" s="171">
        <f>AQ146*1.5%/365</f>
        <v>0</v>
      </c>
      <c r="AR147" s="171">
        <f>AR146*1.5%/365</f>
        <v>0</v>
      </c>
      <c r="AS147" s="171">
        <f>AS146*1.5%/365*3</f>
        <v>0</v>
      </c>
      <c r="AT147" s="171">
        <f>AT146*1.5%/365</f>
        <v>0</v>
      </c>
      <c r="AU147" s="171">
        <f>AU146*1.5%/365</f>
        <v>0</v>
      </c>
      <c r="AV147" s="171">
        <f>AV146*1.5%/365</f>
        <v>0</v>
      </c>
      <c r="AW147" s="171">
        <f>AW146*1.5%/365</f>
        <v>0</v>
      </c>
      <c r="AX147" s="171">
        <f>AX146*1.5%/365*3</f>
        <v>0</v>
      </c>
      <c r="AY147" s="171">
        <f>AY146*1.5%/365</f>
        <v>2.0540587833441828</v>
      </c>
      <c r="AZ147" s="171">
        <f>AZ146*1.5%/365</f>
        <v>2.053835038569233</v>
      </c>
      <c r="BA147" s="171">
        <f>BA146*1.5%/365</f>
        <v>2.0574920828809016</v>
      </c>
      <c r="BB147" s="171">
        <f>BB146*1.5%/365</f>
        <v>2.0617396248585114</v>
      </c>
      <c r="BC147" s="171">
        <f>BC146*1.5%/365*3</f>
        <v>6.15936962897905</v>
      </c>
      <c r="BD147" s="171">
        <f>BD146*1.5%/365</f>
        <v>2.0604839798149928</v>
      </c>
      <c r="BE147" s="172"/>
      <c r="BF147" s="172"/>
      <c r="BG147" s="172"/>
      <c r="BH147" s="172"/>
      <c r="BI147" s="172"/>
      <c r="BJ147" s="172"/>
      <c r="BK147" s="172"/>
      <c r="BL147" s="172"/>
      <c r="BM147" s="172"/>
      <c r="BN147" s="172"/>
      <c r="BO147" s="172"/>
      <c r="BP147" s="172"/>
      <c r="BQ147" s="172"/>
      <c r="BR147" s="172"/>
      <c r="BS147" s="172"/>
      <c r="BT147" s="172"/>
      <c r="BU147" s="172"/>
      <c r="BV147" s="172"/>
      <c r="BW147" s="172"/>
      <c r="BX147" s="172"/>
      <c r="BY147" s="172"/>
      <c r="BZ147" s="172"/>
      <c r="CA147" s="172"/>
      <c r="CB147" s="172"/>
      <c r="CC147" s="172"/>
      <c r="CD147" s="172"/>
      <c r="CE147" s="172"/>
      <c r="CF147" s="172"/>
      <c r="CG147" s="172"/>
      <c r="CH147" s="172"/>
    </row>
    <row r="148" spans="1:123" s="154" customFormat="1" x14ac:dyDescent="0.3">
      <c r="B148" s="155"/>
      <c r="C148" s="170"/>
      <c r="D148" s="170"/>
      <c r="E148" s="170"/>
      <c r="F148" s="170"/>
      <c r="G148" s="170"/>
      <c r="H148" s="173">
        <f>+H146-H147</f>
        <v>0</v>
      </c>
      <c r="I148" s="173">
        <f>+I146-I147</f>
        <v>0</v>
      </c>
      <c r="J148" s="173">
        <f>+J146-J147</f>
        <v>0</v>
      </c>
      <c r="K148" s="173">
        <f>+K146-K147</f>
        <v>0</v>
      </c>
      <c r="L148" s="173">
        <f t="shared" ref="L148:N148" si="572">+L146-L147</f>
        <v>0</v>
      </c>
      <c r="M148" s="173">
        <f t="shared" si="572"/>
        <v>0</v>
      </c>
      <c r="N148" s="173">
        <f t="shared" si="572"/>
        <v>0</v>
      </c>
      <c r="O148" s="173">
        <f>+O146-O147</f>
        <v>0</v>
      </c>
      <c r="P148" s="173">
        <f>+P146-P147</f>
        <v>0</v>
      </c>
      <c r="Q148" s="173">
        <f>+Q146-Q147</f>
        <v>218972.4961663718</v>
      </c>
      <c r="R148" s="173"/>
      <c r="S148" s="173"/>
      <c r="T148" s="173">
        <f>+T146-T147</f>
        <v>218954.17966548566</v>
      </c>
      <c r="U148" s="173"/>
      <c r="V148" s="173">
        <f>+V146-V147</f>
        <v>0</v>
      </c>
      <c r="W148" s="172"/>
      <c r="X148" s="173">
        <f>+X146-X147</f>
        <v>0</v>
      </c>
      <c r="Y148" s="173">
        <f>+Y146-Y147</f>
        <v>0</v>
      </c>
      <c r="Z148" s="173"/>
      <c r="AA148" s="173">
        <f t="shared" ref="AA148:AX148" si="573">+AA146-AA147</f>
        <v>0</v>
      </c>
      <c r="AB148" s="173">
        <f t="shared" si="573"/>
        <v>0</v>
      </c>
      <c r="AC148" s="173">
        <f t="shared" si="573"/>
        <v>0</v>
      </c>
      <c r="AD148" s="173">
        <f t="shared" si="573"/>
        <v>0</v>
      </c>
      <c r="AE148" s="173">
        <f t="shared" si="573"/>
        <v>0</v>
      </c>
      <c r="AF148" s="173">
        <f t="shared" si="573"/>
        <v>0</v>
      </c>
      <c r="AG148" s="173">
        <f t="shared" si="573"/>
        <v>0</v>
      </c>
      <c r="AH148" s="173">
        <f t="shared" si="573"/>
        <v>0</v>
      </c>
      <c r="AI148" s="173">
        <f t="shared" si="573"/>
        <v>0</v>
      </c>
      <c r="AJ148" s="173">
        <f t="shared" si="573"/>
        <v>0</v>
      </c>
      <c r="AK148" s="173">
        <f t="shared" si="573"/>
        <v>0</v>
      </c>
      <c r="AL148" s="173">
        <f t="shared" si="573"/>
        <v>0</v>
      </c>
      <c r="AM148" s="173">
        <f t="shared" si="573"/>
        <v>0</v>
      </c>
      <c r="AN148" s="173">
        <f t="shared" si="573"/>
        <v>0</v>
      </c>
      <c r="AO148" s="173">
        <f t="shared" si="573"/>
        <v>0</v>
      </c>
      <c r="AP148" s="173">
        <f t="shared" si="573"/>
        <v>0</v>
      </c>
      <c r="AQ148" s="173">
        <f t="shared" si="573"/>
        <v>0</v>
      </c>
      <c r="AR148" s="173">
        <f t="shared" si="573"/>
        <v>0</v>
      </c>
      <c r="AS148" s="173">
        <f t="shared" si="573"/>
        <v>0</v>
      </c>
      <c r="AT148" s="173">
        <f t="shared" si="573"/>
        <v>0</v>
      </c>
      <c r="AU148" s="173">
        <f t="shared" si="573"/>
        <v>0</v>
      </c>
      <c r="AV148" s="173">
        <f t="shared" si="573"/>
        <v>0</v>
      </c>
      <c r="AW148" s="173">
        <f t="shared" si="573"/>
        <v>0</v>
      </c>
      <c r="AX148" s="173">
        <f t="shared" si="573"/>
        <v>0</v>
      </c>
      <c r="AY148" s="173">
        <f t="shared" ref="AY148:BD148" si="574">+AY146-AY147</f>
        <v>49980.043002591774</v>
      </c>
      <c r="AZ148" s="173">
        <f t="shared" si="574"/>
        <v>49974.598770146105</v>
      </c>
      <c r="BA148" s="173">
        <f t="shared" si="574"/>
        <v>50063.583191352387</v>
      </c>
      <c r="BB148" s="173">
        <f t="shared" si="574"/>
        <v>50166.935798598926</v>
      </c>
      <c r="BC148" s="173">
        <f t="shared" si="574"/>
        <v>49953.172065423314</v>
      </c>
      <c r="BD148" s="173">
        <f t="shared" si="574"/>
        <v>50136.383024851675</v>
      </c>
      <c r="BE148" s="172"/>
      <c r="BF148" s="172"/>
      <c r="BG148" s="172"/>
      <c r="BH148" s="172"/>
      <c r="BI148" s="172"/>
      <c r="BJ148" s="172"/>
      <c r="BK148" s="172"/>
      <c r="BL148" s="172"/>
      <c r="BM148" s="172"/>
      <c r="BN148" s="172"/>
      <c r="BO148" s="172"/>
      <c r="BP148" s="172"/>
      <c r="BQ148" s="172"/>
      <c r="BR148" s="172"/>
      <c r="BS148" s="172"/>
      <c r="BT148" s="172"/>
      <c r="BU148" s="172"/>
      <c r="BV148" s="172"/>
      <c r="BW148" s="172"/>
      <c r="BX148" s="172"/>
      <c r="BY148" s="172"/>
      <c r="BZ148" s="172"/>
      <c r="CA148" s="172"/>
      <c r="CB148" s="172"/>
      <c r="CC148" s="172"/>
      <c r="CD148" s="172"/>
      <c r="CE148" s="172"/>
      <c r="CF148" s="172"/>
      <c r="CG148" s="172"/>
      <c r="CH148" s="172"/>
    </row>
    <row r="149" spans="1:123" s="154" customFormat="1" x14ac:dyDescent="0.3">
      <c r="A149" s="170"/>
      <c r="B149" s="170"/>
      <c r="C149" s="170"/>
      <c r="D149" s="170"/>
      <c r="E149" s="170"/>
      <c r="F149" s="170"/>
      <c r="G149" s="170"/>
      <c r="H149" s="173" t="e">
        <f>+H148/H141*100</f>
        <v>#DIV/0!</v>
      </c>
      <c r="I149" s="173">
        <f>+I148/B146*I67</f>
        <v>0</v>
      </c>
      <c r="J149" s="173">
        <f>+J148/$B$43*J67</f>
        <v>0</v>
      </c>
      <c r="K149" s="173">
        <f>+K148/$B$43*K67</f>
        <v>0</v>
      </c>
      <c r="L149" s="173">
        <f>+L148/$B$43*L67</f>
        <v>0</v>
      </c>
      <c r="M149" s="173">
        <f>+M148/$B$43*M67</f>
        <v>0</v>
      </c>
      <c r="N149" s="173">
        <f>+N148/$B$43*N67</f>
        <v>0</v>
      </c>
      <c r="O149" s="173">
        <f>+O148/$B$54*O58</f>
        <v>0</v>
      </c>
      <c r="P149" s="173">
        <f>+P148/$B$64*P47</f>
        <v>0</v>
      </c>
      <c r="Q149" s="173">
        <f>+Q148/$B$64*Q47</f>
        <v>0</v>
      </c>
      <c r="R149" s="173"/>
      <c r="S149" s="173"/>
      <c r="T149" s="173">
        <f>+T148/$B$74*T37</f>
        <v>0</v>
      </c>
      <c r="U149" s="173"/>
      <c r="V149" s="173" t="e">
        <f>+V148/N146*V67</f>
        <v>#DIV/0!</v>
      </c>
      <c r="W149" s="172"/>
      <c r="X149" s="173">
        <f>+X148/$B$54*X58</f>
        <v>0</v>
      </c>
      <c r="Y149" s="173">
        <f>+Y148/$B$54*Y58</f>
        <v>0</v>
      </c>
      <c r="Z149" s="173"/>
      <c r="AA149" s="173">
        <f t="shared" ref="AA149:AF149" si="575">+AA148/$B$54*AA58</f>
        <v>0</v>
      </c>
      <c r="AB149" s="173">
        <f t="shared" si="575"/>
        <v>0</v>
      </c>
      <c r="AC149" s="173">
        <f t="shared" si="575"/>
        <v>0</v>
      </c>
      <c r="AD149" s="173">
        <f t="shared" si="575"/>
        <v>0</v>
      </c>
      <c r="AE149" s="173">
        <f t="shared" si="575"/>
        <v>0</v>
      </c>
      <c r="AF149" s="173">
        <f t="shared" si="575"/>
        <v>0</v>
      </c>
      <c r="AG149" s="174">
        <f>TRUNC(+AG148/(2966.046),3)*AG37</f>
        <v>0</v>
      </c>
      <c r="AH149" s="174">
        <f t="shared" ref="AH149:AX149" si="576">TRUNC(+AH148/(500),3)</f>
        <v>0</v>
      </c>
      <c r="AI149" s="174">
        <f t="shared" si="576"/>
        <v>0</v>
      </c>
      <c r="AJ149" s="174">
        <f t="shared" si="576"/>
        <v>0</v>
      </c>
      <c r="AK149" s="174">
        <f t="shared" si="576"/>
        <v>0</v>
      </c>
      <c r="AL149" s="174">
        <f t="shared" si="576"/>
        <v>0</v>
      </c>
      <c r="AM149" s="174">
        <f t="shared" si="576"/>
        <v>0</v>
      </c>
      <c r="AN149" s="174">
        <f t="shared" si="576"/>
        <v>0</v>
      </c>
      <c r="AO149" s="174">
        <f t="shared" si="576"/>
        <v>0</v>
      </c>
      <c r="AP149" s="174">
        <f t="shared" si="576"/>
        <v>0</v>
      </c>
      <c r="AQ149" s="174">
        <f t="shared" si="576"/>
        <v>0</v>
      </c>
      <c r="AR149" s="174">
        <f t="shared" si="576"/>
        <v>0</v>
      </c>
      <c r="AS149" s="174">
        <f t="shared" si="576"/>
        <v>0</v>
      </c>
      <c r="AT149" s="174">
        <f t="shared" si="576"/>
        <v>0</v>
      </c>
      <c r="AU149" s="174">
        <f t="shared" si="576"/>
        <v>0</v>
      </c>
      <c r="AV149" s="174">
        <f t="shared" si="576"/>
        <v>0</v>
      </c>
      <c r="AW149" s="174">
        <f t="shared" si="576"/>
        <v>0</v>
      </c>
      <c r="AX149" s="174">
        <f t="shared" si="576"/>
        <v>0</v>
      </c>
      <c r="AY149" s="174">
        <f>TRUNC(+AY148/(494.789),3)</f>
        <v>101.012</v>
      </c>
      <c r="AZ149" s="174">
        <f>TRUNC(+AZ148/(494.789),3)</f>
        <v>101.001</v>
      </c>
      <c r="BA149" s="174">
        <f>TRUNC(+BA148/(494.789),3)</f>
        <v>101.181</v>
      </c>
      <c r="BB149" s="174">
        <f>TRUNC(+BB148/(494.789+0.015),3)</f>
        <v>101.387</v>
      </c>
      <c r="BC149" s="174">
        <f>TRUNC(+BC148/(494.789+0.015),3)</f>
        <v>100.955</v>
      </c>
      <c r="BD149" s="174">
        <f>TRUNC(+BD148/(494.789+0.015),3)</f>
        <v>101.325</v>
      </c>
      <c r="BE149" s="172"/>
      <c r="BF149" s="172"/>
      <c r="BG149" s="172"/>
      <c r="BH149" s="172"/>
      <c r="BI149" s="172"/>
      <c r="BJ149" s="172"/>
      <c r="BK149" s="172"/>
      <c r="BL149" s="172"/>
      <c r="BM149" s="172"/>
      <c r="BN149" s="172"/>
      <c r="BO149" s="172"/>
      <c r="BP149" s="172"/>
      <c r="BQ149" s="172"/>
      <c r="BR149" s="172"/>
      <c r="BS149" s="172"/>
      <c r="BT149" s="172"/>
      <c r="BU149" s="172"/>
      <c r="BV149" s="172"/>
      <c r="BW149" s="172"/>
      <c r="BX149" s="172"/>
      <c r="BY149" s="172"/>
      <c r="BZ149" s="172"/>
      <c r="CA149" s="172"/>
      <c r="CB149" s="172"/>
      <c r="CC149" s="172"/>
      <c r="CD149" s="172"/>
      <c r="CE149" s="172"/>
      <c r="CF149" s="172"/>
      <c r="CG149" s="172"/>
      <c r="CH149" s="172"/>
    </row>
    <row r="150" spans="1:123" x14ac:dyDescent="0.3">
      <c r="H150" s="128"/>
    </row>
    <row r="151" spans="1:123" x14ac:dyDescent="0.3">
      <c r="H151" s="128"/>
    </row>
    <row r="152" spans="1:123" x14ac:dyDescent="0.3">
      <c r="A152" s="127" t="s">
        <v>105</v>
      </c>
      <c r="B152" s="201">
        <v>150000</v>
      </c>
      <c r="H152" s="118">
        <f>+$B$152/($B$39+$B$152)</f>
        <v>2.5143290818168532E-2</v>
      </c>
      <c r="I152" s="118">
        <f>+H153/(H38+H153)</f>
        <v>2.5143590928412212E-2</v>
      </c>
      <c r="J152" s="118">
        <f>+I153/(I38+I153)</f>
        <v>2.5144238192780392E-2</v>
      </c>
      <c r="K152" s="118">
        <f>+J153/(J38+J153)</f>
        <v>2.5149751219282094E-2</v>
      </c>
      <c r="L152" s="118">
        <f>+K153/(K38+K153)</f>
        <v>2.5009446944804423E-2</v>
      </c>
      <c r="M152" s="118">
        <f>+J153/(J38+J153)</f>
        <v>2.5149751219282094E-2</v>
      </c>
      <c r="N152" s="118">
        <f>+M153/(M38+M153)</f>
        <v>2.5009446944804423E-2</v>
      </c>
      <c r="O152" s="118">
        <f>+O153/(O38+O49+O153)</f>
        <v>2.4489891936181018E-2</v>
      </c>
      <c r="P152" s="118">
        <f>+P153/(P38+P49+P153+P59)</f>
        <v>2.4241263713725404E-2</v>
      </c>
      <c r="Q152" s="118">
        <f>+Q153/(Q38+Q49+Q153+Q59)</f>
        <v>2.4236392327309359E-2</v>
      </c>
      <c r="R152" s="118"/>
      <c r="S152" s="118"/>
      <c r="T152" s="118">
        <f>+Q153/(Q38+Q49+Q59+T69+Q153)</f>
        <v>2.340853095522764E-2</v>
      </c>
      <c r="U152" s="118"/>
      <c r="V152" s="118">
        <f>+T160/(V45+T160)</f>
        <v>2.3439571186441018E-2</v>
      </c>
      <c r="W152" s="118">
        <f>+V153/(V45+V153)</f>
        <v>2.3439571186441018E-2</v>
      </c>
      <c r="X152" s="118">
        <f>+X153/(X38+X49+X153)</f>
        <v>2.1807191945484056E-2</v>
      </c>
      <c r="Y152" s="118">
        <f>+Y153/(Y38+Y49+Y153)</f>
        <v>2.1882786064617816E-2</v>
      </c>
      <c r="Z152" s="118"/>
      <c r="AA152" s="118">
        <f t="shared" ref="AA152:AF152" si="577">+AA153/(AA38+AA49+AA153+AA59)</f>
        <v>2.1450510886767551E-2</v>
      </c>
      <c r="AB152" s="167">
        <f t="shared" si="577"/>
        <v>2.1499052900512305E-2</v>
      </c>
      <c r="AC152" s="118">
        <f t="shared" si="577"/>
        <v>2.1427133973508729E-2</v>
      </c>
      <c r="AD152" s="118">
        <f t="shared" si="577"/>
        <v>2.1422220867058386E-2</v>
      </c>
      <c r="AE152" s="118">
        <f t="shared" si="577"/>
        <v>2.1537893624724871E-2</v>
      </c>
      <c r="AF152" s="118">
        <f t="shared" si="577"/>
        <v>2.1622433146203553E-2</v>
      </c>
      <c r="AG152" s="118">
        <f>+AG153/(AG38+AG49+AG153+AG59+AG69)</f>
        <v>2.0956515382666883E-2</v>
      </c>
      <c r="AH152" s="118">
        <f>+AH153/(AH38+AH49+AH153+AH59+AH69+AH79+AH130)</f>
        <v>2.0869754777318485E-2</v>
      </c>
      <c r="AI152" s="118">
        <f>+AI153/(AI38+AI49+AI153+AI59+AI69+AI79+AI130+AI89)</f>
        <v>2.0502731553551031E-2</v>
      </c>
      <c r="AJ152" s="118">
        <f>+AJ153/(AJ38+AJ49+AJ153+AJ59+AJ69+AJ79+AJ130+AJ89)</f>
        <v>2.0484992704580721E-2</v>
      </c>
      <c r="AK152" s="118">
        <f>+AK153/(AK38+AK49+AK153+AK59+AK69+AK79+AK130+AK89)</f>
        <v>2.0472269070048062E-2</v>
      </c>
      <c r="AL152" s="118">
        <f>+AL153/(AL38+AL49+AL153+AL59+AL69+AL79+AL130+AL89)</f>
        <v>2.0420458341040015E-2</v>
      </c>
      <c r="AM152" s="118">
        <f>+AM153/(AM38+AM49+AM153+AM59+AM69+AM79+AM130+AM89+AM99)</f>
        <v>2.0467935494319776E-2</v>
      </c>
      <c r="AN152" s="118">
        <f>+AN153/(AN38+AN49+AN153+AN59+AN69+AN79+AN130+AN89+AN99)</f>
        <v>2.0373026705985085E-2</v>
      </c>
      <c r="AO152" s="118">
        <f>+AO153/(AO38+AO49+AO153+AO59+AO69+AO79+AO130+AO89+AO99)</f>
        <v>2.0336674099196542E-2</v>
      </c>
      <c r="AP152" s="118">
        <f>AP153/(AP38+AP49+AP153+AP59+AP69+AP79+AP130+AP89+AP99+AP109)</f>
        <v>2.0244573871719896E-2</v>
      </c>
      <c r="AQ152" s="118">
        <f>AQ153/(AQ38+AQ49+AQ153+AQ59+AQ69+AQ79+AQ130+AQ89+AQ99+AQ109+AQ119)</f>
        <v>1.9573147880739401E-2</v>
      </c>
      <c r="AR152" s="118">
        <f>AR153/(AR38+AR49+AR153+AR59+AR69+AR79+AR130+AR89+AR99+AR109+AR119)</f>
        <v>1.9592871855956345E-2</v>
      </c>
      <c r="AS152" s="118">
        <f>+AS153/(AS38+AS153+AS130)</f>
        <v>1.9628749825339395E-2</v>
      </c>
      <c r="AT152" s="118">
        <f>+AT153/(AT38+AT153+AT130)</f>
        <v>1.964229274423045E-2</v>
      </c>
      <c r="AU152" s="118">
        <f>+AU153/(AU38+AU153+AU130)</f>
        <v>1.9706629643628529E-2</v>
      </c>
      <c r="AV152" s="118">
        <f>+AV153/(AV38+AV153+AV130)</f>
        <v>1.9702935722895602E-2</v>
      </c>
      <c r="AW152" s="118">
        <f>+AW153/(AW38+AW153+AW130)</f>
        <v>1.9679768760907781E-2</v>
      </c>
      <c r="AX152" s="118">
        <f>+AX153/(AX38+AX153+AX130+AX49)</f>
        <v>1.9009367584293044E-2</v>
      </c>
      <c r="AY152" s="118">
        <f t="shared" ref="AY152:BD152" si="578">AY153/(AY38+AY49+AY153+AY130+AY141)</f>
        <v>1.8910946595475025E-2</v>
      </c>
      <c r="AZ152" s="118">
        <f t="shared" si="578"/>
        <v>1.8894233257827523E-2</v>
      </c>
      <c r="BA152" s="118">
        <f t="shared" si="578"/>
        <v>1.8868412179209815E-2</v>
      </c>
      <c r="BB152" s="118">
        <f t="shared" si="578"/>
        <v>1.8876969935185967E-2</v>
      </c>
      <c r="BC152" s="118">
        <f t="shared" si="578"/>
        <v>1.8882704769319553E-2</v>
      </c>
      <c r="BD152" s="118">
        <f t="shared" si="578"/>
        <v>1.8877765122945145E-2</v>
      </c>
      <c r="BE152" s="118">
        <f t="shared" ref="BE152" si="579">+BD153/(BD38+BD153)</f>
        <v>1.9841509249202163E-2</v>
      </c>
      <c r="BF152" s="118">
        <f t="shared" ref="BF152:CK152" si="580">+BE153/(BE38+BE153)</f>
        <v>1</v>
      </c>
      <c r="BG152" s="118">
        <f t="shared" si="580"/>
        <v>1</v>
      </c>
      <c r="BH152" s="118">
        <f t="shared" si="580"/>
        <v>1</v>
      </c>
      <c r="BI152" s="118">
        <f t="shared" si="580"/>
        <v>1</v>
      </c>
      <c r="BJ152" s="118">
        <f t="shared" si="580"/>
        <v>1</v>
      </c>
      <c r="BK152" s="118">
        <f t="shared" si="580"/>
        <v>1</v>
      </c>
      <c r="BL152" s="118">
        <f t="shared" si="580"/>
        <v>1</v>
      </c>
      <c r="BM152" s="118">
        <f t="shared" si="580"/>
        <v>1</v>
      </c>
      <c r="BN152" s="118">
        <f t="shared" si="580"/>
        <v>1</v>
      </c>
      <c r="BO152" s="118">
        <f t="shared" si="580"/>
        <v>1</v>
      </c>
      <c r="BP152" s="118">
        <f t="shared" si="580"/>
        <v>1</v>
      </c>
      <c r="BQ152" s="118">
        <f t="shared" si="580"/>
        <v>1</v>
      </c>
      <c r="BR152" s="118">
        <f t="shared" si="580"/>
        <v>1</v>
      </c>
      <c r="BS152" s="118">
        <f t="shared" si="580"/>
        <v>1</v>
      </c>
      <c r="BT152" s="118">
        <f t="shared" si="580"/>
        <v>1</v>
      </c>
      <c r="BU152" s="118">
        <f t="shared" si="580"/>
        <v>1</v>
      </c>
      <c r="BV152" s="118">
        <f t="shared" si="580"/>
        <v>1</v>
      </c>
      <c r="BW152" s="118">
        <f t="shared" si="580"/>
        <v>1</v>
      </c>
      <c r="BX152" s="118">
        <f t="shared" si="580"/>
        <v>1</v>
      </c>
      <c r="BY152" s="118">
        <f t="shared" si="580"/>
        <v>1</v>
      </c>
      <c r="BZ152" s="118">
        <f t="shared" si="580"/>
        <v>1</v>
      </c>
      <c r="CA152" s="118">
        <f t="shared" si="580"/>
        <v>1</v>
      </c>
      <c r="CB152" s="118">
        <f t="shared" si="580"/>
        <v>1</v>
      </c>
      <c r="CC152" s="118">
        <f t="shared" si="580"/>
        <v>1</v>
      </c>
      <c r="CD152" s="118">
        <f t="shared" si="580"/>
        <v>1</v>
      </c>
      <c r="CE152" s="118">
        <f t="shared" si="580"/>
        <v>1</v>
      </c>
      <c r="CF152" s="118">
        <f t="shared" si="580"/>
        <v>1</v>
      </c>
      <c r="CG152" s="118">
        <f t="shared" si="580"/>
        <v>1</v>
      </c>
      <c r="CH152" s="118">
        <f t="shared" si="580"/>
        <v>1</v>
      </c>
      <c r="CI152" s="118">
        <f t="shared" si="580"/>
        <v>1</v>
      </c>
      <c r="CJ152" s="118">
        <f t="shared" si="580"/>
        <v>1</v>
      </c>
      <c r="CK152" s="118">
        <f t="shared" si="580"/>
        <v>1</v>
      </c>
      <c r="CL152" s="118">
        <f t="shared" ref="CL152:DS152" si="581">+CK153/(CK38+CK153)</f>
        <v>1</v>
      </c>
      <c r="CM152" s="118">
        <f t="shared" si="581"/>
        <v>1</v>
      </c>
      <c r="CN152" s="118">
        <f t="shared" si="581"/>
        <v>1</v>
      </c>
      <c r="CO152" s="118">
        <f t="shared" si="581"/>
        <v>1</v>
      </c>
      <c r="CP152" s="118">
        <f t="shared" si="581"/>
        <v>1</v>
      </c>
      <c r="CQ152" s="118">
        <f t="shared" si="581"/>
        <v>1</v>
      </c>
      <c r="CR152" s="118">
        <f t="shared" si="581"/>
        <v>1</v>
      </c>
      <c r="CS152" s="118">
        <f t="shared" si="581"/>
        <v>1</v>
      </c>
      <c r="CT152" s="118">
        <f t="shared" si="581"/>
        <v>1</v>
      </c>
      <c r="CU152" s="118">
        <f t="shared" si="581"/>
        <v>1</v>
      </c>
      <c r="CV152" s="118">
        <f t="shared" si="581"/>
        <v>1</v>
      </c>
      <c r="CW152" s="118">
        <f t="shared" si="581"/>
        <v>1</v>
      </c>
      <c r="CX152" s="118">
        <f t="shared" si="581"/>
        <v>1</v>
      </c>
      <c r="CY152" s="118">
        <f t="shared" si="581"/>
        <v>1</v>
      </c>
      <c r="CZ152" s="118">
        <f t="shared" si="581"/>
        <v>1</v>
      </c>
      <c r="DA152" s="118">
        <f t="shared" si="581"/>
        <v>1</v>
      </c>
      <c r="DB152" s="118">
        <f t="shared" si="581"/>
        <v>1</v>
      </c>
      <c r="DC152" s="118">
        <f t="shared" si="581"/>
        <v>1</v>
      </c>
      <c r="DD152" s="118">
        <f t="shared" si="581"/>
        <v>1</v>
      </c>
      <c r="DE152" s="118">
        <f t="shared" si="581"/>
        <v>1</v>
      </c>
      <c r="DF152" s="118">
        <f t="shared" si="581"/>
        <v>1</v>
      </c>
      <c r="DG152" s="118">
        <f t="shared" si="581"/>
        <v>1</v>
      </c>
      <c r="DH152" s="118">
        <f t="shared" si="581"/>
        <v>1</v>
      </c>
      <c r="DI152" s="118">
        <f t="shared" si="581"/>
        <v>1</v>
      </c>
      <c r="DJ152" s="118">
        <f t="shared" si="581"/>
        <v>1</v>
      </c>
      <c r="DK152" s="118">
        <f t="shared" si="581"/>
        <v>1</v>
      </c>
      <c r="DL152" s="118">
        <f t="shared" si="581"/>
        <v>1</v>
      </c>
      <c r="DM152" s="118">
        <f t="shared" si="581"/>
        <v>1</v>
      </c>
      <c r="DN152" s="118">
        <f t="shared" si="581"/>
        <v>1</v>
      </c>
      <c r="DO152" s="118">
        <f t="shared" si="581"/>
        <v>1</v>
      </c>
      <c r="DP152" s="118">
        <f t="shared" si="581"/>
        <v>1</v>
      </c>
      <c r="DQ152" s="118">
        <f t="shared" si="581"/>
        <v>1</v>
      </c>
      <c r="DR152" s="118">
        <f t="shared" si="581"/>
        <v>1</v>
      </c>
      <c r="DS152" s="118">
        <f t="shared" si="581"/>
        <v>1</v>
      </c>
    </row>
    <row r="153" spans="1:123" x14ac:dyDescent="0.3">
      <c r="A153" t="s">
        <v>106</v>
      </c>
      <c r="B153" s="79">
        <v>1500</v>
      </c>
      <c r="C153" s="105">
        <v>1500</v>
      </c>
      <c r="H153" s="111">
        <f>+H29*H152</f>
        <v>150001.83497994251</v>
      </c>
      <c r="I153" s="64">
        <f>H160</f>
        <v>150001.467983954</v>
      </c>
      <c r="J153" s="64">
        <f>I160</f>
        <v>149115.32391166914</v>
      </c>
      <c r="K153" s="64">
        <f>J160</f>
        <v>149465.87111405923</v>
      </c>
      <c r="L153" s="64">
        <f t="shared" ref="L153:P153" si="582">K160</f>
        <v>149505.01323360502</v>
      </c>
      <c r="M153" s="64">
        <f>J160</f>
        <v>149465.87111405923</v>
      </c>
      <c r="N153" s="64">
        <f>M160</f>
        <v>149581.90567798226</v>
      </c>
      <c r="O153" s="64">
        <f t="shared" si="582"/>
        <v>149808.82706919344</v>
      </c>
      <c r="P153" s="64">
        <f t="shared" si="582"/>
        <v>149591.5923494107</v>
      </c>
      <c r="Q153" s="64">
        <f>P160</f>
        <v>150000.5860735288</v>
      </c>
      <c r="R153" s="64"/>
      <c r="S153" s="64"/>
      <c r="T153" s="64">
        <f>Q160</f>
        <v>149921.34119872775</v>
      </c>
      <c r="U153" s="64"/>
      <c r="V153" s="64">
        <f>T160</f>
        <v>149475.92467867571</v>
      </c>
      <c r="W153" s="64">
        <f>V160</f>
        <v>149158.26654099382</v>
      </c>
      <c r="X153" s="64">
        <f>W160</f>
        <v>149121.7832182066</v>
      </c>
      <c r="Y153" s="64">
        <f>X160</f>
        <v>148937.43535274634</v>
      </c>
      <c r="Z153" s="64"/>
      <c r="AA153" s="64">
        <f>Y160</f>
        <v>148960.33095326362</v>
      </c>
      <c r="AB153" s="64">
        <f t="shared" ref="AB153:AG153" si="583">AA160</f>
        <v>149006.87444972069</v>
      </c>
      <c r="AC153" s="64">
        <f t="shared" si="583"/>
        <v>149618.44452281471</v>
      </c>
      <c r="AD153" s="64">
        <f t="shared" si="583"/>
        <v>149571.94704197301</v>
      </c>
      <c r="AE153" s="64">
        <f t="shared" si="583"/>
        <v>149288.77086362214</v>
      </c>
      <c r="AF153" s="64">
        <f t="shared" si="583"/>
        <v>148811.84389036038</v>
      </c>
      <c r="AG153" s="64">
        <f t="shared" si="583"/>
        <v>148564.70750930646</v>
      </c>
      <c r="AH153" s="64">
        <f t="shared" ref="AH153:BA153" si="584">AG160</f>
        <v>147830.39795720769</v>
      </c>
      <c r="AI153" s="64">
        <f t="shared" si="584"/>
        <v>148160.9586542375</v>
      </c>
      <c r="AJ153" s="64">
        <f t="shared" si="584"/>
        <v>148190.65139894976</v>
      </c>
      <c r="AK153" s="64">
        <f t="shared" si="584"/>
        <v>148489.53540886356</v>
      </c>
      <c r="AL153" s="64">
        <f t="shared" si="584"/>
        <v>149299.42939123834</v>
      </c>
      <c r="AM153" s="64">
        <f t="shared" si="584"/>
        <v>149542.06721345283</v>
      </c>
      <c r="AN153" s="64">
        <f t="shared" si="584"/>
        <v>149762.98593154733</v>
      </c>
      <c r="AO153" s="64">
        <f t="shared" si="584"/>
        <v>150259.77226116243</v>
      </c>
      <c r="AP153" s="64">
        <f t="shared" si="584"/>
        <v>150495.02192107649</v>
      </c>
      <c r="AQ153" s="64">
        <f t="shared" si="584"/>
        <v>150515.60746686428</v>
      </c>
      <c r="AR153" s="64">
        <f t="shared" si="584"/>
        <v>150246.31893296097</v>
      </c>
      <c r="AS153" s="64">
        <f t="shared" si="584"/>
        <v>150142.83802158257</v>
      </c>
      <c r="AT153" s="64">
        <f t="shared" si="584"/>
        <v>150258.73077704903</v>
      </c>
      <c r="AU153" s="64">
        <f t="shared" si="584"/>
        <v>150008.97278651348</v>
      </c>
      <c r="AV153" s="64">
        <f t="shared" si="584"/>
        <v>149532.59238652218</v>
      </c>
      <c r="AW153" s="64">
        <f t="shared" si="584"/>
        <v>148997.56271581273</v>
      </c>
      <c r="AX153" s="64">
        <f t="shared" si="584"/>
        <v>149007.31103982797</v>
      </c>
      <c r="AY153" s="64">
        <f t="shared" si="584"/>
        <v>149070.61049027179</v>
      </c>
      <c r="AZ153" s="64">
        <f t="shared" si="584"/>
        <v>149017.23445046417</v>
      </c>
      <c r="BA153" s="64">
        <f t="shared" si="584"/>
        <v>149007.12586281713</v>
      </c>
      <c r="BB153" s="64">
        <f>BA160+468.03</f>
        <v>149746.61164567724</v>
      </c>
      <c r="BC153" s="64">
        <f>BB155</f>
        <v>150067.46494959664</v>
      </c>
      <c r="BD153" s="64">
        <f>BC155</f>
        <v>149446.44514733102</v>
      </c>
      <c r="BE153" s="64">
        <f t="shared" ref="BE153:BR153" si="585">BD160</f>
        <v>150000.7274373206</v>
      </c>
      <c r="BF153" s="64">
        <f t="shared" si="585"/>
        <v>150000.7274373206</v>
      </c>
      <c r="BG153" s="64">
        <f t="shared" si="585"/>
        <v>150000.7274373206</v>
      </c>
      <c r="BH153" s="64">
        <f t="shared" si="585"/>
        <v>150000.7274373206</v>
      </c>
      <c r="BI153" s="64">
        <f t="shared" si="585"/>
        <v>150000.7274373206</v>
      </c>
      <c r="BJ153" s="64">
        <f t="shared" si="585"/>
        <v>150000.7274373206</v>
      </c>
      <c r="BK153" s="64">
        <f t="shared" si="585"/>
        <v>150000.7274373206</v>
      </c>
      <c r="BL153" s="64">
        <f t="shared" si="585"/>
        <v>150000.7274373206</v>
      </c>
      <c r="BM153" s="64">
        <f t="shared" si="585"/>
        <v>150000.7274373206</v>
      </c>
      <c r="BN153" s="64">
        <f t="shared" si="585"/>
        <v>150000.7274373206</v>
      </c>
      <c r="BO153" s="64">
        <f t="shared" si="585"/>
        <v>150000.7274373206</v>
      </c>
      <c r="BP153" s="64">
        <f t="shared" si="585"/>
        <v>150000.7274373206</v>
      </c>
      <c r="BQ153" s="64">
        <f t="shared" si="585"/>
        <v>150000.7274373206</v>
      </c>
      <c r="BR153" s="64">
        <f t="shared" si="585"/>
        <v>150000.7274373206</v>
      </c>
      <c r="BS153" s="64">
        <f t="shared" ref="BS153:DS153" si="586">BR160</f>
        <v>150000.7274373206</v>
      </c>
      <c r="BT153" s="64">
        <f t="shared" si="586"/>
        <v>150000.7274373206</v>
      </c>
      <c r="BU153" s="64">
        <f t="shared" si="586"/>
        <v>150000.7274373206</v>
      </c>
      <c r="BV153" s="64">
        <f t="shared" si="586"/>
        <v>150000.7274373206</v>
      </c>
      <c r="BW153" s="64">
        <f t="shared" si="586"/>
        <v>150000.7274373206</v>
      </c>
      <c r="BX153" s="64">
        <f t="shared" si="586"/>
        <v>150000.7274373206</v>
      </c>
      <c r="BY153" s="64">
        <f t="shared" si="586"/>
        <v>150000.7274373206</v>
      </c>
      <c r="BZ153" s="64">
        <f t="shared" si="586"/>
        <v>150000.7274373206</v>
      </c>
      <c r="CA153" s="64">
        <f t="shared" si="586"/>
        <v>150000.7274373206</v>
      </c>
      <c r="CB153" s="64">
        <f t="shared" si="586"/>
        <v>150000.7274373206</v>
      </c>
      <c r="CC153" s="64">
        <f t="shared" si="586"/>
        <v>150000.7274373206</v>
      </c>
      <c r="CD153" s="64">
        <f t="shared" si="586"/>
        <v>150000.7274373206</v>
      </c>
      <c r="CE153" s="64">
        <f t="shared" si="586"/>
        <v>150000.7274373206</v>
      </c>
      <c r="CF153" s="64">
        <f t="shared" si="586"/>
        <v>150000.7274373206</v>
      </c>
      <c r="CG153" s="64">
        <f t="shared" si="586"/>
        <v>150000.7274373206</v>
      </c>
      <c r="CH153" s="64">
        <f t="shared" si="586"/>
        <v>150000.7274373206</v>
      </c>
      <c r="CI153" s="64">
        <f t="shared" si="586"/>
        <v>150000.7274373206</v>
      </c>
      <c r="CJ153" s="64">
        <f t="shared" si="586"/>
        <v>150000.7274373206</v>
      </c>
      <c r="CK153" s="64">
        <f t="shared" si="586"/>
        <v>150000.7274373206</v>
      </c>
      <c r="CL153" s="64">
        <f t="shared" si="586"/>
        <v>150000.7274373206</v>
      </c>
      <c r="CM153" s="64">
        <f t="shared" si="586"/>
        <v>150000.7274373206</v>
      </c>
      <c r="CN153" s="64">
        <f t="shared" si="586"/>
        <v>150000.7274373206</v>
      </c>
      <c r="CO153" s="64">
        <f t="shared" si="586"/>
        <v>150000.7274373206</v>
      </c>
      <c r="CP153" s="64">
        <f t="shared" si="586"/>
        <v>150000.7274373206</v>
      </c>
      <c r="CQ153" s="64">
        <f t="shared" si="586"/>
        <v>150000.7274373206</v>
      </c>
      <c r="CR153" s="64">
        <f t="shared" si="586"/>
        <v>150000.7274373206</v>
      </c>
      <c r="CS153" s="64">
        <f t="shared" si="586"/>
        <v>150000.7274373206</v>
      </c>
      <c r="CT153" s="64">
        <f t="shared" si="586"/>
        <v>150000.7274373206</v>
      </c>
      <c r="CU153" s="64">
        <f t="shared" si="586"/>
        <v>150000.7274373206</v>
      </c>
      <c r="CV153" s="64">
        <f t="shared" si="586"/>
        <v>150000.7274373206</v>
      </c>
      <c r="CW153" s="64">
        <f t="shared" si="586"/>
        <v>150000.7274373206</v>
      </c>
      <c r="CX153" s="64">
        <f t="shared" si="586"/>
        <v>150000.7274373206</v>
      </c>
      <c r="CY153" s="64">
        <f t="shared" si="586"/>
        <v>150000.7274373206</v>
      </c>
      <c r="CZ153" s="64">
        <f t="shared" si="586"/>
        <v>150000.7274373206</v>
      </c>
      <c r="DA153" s="64">
        <f t="shared" si="586"/>
        <v>150000.7274373206</v>
      </c>
      <c r="DB153" s="64">
        <f t="shared" si="586"/>
        <v>150000.7274373206</v>
      </c>
      <c r="DC153" s="64">
        <f t="shared" si="586"/>
        <v>150000.7274373206</v>
      </c>
      <c r="DD153" s="64">
        <f t="shared" si="586"/>
        <v>150000.7274373206</v>
      </c>
      <c r="DE153" s="64">
        <f t="shared" si="586"/>
        <v>150000.7274373206</v>
      </c>
      <c r="DF153" s="64">
        <f t="shared" si="586"/>
        <v>150000.7274373206</v>
      </c>
      <c r="DG153" s="64">
        <f t="shared" si="586"/>
        <v>150000.7274373206</v>
      </c>
      <c r="DH153" s="64">
        <f t="shared" si="586"/>
        <v>150000.7274373206</v>
      </c>
      <c r="DI153" s="64">
        <f t="shared" si="586"/>
        <v>150000.7274373206</v>
      </c>
      <c r="DJ153" s="64">
        <f t="shared" si="586"/>
        <v>150000.7274373206</v>
      </c>
      <c r="DK153" s="64">
        <f t="shared" si="586"/>
        <v>150000.7274373206</v>
      </c>
      <c r="DL153" s="64">
        <f t="shared" si="586"/>
        <v>150000.7274373206</v>
      </c>
      <c r="DM153" s="64">
        <f t="shared" si="586"/>
        <v>150000.7274373206</v>
      </c>
      <c r="DN153" s="64">
        <f t="shared" si="586"/>
        <v>150000.7274373206</v>
      </c>
      <c r="DO153" s="64">
        <f t="shared" si="586"/>
        <v>150000.7274373206</v>
      </c>
      <c r="DP153" s="64">
        <f t="shared" si="586"/>
        <v>150000.7274373206</v>
      </c>
      <c r="DQ153" s="64">
        <f t="shared" si="586"/>
        <v>150000.7274373206</v>
      </c>
      <c r="DR153" s="64">
        <f t="shared" si="586"/>
        <v>150000.7274373206</v>
      </c>
      <c r="DS153" s="64">
        <f t="shared" si="586"/>
        <v>150000.7274373206</v>
      </c>
    </row>
    <row r="154" spans="1:123" x14ac:dyDescent="0.3">
      <c r="C154" s="105"/>
      <c r="H154" s="111"/>
      <c r="I154" s="64">
        <f t="shared" ref="I154:Q154" si="587">+I33*I152</f>
        <v>-886.14407228487585</v>
      </c>
      <c r="J154" s="64">
        <f t="shared" si="587"/>
        <v>350.54720239010453</v>
      </c>
      <c r="K154" s="64">
        <f t="shared" si="587"/>
        <v>39.14211954578002</v>
      </c>
      <c r="L154" s="64">
        <f t="shared" si="587"/>
        <v>0</v>
      </c>
      <c r="M154" s="64">
        <f t="shared" si="587"/>
        <v>116.03456392302181</v>
      </c>
      <c r="N154" s="64">
        <f t="shared" si="587"/>
        <v>226.92139121119388</v>
      </c>
      <c r="O154" s="64">
        <f t="shared" si="587"/>
        <v>-217.23471978274216</v>
      </c>
      <c r="P154" s="64">
        <f t="shared" si="587"/>
        <v>408.9937241181006</v>
      </c>
      <c r="Q154" s="64">
        <f t="shared" si="587"/>
        <v>-79.244874801040496</v>
      </c>
      <c r="R154" s="64"/>
      <c r="S154" s="64"/>
      <c r="T154" s="64">
        <f>+T33*T152</f>
        <v>-445.41652005203326</v>
      </c>
      <c r="U154" s="64"/>
      <c r="V154" s="64">
        <f>+V33*V152</f>
        <v>-317.6581376818969</v>
      </c>
      <c r="W154" s="64">
        <f>+W33*W152</f>
        <v>-36.48332278721017</v>
      </c>
      <c r="X154" s="64">
        <f>+X33*X152</f>
        <v>-184.3478654602583</v>
      </c>
      <c r="Y154" s="64">
        <f>+Y33*Y152</f>
        <v>22.895600517279338</v>
      </c>
      <c r="Z154" s="64"/>
      <c r="AA154" s="64">
        <f t="shared" ref="AA154:AI154" si="588">+AA33*AA152</f>
        <v>46.543496457072052</v>
      </c>
      <c r="AB154" s="64">
        <f t="shared" si="588"/>
        <v>611.57007309400922</v>
      </c>
      <c r="AC154" s="64">
        <f t="shared" si="588"/>
        <v>-46.497480841688819</v>
      </c>
      <c r="AD154" s="64">
        <f t="shared" si="588"/>
        <v>-283.17617835086008</v>
      </c>
      <c r="AE154" s="64">
        <f t="shared" si="588"/>
        <v>-476.92697326174437</v>
      </c>
      <c r="AF154" s="64">
        <f t="shared" si="588"/>
        <v>-247.13638105391837</v>
      </c>
      <c r="AG154" s="64">
        <f t="shared" si="588"/>
        <v>-734.30955209877334</v>
      </c>
      <c r="AH154" s="64">
        <f t="shared" si="588"/>
        <v>330.56069702981495</v>
      </c>
      <c r="AI154" s="64">
        <f t="shared" si="588"/>
        <v>29.69274471226689</v>
      </c>
      <c r="AJ154" s="64">
        <f t="shared" ref="AJ154:AK154" si="589">+AJ33*AJ152</f>
        <v>298.88400991380939</v>
      </c>
      <c r="AK154" s="64">
        <f t="shared" si="589"/>
        <v>809.89398237477133</v>
      </c>
      <c r="AL154" s="64">
        <f t="shared" ref="AL154:AM154" si="590">+AL33*AL152</f>
        <v>242.6378222144852</v>
      </c>
      <c r="AM154" s="64">
        <f t="shared" si="590"/>
        <v>220.91871809451138</v>
      </c>
      <c r="AN154" s="64">
        <f t="shared" ref="AN154:AO154" si="591">+AN33*AN152</f>
        <v>561.58632961509932</v>
      </c>
      <c r="AO154" s="64">
        <f t="shared" si="591"/>
        <v>358.84965991405357</v>
      </c>
      <c r="AP154" s="64">
        <f t="shared" ref="AP154:AQ154" si="592">+AP33*AP152</f>
        <v>149.28554578781569</v>
      </c>
      <c r="AQ154" s="64">
        <f t="shared" si="592"/>
        <v>-207.78853390332301</v>
      </c>
      <c r="AR154" s="64">
        <f t="shared" ref="AR154:AS154" si="593">+AR33*AR152</f>
        <v>-68.08091137839692</v>
      </c>
      <c r="AS154" s="64">
        <f t="shared" si="593"/>
        <v>180.39275546644433</v>
      </c>
      <c r="AT154" s="64">
        <f t="shared" ref="AT154:AU154" si="594">+AT33*AT152</f>
        <v>-247.65799053553675</v>
      </c>
      <c r="AU154" s="64">
        <f t="shared" si="594"/>
        <v>-476.38039999127801</v>
      </c>
      <c r="AV154" s="64">
        <f t="shared" ref="AV154" si="595">+AV33*AV152</f>
        <v>-535.02967070943896</v>
      </c>
      <c r="AW154" s="64">
        <f t="shared" ref="AW154:AX154" si="596">+AW33*AW152</f>
        <v>9.7483240152294375</v>
      </c>
      <c r="AX154" s="64">
        <f t="shared" si="596"/>
        <v>63.299450443814301</v>
      </c>
      <c r="AY154" s="64">
        <f t="shared" ref="AY154:AZ154" si="597">+AY33*AY152</f>
        <v>-53.376039807622284</v>
      </c>
      <c r="AZ154" s="64">
        <f t="shared" si="597"/>
        <v>-10.108587647026365</v>
      </c>
      <c r="BA154" s="64">
        <f t="shared" ref="BA154:BB154" si="598">+BA33*BA152</f>
        <v>271.45578286010578</v>
      </c>
      <c r="BB154" s="64">
        <f t="shared" si="598"/>
        <v>320.85330391941056</v>
      </c>
      <c r="BC154" s="64">
        <f t="shared" ref="BC154:BD154" si="599">+BC33*BC152</f>
        <v>-621.01980226561477</v>
      </c>
      <c r="BD154" s="64">
        <f t="shared" si="599"/>
        <v>554.28228998959696</v>
      </c>
      <c r="BE154" s="64">
        <f t="shared" ref="BE154:CB154" si="600">+BE33*BE152</f>
        <v>0</v>
      </c>
      <c r="BF154" s="64">
        <f t="shared" si="600"/>
        <v>0</v>
      </c>
      <c r="BG154" s="64">
        <f t="shared" si="600"/>
        <v>0</v>
      </c>
      <c r="BH154" s="64">
        <f t="shared" si="600"/>
        <v>0</v>
      </c>
      <c r="BI154" s="64">
        <f t="shared" si="600"/>
        <v>0</v>
      </c>
      <c r="BJ154" s="64">
        <f t="shared" si="600"/>
        <v>0</v>
      </c>
      <c r="BK154" s="64">
        <f t="shared" si="600"/>
        <v>0</v>
      </c>
      <c r="BL154" s="64">
        <f t="shared" si="600"/>
        <v>0</v>
      </c>
      <c r="BM154" s="64">
        <f t="shared" si="600"/>
        <v>0</v>
      </c>
      <c r="BN154" s="64">
        <f t="shared" si="600"/>
        <v>0</v>
      </c>
      <c r="BO154" s="64">
        <f t="shared" si="600"/>
        <v>0</v>
      </c>
      <c r="BP154" s="64">
        <f t="shared" si="600"/>
        <v>0</v>
      </c>
      <c r="BQ154" s="64">
        <f t="shared" si="600"/>
        <v>0</v>
      </c>
      <c r="BR154" s="64">
        <f t="shared" si="600"/>
        <v>0</v>
      </c>
      <c r="BS154" s="64">
        <f t="shared" si="600"/>
        <v>0</v>
      </c>
      <c r="BT154" s="64">
        <f t="shared" si="600"/>
        <v>0</v>
      </c>
      <c r="BU154" s="64">
        <f t="shared" si="600"/>
        <v>0</v>
      </c>
      <c r="BV154" s="64">
        <f t="shared" si="600"/>
        <v>0</v>
      </c>
      <c r="BW154" s="64">
        <f t="shared" si="600"/>
        <v>0</v>
      </c>
      <c r="BX154" s="64">
        <f t="shared" si="600"/>
        <v>0</v>
      </c>
      <c r="BY154" s="64">
        <f t="shared" si="600"/>
        <v>0</v>
      </c>
      <c r="BZ154" s="64">
        <f t="shared" si="600"/>
        <v>0</v>
      </c>
      <c r="CA154" s="64">
        <f t="shared" si="600"/>
        <v>0</v>
      </c>
      <c r="CB154" s="64">
        <f t="shared" si="600"/>
        <v>0</v>
      </c>
      <c r="CC154" s="64">
        <f t="shared" ref="CC154:DH154" si="601">+CC33*CC152</f>
        <v>0</v>
      </c>
      <c r="CD154" s="64">
        <f t="shared" si="601"/>
        <v>0</v>
      </c>
      <c r="CE154" s="64">
        <f t="shared" si="601"/>
        <v>0</v>
      </c>
      <c r="CF154" s="64">
        <f t="shared" si="601"/>
        <v>0</v>
      </c>
      <c r="CG154" s="64">
        <f t="shared" si="601"/>
        <v>0</v>
      </c>
      <c r="CH154" s="64">
        <f t="shared" si="601"/>
        <v>0</v>
      </c>
      <c r="CI154" s="64">
        <f t="shared" si="601"/>
        <v>0</v>
      </c>
      <c r="CJ154" s="64">
        <f t="shared" si="601"/>
        <v>0</v>
      </c>
      <c r="CK154" s="64">
        <f t="shared" si="601"/>
        <v>0</v>
      </c>
      <c r="CL154" s="64">
        <f t="shared" si="601"/>
        <v>0</v>
      </c>
      <c r="CM154" s="64">
        <f t="shared" si="601"/>
        <v>0</v>
      </c>
      <c r="CN154" s="64">
        <f t="shared" si="601"/>
        <v>0</v>
      </c>
      <c r="CO154" s="64">
        <f t="shared" si="601"/>
        <v>0</v>
      </c>
      <c r="CP154" s="64">
        <f t="shared" si="601"/>
        <v>0</v>
      </c>
      <c r="CQ154" s="64">
        <f t="shared" si="601"/>
        <v>0</v>
      </c>
      <c r="CR154" s="64">
        <f t="shared" si="601"/>
        <v>0</v>
      </c>
      <c r="CS154" s="64">
        <f t="shared" si="601"/>
        <v>0</v>
      </c>
      <c r="CT154" s="64">
        <f t="shared" si="601"/>
        <v>0</v>
      </c>
      <c r="CU154" s="64">
        <f t="shared" si="601"/>
        <v>0</v>
      </c>
      <c r="CV154" s="64">
        <f t="shared" si="601"/>
        <v>0</v>
      </c>
      <c r="CW154" s="64">
        <f t="shared" si="601"/>
        <v>0</v>
      </c>
      <c r="CX154" s="64">
        <f t="shared" si="601"/>
        <v>0</v>
      </c>
      <c r="CY154" s="64">
        <f t="shared" si="601"/>
        <v>0</v>
      </c>
      <c r="CZ154" s="64">
        <f t="shared" si="601"/>
        <v>0</v>
      </c>
      <c r="DA154" s="64">
        <f t="shared" si="601"/>
        <v>0</v>
      </c>
      <c r="DB154" s="64">
        <f t="shared" si="601"/>
        <v>0</v>
      </c>
      <c r="DC154" s="64">
        <f t="shared" si="601"/>
        <v>0</v>
      </c>
      <c r="DD154" s="64">
        <f t="shared" si="601"/>
        <v>0</v>
      </c>
      <c r="DE154" s="64">
        <f t="shared" si="601"/>
        <v>0</v>
      </c>
      <c r="DF154" s="64">
        <f t="shared" si="601"/>
        <v>0</v>
      </c>
      <c r="DG154" s="64">
        <f t="shared" si="601"/>
        <v>0</v>
      </c>
      <c r="DH154" s="64">
        <f t="shared" si="601"/>
        <v>0</v>
      </c>
      <c r="DI154" s="64">
        <f t="shared" ref="DI154:DS154" si="602">+DI33*DI152</f>
        <v>0</v>
      </c>
      <c r="DJ154" s="64">
        <f t="shared" si="602"/>
        <v>0</v>
      </c>
      <c r="DK154" s="64">
        <f t="shared" si="602"/>
        <v>0</v>
      </c>
      <c r="DL154" s="64">
        <f t="shared" si="602"/>
        <v>0</v>
      </c>
      <c r="DM154" s="64">
        <f t="shared" si="602"/>
        <v>0</v>
      </c>
      <c r="DN154" s="64">
        <f t="shared" si="602"/>
        <v>0</v>
      </c>
      <c r="DO154" s="64">
        <f t="shared" si="602"/>
        <v>0</v>
      </c>
      <c r="DP154" s="64">
        <f t="shared" si="602"/>
        <v>0</v>
      </c>
      <c r="DQ154" s="64">
        <f t="shared" si="602"/>
        <v>0</v>
      </c>
      <c r="DR154" s="64">
        <f t="shared" si="602"/>
        <v>0</v>
      </c>
      <c r="DS154" s="64">
        <f t="shared" si="602"/>
        <v>0</v>
      </c>
    </row>
    <row r="155" spans="1:123" x14ac:dyDescent="0.3">
      <c r="C155" s="105"/>
      <c r="H155" s="111"/>
      <c r="I155" s="64">
        <f>+I153+I154</f>
        <v>149115.32391166914</v>
      </c>
      <c r="J155" s="64">
        <f>+J153+J154</f>
        <v>149465.87111405923</v>
      </c>
      <c r="K155" s="64">
        <f t="shared" ref="K155:P155" si="603">+K153+K154</f>
        <v>149505.01323360502</v>
      </c>
      <c r="L155" s="64">
        <f t="shared" si="603"/>
        <v>149505.01323360502</v>
      </c>
      <c r="M155" s="64">
        <f t="shared" si="603"/>
        <v>149581.90567798226</v>
      </c>
      <c r="N155" s="64">
        <f t="shared" si="603"/>
        <v>149808.82706919344</v>
      </c>
      <c r="O155" s="64">
        <f t="shared" si="603"/>
        <v>149591.5923494107</v>
      </c>
      <c r="P155" s="64">
        <f t="shared" si="603"/>
        <v>150000.5860735288</v>
      </c>
      <c r="Q155" s="64">
        <f t="shared" ref="Q155" si="604">+Q153+Q154</f>
        <v>149921.34119872775</v>
      </c>
      <c r="R155" s="64"/>
      <c r="S155" s="64"/>
      <c r="T155" s="64">
        <f t="shared" ref="T155:W155" si="605">+T153+T154</f>
        <v>149475.92467867571</v>
      </c>
      <c r="U155" s="64"/>
      <c r="V155" s="64">
        <f>+V153+V154</f>
        <v>149158.26654099382</v>
      </c>
      <c r="W155" s="64">
        <f t="shared" si="605"/>
        <v>149121.7832182066</v>
      </c>
      <c r="X155" s="64">
        <f>+X153+X154</f>
        <v>148937.43535274634</v>
      </c>
      <c r="Y155" s="64">
        <f>+Y153+Y154</f>
        <v>148960.33095326362</v>
      </c>
      <c r="Z155" s="64"/>
      <c r="AA155" s="64">
        <f t="shared" ref="AA155:AF155" si="606">+AA153+AA154</f>
        <v>149006.87444972069</v>
      </c>
      <c r="AB155" s="64">
        <f t="shared" si="606"/>
        <v>149618.44452281471</v>
      </c>
      <c r="AC155" s="64">
        <f t="shared" si="606"/>
        <v>149571.94704197301</v>
      </c>
      <c r="AD155" s="64">
        <f t="shared" si="606"/>
        <v>149288.77086362214</v>
      </c>
      <c r="AE155" s="64">
        <f t="shared" si="606"/>
        <v>148811.84389036038</v>
      </c>
      <c r="AF155" s="64">
        <f t="shared" si="606"/>
        <v>148564.70750930646</v>
      </c>
      <c r="AG155" s="64">
        <f t="shared" ref="AG155:AM155" si="607">+AG153+AG154</f>
        <v>147830.39795720769</v>
      </c>
      <c r="AH155" s="64">
        <f t="shared" si="607"/>
        <v>148160.9586542375</v>
      </c>
      <c r="AI155" s="64">
        <f t="shared" si="607"/>
        <v>148190.65139894976</v>
      </c>
      <c r="AJ155" s="64">
        <f t="shared" si="607"/>
        <v>148489.53540886356</v>
      </c>
      <c r="AK155" s="64">
        <f t="shared" si="607"/>
        <v>149299.42939123834</v>
      </c>
      <c r="AL155" s="64">
        <f t="shared" si="607"/>
        <v>149542.06721345283</v>
      </c>
      <c r="AM155" s="64">
        <f t="shared" si="607"/>
        <v>149762.98593154733</v>
      </c>
      <c r="AN155" s="64">
        <f t="shared" ref="AN155:AO155" si="608">+AN153+AN154</f>
        <v>150324.57226116242</v>
      </c>
      <c r="AO155" s="64">
        <f t="shared" si="608"/>
        <v>150618.6219210765</v>
      </c>
      <c r="AP155" s="64">
        <f t="shared" ref="AP155:AQ155" si="609">+AP153+AP154</f>
        <v>150644.30746686429</v>
      </c>
      <c r="AQ155" s="64">
        <f t="shared" si="609"/>
        <v>150307.81893296097</v>
      </c>
      <c r="AR155" s="64">
        <f t="shared" ref="AR155:AS155" si="610">+AR153+AR154</f>
        <v>150178.23802158257</v>
      </c>
      <c r="AS155" s="64">
        <f t="shared" si="610"/>
        <v>150323.23077704903</v>
      </c>
      <c r="AT155" s="64">
        <f t="shared" ref="AT155:AU155" si="611">+AT153+AT154</f>
        <v>150011.07278651348</v>
      </c>
      <c r="AU155" s="64">
        <f t="shared" si="611"/>
        <v>149532.59238652218</v>
      </c>
      <c r="AV155" s="64">
        <f t="shared" ref="AV155" si="612">+AV153+AV154</f>
        <v>148997.56271581273</v>
      </c>
      <c r="AW155" s="64">
        <f t="shared" ref="AW155:AX155" si="613">+AW153+AW154</f>
        <v>149007.31103982797</v>
      </c>
      <c r="AX155" s="64">
        <f t="shared" si="613"/>
        <v>149070.61049027179</v>
      </c>
      <c r="AY155" s="64">
        <f t="shared" ref="AY155:AZ155" si="614">+AY153+AY154</f>
        <v>149017.23445046417</v>
      </c>
      <c r="AZ155" s="64">
        <f t="shared" si="614"/>
        <v>149007.12586281713</v>
      </c>
      <c r="BA155" s="64">
        <f t="shared" ref="BA155:BB155" si="615">+BA153+BA154</f>
        <v>149278.58164567724</v>
      </c>
      <c r="BB155" s="64">
        <f t="shared" si="615"/>
        <v>150067.46494959664</v>
      </c>
      <c r="BC155" s="64">
        <f t="shared" ref="BC155:BD155" si="616">+BC153+BC154</f>
        <v>149446.44514733102</v>
      </c>
      <c r="BD155" s="64">
        <f t="shared" si="616"/>
        <v>150000.7274373206</v>
      </c>
      <c r="BE155" s="64">
        <f t="shared" ref="BE155:BR155" si="617">+BE153+BE154</f>
        <v>150000.7274373206</v>
      </c>
      <c r="BF155" s="64">
        <f t="shared" si="617"/>
        <v>150000.7274373206</v>
      </c>
      <c r="BG155" s="64">
        <f t="shared" si="617"/>
        <v>150000.7274373206</v>
      </c>
      <c r="BH155" s="64">
        <f t="shared" si="617"/>
        <v>150000.7274373206</v>
      </c>
      <c r="BI155" s="64">
        <f t="shared" si="617"/>
        <v>150000.7274373206</v>
      </c>
      <c r="BJ155" s="64">
        <f t="shared" si="617"/>
        <v>150000.7274373206</v>
      </c>
      <c r="BK155" s="64">
        <f t="shared" si="617"/>
        <v>150000.7274373206</v>
      </c>
      <c r="BL155" s="64">
        <f t="shared" si="617"/>
        <v>150000.7274373206</v>
      </c>
      <c r="BM155" s="64">
        <f t="shared" si="617"/>
        <v>150000.7274373206</v>
      </c>
      <c r="BN155" s="64">
        <f t="shared" si="617"/>
        <v>150000.7274373206</v>
      </c>
      <c r="BO155" s="64">
        <f t="shared" si="617"/>
        <v>150000.7274373206</v>
      </c>
      <c r="BP155" s="64">
        <f t="shared" si="617"/>
        <v>150000.7274373206</v>
      </c>
      <c r="BQ155" s="64">
        <f t="shared" si="617"/>
        <v>150000.7274373206</v>
      </c>
      <c r="BR155" s="64">
        <f t="shared" si="617"/>
        <v>150000.7274373206</v>
      </c>
      <c r="BS155" s="64">
        <f t="shared" ref="BS155:CX155" si="618">+BS153+BS154</f>
        <v>150000.7274373206</v>
      </c>
      <c r="BT155" s="64">
        <f t="shared" si="618"/>
        <v>150000.7274373206</v>
      </c>
      <c r="BU155" s="64">
        <f t="shared" si="618"/>
        <v>150000.7274373206</v>
      </c>
      <c r="BV155" s="64">
        <f t="shared" si="618"/>
        <v>150000.7274373206</v>
      </c>
      <c r="BW155" s="64">
        <f t="shared" si="618"/>
        <v>150000.7274373206</v>
      </c>
      <c r="BX155" s="64">
        <f t="shared" si="618"/>
        <v>150000.7274373206</v>
      </c>
      <c r="BY155" s="64">
        <f t="shared" si="618"/>
        <v>150000.7274373206</v>
      </c>
      <c r="BZ155" s="64">
        <f t="shared" si="618"/>
        <v>150000.7274373206</v>
      </c>
      <c r="CA155" s="64">
        <f t="shared" si="618"/>
        <v>150000.7274373206</v>
      </c>
      <c r="CB155" s="64">
        <f t="shared" si="618"/>
        <v>150000.7274373206</v>
      </c>
      <c r="CC155" s="64">
        <f t="shared" si="618"/>
        <v>150000.7274373206</v>
      </c>
      <c r="CD155" s="64">
        <f t="shared" si="618"/>
        <v>150000.7274373206</v>
      </c>
      <c r="CE155" s="64">
        <f t="shared" si="618"/>
        <v>150000.7274373206</v>
      </c>
      <c r="CF155" s="64">
        <f t="shared" si="618"/>
        <v>150000.7274373206</v>
      </c>
      <c r="CG155" s="64">
        <f t="shared" si="618"/>
        <v>150000.7274373206</v>
      </c>
      <c r="CH155" s="64">
        <f t="shared" si="618"/>
        <v>150000.7274373206</v>
      </c>
      <c r="CI155" s="64">
        <f t="shared" si="618"/>
        <v>150000.7274373206</v>
      </c>
      <c r="CJ155" s="64">
        <f t="shared" si="618"/>
        <v>150000.7274373206</v>
      </c>
      <c r="CK155" s="64">
        <f t="shared" si="618"/>
        <v>150000.7274373206</v>
      </c>
      <c r="CL155" s="64">
        <f t="shared" si="618"/>
        <v>150000.7274373206</v>
      </c>
      <c r="CM155" s="64">
        <f t="shared" si="618"/>
        <v>150000.7274373206</v>
      </c>
      <c r="CN155" s="64">
        <f t="shared" si="618"/>
        <v>150000.7274373206</v>
      </c>
      <c r="CO155" s="64">
        <f t="shared" si="618"/>
        <v>150000.7274373206</v>
      </c>
      <c r="CP155" s="64">
        <f t="shared" si="618"/>
        <v>150000.7274373206</v>
      </c>
      <c r="CQ155" s="64">
        <f t="shared" si="618"/>
        <v>150000.7274373206</v>
      </c>
      <c r="CR155" s="64">
        <f t="shared" si="618"/>
        <v>150000.7274373206</v>
      </c>
      <c r="CS155" s="64">
        <f t="shared" si="618"/>
        <v>150000.7274373206</v>
      </c>
      <c r="CT155" s="64">
        <f t="shared" si="618"/>
        <v>150000.7274373206</v>
      </c>
      <c r="CU155" s="64">
        <f t="shared" si="618"/>
        <v>150000.7274373206</v>
      </c>
      <c r="CV155" s="64">
        <f t="shared" si="618"/>
        <v>150000.7274373206</v>
      </c>
      <c r="CW155" s="64">
        <f t="shared" si="618"/>
        <v>150000.7274373206</v>
      </c>
      <c r="CX155" s="64">
        <f t="shared" si="618"/>
        <v>150000.7274373206</v>
      </c>
      <c r="CY155" s="64">
        <f t="shared" ref="CY155:DS155" si="619">+CY153+CY154</f>
        <v>150000.7274373206</v>
      </c>
      <c r="CZ155" s="64">
        <f t="shared" si="619"/>
        <v>150000.7274373206</v>
      </c>
      <c r="DA155" s="64">
        <f t="shared" si="619"/>
        <v>150000.7274373206</v>
      </c>
      <c r="DB155" s="64">
        <f t="shared" si="619"/>
        <v>150000.7274373206</v>
      </c>
      <c r="DC155" s="64">
        <f t="shared" si="619"/>
        <v>150000.7274373206</v>
      </c>
      <c r="DD155" s="64">
        <f t="shared" si="619"/>
        <v>150000.7274373206</v>
      </c>
      <c r="DE155" s="64">
        <f t="shared" si="619"/>
        <v>150000.7274373206</v>
      </c>
      <c r="DF155" s="64">
        <f t="shared" si="619"/>
        <v>150000.7274373206</v>
      </c>
      <c r="DG155" s="64">
        <f t="shared" si="619"/>
        <v>150000.7274373206</v>
      </c>
      <c r="DH155" s="64">
        <f t="shared" si="619"/>
        <v>150000.7274373206</v>
      </c>
      <c r="DI155" s="64">
        <f t="shared" si="619"/>
        <v>150000.7274373206</v>
      </c>
      <c r="DJ155" s="64">
        <f t="shared" si="619"/>
        <v>150000.7274373206</v>
      </c>
      <c r="DK155" s="64">
        <f t="shared" si="619"/>
        <v>150000.7274373206</v>
      </c>
      <c r="DL155" s="64">
        <f t="shared" si="619"/>
        <v>150000.7274373206</v>
      </c>
      <c r="DM155" s="64">
        <f t="shared" si="619"/>
        <v>150000.7274373206</v>
      </c>
      <c r="DN155" s="64">
        <f t="shared" si="619"/>
        <v>150000.7274373206</v>
      </c>
      <c r="DO155" s="64">
        <f t="shared" si="619"/>
        <v>150000.7274373206</v>
      </c>
      <c r="DP155" s="64">
        <f t="shared" si="619"/>
        <v>150000.7274373206</v>
      </c>
      <c r="DQ155" s="64">
        <f t="shared" si="619"/>
        <v>150000.7274373206</v>
      </c>
      <c r="DR155" s="64">
        <f t="shared" si="619"/>
        <v>150000.7274373206</v>
      </c>
      <c r="DS155" s="64">
        <f t="shared" si="619"/>
        <v>150000.7274373206</v>
      </c>
    </row>
    <row r="156" spans="1:123" x14ac:dyDescent="0.3">
      <c r="B156" s="104"/>
      <c r="C156" s="105"/>
      <c r="H156" s="111">
        <f>TRUNC((H29*H152)/$B$153,3)</f>
        <v>100.001</v>
      </c>
      <c r="I156" s="111">
        <f>TRUNC((I155)/1500,3)</f>
        <v>99.41</v>
      </c>
      <c r="J156" s="111">
        <f>TRUNC((J155)/1500,3)</f>
        <v>99.643000000000001</v>
      </c>
      <c r="K156" s="111">
        <f t="shared" ref="K156:P156" si="620">TRUNC((K155)/1500,3)</f>
        <v>99.67</v>
      </c>
      <c r="L156" s="111">
        <f t="shared" si="620"/>
        <v>99.67</v>
      </c>
      <c r="M156" s="111">
        <f t="shared" si="620"/>
        <v>99.721000000000004</v>
      </c>
      <c r="N156" s="111">
        <f t="shared" si="620"/>
        <v>99.872</v>
      </c>
      <c r="O156" s="111">
        <f t="shared" si="620"/>
        <v>99.727000000000004</v>
      </c>
      <c r="P156" s="111">
        <f t="shared" si="620"/>
        <v>100</v>
      </c>
      <c r="Q156" s="111">
        <f t="shared" ref="Q156" si="621">TRUNC((Q155)/1500,3)</f>
        <v>99.947000000000003</v>
      </c>
      <c r="R156" s="111"/>
      <c r="S156" s="111"/>
      <c r="T156" s="111">
        <f t="shared" ref="T156:X156" si="622">TRUNC((T155)/1500,3)</f>
        <v>99.65</v>
      </c>
      <c r="U156" s="111"/>
      <c r="V156" s="111">
        <f>TRUNC((V155)/1500,3)</f>
        <v>99.438000000000002</v>
      </c>
      <c r="W156" s="111">
        <f t="shared" si="622"/>
        <v>99.414000000000001</v>
      </c>
      <c r="X156" s="111">
        <f t="shared" si="622"/>
        <v>99.290999999999997</v>
      </c>
      <c r="Y156" s="111">
        <f t="shared" ref="Y156:AA156" si="623">TRUNC((Y155)/1500,3)</f>
        <v>99.305999999999997</v>
      </c>
      <c r="Z156" s="111"/>
      <c r="AA156" s="111">
        <f t="shared" si="623"/>
        <v>99.337000000000003</v>
      </c>
      <c r="AB156" s="111">
        <f t="shared" ref="AB156" si="624">TRUNC((AB155)/1500,3)</f>
        <v>99.745000000000005</v>
      </c>
      <c r="AC156" s="111">
        <f>TRUNC((AC155)/1500,3)</f>
        <v>99.713999999999999</v>
      </c>
      <c r="AD156" s="111">
        <f>TRUNC((AD155)/1500,5)</f>
        <v>99.525840000000002</v>
      </c>
      <c r="AE156" s="111">
        <f>TRUNC((AE155)/1500,5)</f>
        <v>99.207890000000006</v>
      </c>
      <c r="AF156" s="111">
        <f>TRUNC((AF155)/1500,3)</f>
        <v>99.043000000000006</v>
      </c>
      <c r="AG156" s="162">
        <f>TRUNC((AG155)/1500,4)</f>
        <v>98.5535</v>
      </c>
      <c r="AH156" s="162">
        <f>TRUNC((AH155)/1500,4)</f>
        <v>98.773899999999998</v>
      </c>
      <c r="AI156" s="162">
        <f>TRUNC((AI155)/1500,4)</f>
        <v>98.793700000000001</v>
      </c>
      <c r="AJ156" s="162">
        <f>TRUNC((AJ155)/1500,5)</f>
        <v>98.993020000000001</v>
      </c>
      <c r="AK156" s="162">
        <f>TRUNC((AK155)/1500,5)</f>
        <v>99.53295</v>
      </c>
      <c r="AL156" s="162">
        <f t="shared" ref="AL156:AM156" si="625">TRUNC((AL155)/1500,3)</f>
        <v>99.694000000000003</v>
      </c>
      <c r="AM156" s="162">
        <f t="shared" si="625"/>
        <v>99.840999999999994</v>
      </c>
      <c r="AN156" s="162">
        <f>TRUNC((AN155)/1500,3)</f>
        <v>100.21599999999999</v>
      </c>
      <c r="AO156" s="162">
        <f t="shared" ref="AO156:AP156" si="626">TRUNC((AO155)/1500,3)</f>
        <v>100.41200000000001</v>
      </c>
      <c r="AP156" s="162">
        <f t="shared" si="626"/>
        <v>100.429</v>
      </c>
      <c r="AQ156" s="162">
        <f t="shared" ref="AQ156:AR156" si="627">TRUNC((AQ155)/1500,3)</f>
        <v>100.205</v>
      </c>
      <c r="AR156" s="162">
        <f t="shared" si="627"/>
        <v>100.11799999999999</v>
      </c>
      <c r="AS156" s="162">
        <f t="shared" ref="AS156:AT156" si="628">TRUNC((AS155)/1500,3)</f>
        <v>100.215</v>
      </c>
      <c r="AT156" s="162">
        <f t="shared" si="628"/>
        <v>100.00700000000001</v>
      </c>
      <c r="AU156" s="162">
        <f t="shared" ref="AU156:AV156" si="629">TRUNC((AU155)/1500,3)</f>
        <v>99.688000000000002</v>
      </c>
      <c r="AV156" s="162">
        <f t="shared" si="629"/>
        <v>99.331000000000003</v>
      </c>
      <c r="AW156" s="162">
        <f t="shared" ref="AW156:AX156" si="630">TRUNC((AW155)/1500,3)</f>
        <v>99.337999999999994</v>
      </c>
      <c r="AX156" s="162">
        <f t="shared" si="630"/>
        <v>99.38</v>
      </c>
      <c r="AY156" s="162">
        <f t="shared" ref="AY156:AZ156" si="631">TRUNC((AY155)/1500,3)</f>
        <v>99.343999999999994</v>
      </c>
      <c r="AZ156" s="162">
        <f t="shared" si="631"/>
        <v>99.337999999999994</v>
      </c>
      <c r="BA156" s="162">
        <f t="shared" ref="BA156:BB156" si="632">TRUNC((BA155)/1500,3)</f>
        <v>99.519000000000005</v>
      </c>
      <c r="BB156" s="162">
        <f t="shared" si="632"/>
        <v>100.044</v>
      </c>
      <c r="BC156" s="162">
        <f t="shared" ref="BC156:BD156" si="633">TRUNC((BC155)/1500,3)</f>
        <v>99.63</v>
      </c>
      <c r="BD156" s="162">
        <f t="shared" si="633"/>
        <v>100</v>
      </c>
      <c r="BE156" s="162">
        <f t="shared" ref="BE156:CT156" si="634">TRUNC((BE155)/1500,3)</f>
        <v>100</v>
      </c>
      <c r="BF156" s="162">
        <f t="shared" si="634"/>
        <v>100</v>
      </c>
      <c r="BG156" s="162">
        <f t="shared" si="634"/>
        <v>100</v>
      </c>
      <c r="BH156" s="162">
        <f t="shared" si="634"/>
        <v>100</v>
      </c>
      <c r="BI156" s="162">
        <f t="shared" si="634"/>
        <v>100</v>
      </c>
      <c r="BJ156" s="162">
        <f t="shared" si="634"/>
        <v>100</v>
      </c>
      <c r="BK156" s="162">
        <f t="shared" si="634"/>
        <v>100</v>
      </c>
      <c r="BL156" s="162">
        <f t="shared" si="634"/>
        <v>100</v>
      </c>
      <c r="BM156" s="162">
        <f t="shared" si="634"/>
        <v>100</v>
      </c>
      <c r="BN156" s="162">
        <f t="shared" si="634"/>
        <v>100</v>
      </c>
      <c r="BO156" s="162">
        <f t="shared" si="634"/>
        <v>100</v>
      </c>
      <c r="BP156" s="162">
        <f t="shared" si="634"/>
        <v>100</v>
      </c>
      <c r="BQ156" s="162">
        <f t="shared" si="634"/>
        <v>100</v>
      </c>
      <c r="BR156" s="162">
        <f t="shared" si="634"/>
        <v>100</v>
      </c>
      <c r="BS156" s="162">
        <f t="shared" si="634"/>
        <v>100</v>
      </c>
      <c r="BT156" s="162">
        <f t="shared" si="634"/>
        <v>100</v>
      </c>
      <c r="BU156" s="162">
        <f t="shared" si="634"/>
        <v>100</v>
      </c>
      <c r="BV156" s="162">
        <f t="shared" si="634"/>
        <v>100</v>
      </c>
      <c r="BW156" s="162">
        <f t="shared" si="634"/>
        <v>100</v>
      </c>
      <c r="BX156" s="162">
        <f t="shared" si="634"/>
        <v>100</v>
      </c>
      <c r="BY156" s="162">
        <f t="shared" si="634"/>
        <v>100</v>
      </c>
      <c r="BZ156" s="162">
        <f t="shared" si="634"/>
        <v>100</v>
      </c>
      <c r="CA156" s="162">
        <f t="shared" si="634"/>
        <v>100</v>
      </c>
      <c r="CB156" s="162">
        <f t="shared" si="634"/>
        <v>100</v>
      </c>
      <c r="CC156" s="162">
        <f t="shared" si="634"/>
        <v>100</v>
      </c>
      <c r="CD156" s="162">
        <f t="shared" si="634"/>
        <v>100</v>
      </c>
      <c r="CE156" s="162">
        <f t="shared" si="634"/>
        <v>100</v>
      </c>
      <c r="CF156" s="162">
        <f t="shared" si="634"/>
        <v>100</v>
      </c>
      <c r="CG156" s="162">
        <f t="shared" si="634"/>
        <v>100</v>
      </c>
      <c r="CH156" s="162">
        <f t="shared" si="634"/>
        <v>100</v>
      </c>
      <c r="CI156" s="162">
        <f t="shared" si="634"/>
        <v>100</v>
      </c>
      <c r="CJ156" s="162">
        <f t="shared" si="634"/>
        <v>100</v>
      </c>
      <c r="CK156" s="162">
        <f t="shared" si="634"/>
        <v>100</v>
      </c>
      <c r="CL156" s="162">
        <f t="shared" si="634"/>
        <v>100</v>
      </c>
      <c r="CM156" s="162">
        <f t="shared" si="634"/>
        <v>100</v>
      </c>
      <c r="CN156" s="162">
        <f t="shared" si="634"/>
        <v>100</v>
      </c>
      <c r="CO156" s="162">
        <f t="shared" si="634"/>
        <v>100</v>
      </c>
      <c r="CP156" s="162">
        <f t="shared" si="634"/>
        <v>100</v>
      </c>
      <c r="CQ156" s="162">
        <f t="shared" si="634"/>
        <v>100</v>
      </c>
      <c r="CR156" s="162">
        <f t="shared" si="634"/>
        <v>100</v>
      </c>
      <c r="CS156" s="162">
        <f t="shared" si="634"/>
        <v>100</v>
      </c>
      <c r="CT156" s="162">
        <f t="shared" si="634"/>
        <v>100</v>
      </c>
      <c r="CU156" s="162">
        <f t="shared" ref="CU156:DS156" si="635">TRUNC((CU155)/1500,3)</f>
        <v>100</v>
      </c>
      <c r="CV156" s="162">
        <f t="shared" si="635"/>
        <v>100</v>
      </c>
      <c r="CW156" s="162">
        <f t="shared" si="635"/>
        <v>100</v>
      </c>
      <c r="CX156" s="162">
        <f t="shared" si="635"/>
        <v>100</v>
      </c>
      <c r="CY156" s="162">
        <f t="shared" si="635"/>
        <v>100</v>
      </c>
      <c r="CZ156" s="162">
        <f t="shared" si="635"/>
        <v>100</v>
      </c>
      <c r="DA156" s="162">
        <f t="shared" si="635"/>
        <v>100</v>
      </c>
      <c r="DB156" s="162">
        <f t="shared" si="635"/>
        <v>100</v>
      </c>
      <c r="DC156" s="162">
        <f t="shared" si="635"/>
        <v>100</v>
      </c>
      <c r="DD156" s="162">
        <f t="shared" si="635"/>
        <v>100</v>
      </c>
      <c r="DE156" s="162">
        <f t="shared" si="635"/>
        <v>100</v>
      </c>
      <c r="DF156" s="162">
        <f t="shared" si="635"/>
        <v>100</v>
      </c>
      <c r="DG156" s="162">
        <f t="shared" si="635"/>
        <v>100</v>
      </c>
      <c r="DH156" s="162">
        <f t="shared" si="635"/>
        <v>100</v>
      </c>
      <c r="DI156" s="162">
        <f t="shared" si="635"/>
        <v>100</v>
      </c>
      <c r="DJ156" s="162">
        <f t="shared" si="635"/>
        <v>100</v>
      </c>
      <c r="DK156" s="162">
        <f t="shared" si="635"/>
        <v>100</v>
      </c>
      <c r="DL156" s="162">
        <f t="shared" si="635"/>
        <v>100</v>
      </c>
      <c r="DM156" s="162">
        <f t="shared" si="635"/>
        <v>100</v>
      </c>
      <c r="DN156" s="162">
        <f t="shared" si="635"/>
        <v>100</v>
      </c>
      <c r="DO156" s="162">
        <f t="shared" si="635"/>
        <v>100</v>
      </c>
      <c r="DP156" s="162">
        <f t="shared" si="635"/>
        <v>100</v>
      </c>
      <c r="DQ156" s="162">
        <f t="shared" si="635"/>
        <v>100</v>
      </c>
      <c r="DR156" s="162">
        <f t="shared" si="635"/>
        <v>100</v>
      </c>
      <c r="DS156" s="162">
        <f t="shared" si="635"/>
        <v>100</v>
      </c>
    </row>
    <row r="157" spans="1:123" x14ac:dyDescent="0.3">
      <c r="B157" s="104"/>
      <c r="C157" s="105"/>
      <c r="H157" s="117">
        <f>ROUND((H156-100)*0.2,3)</f>
        <v>0</v>
      </c>
      <c r="I157" s="117">
        <f>IF(I156&gt;100,ROUND((I156-100)*0.2,3),0)</f>
        <v>0</v>
      </c>
      <c r="J157" s="117">
        <f>IF(J156&gt;100,ROUND((J156-100)*0.2,3),0)</f>
        <v>0</v>
      </c>
      <c r="K157" s="117">
        <f t="shared" ref="K157:P157" si="636">IF(K156&gt;100,ROUND((K156-100)*0.2,3),0)</f>
        <v>0</v>
      </c>
      <c r="L157" s="117">
        <f t="shared" si="636"/>
        <v>0</v>
      </c>
      <c r="M157" s="117">
        <f t="shared" si="636"/>
        <v>0</v>
      </c>
      <c r="N157" s="117">
        <f t="shared" si="636"/>
        <v>0</v>
      </c>
      <c r="O157" s="117">
        <f t="shared" si="636"/>
        <v>0</v>
      </c>
      <c r="P157" s="117">
        <f t="shared" si="636"/>
        <v>0</v>
      </c>
      <c r="Q157" s="117">
        <f t="shared" ref="Q157" si="637">IF(Q156&gt;100,ROUND((Q156-100)*0.2,3),0)</f>
        <v>0</v>
      </c>
      <c r="R157" s="117"/>
      <c r="S157" s="117"/>
      <c r="T157" s="117">
        <f t="shared" ref="T157:X157" si="638">IF(T156&gt;100,ROUND((T156-100)*0.2,3),0)</f>
        <v>0</v>
      </c>
      <c r="U157" s="117"/>
      <c r="V157" s="117">
        <f>IF(V156&gt;100,ROUND((V156-100)*0.2,3),0)</f>
        <v>0</v>
      </c>
      <c r="W157" s="117">
        <f t="shared" si="638"/>
        <v>0</v>
      </c>
      <c r="X157" s="117">
        <f t="shared" si="638"/>
        <v>0</v>
      </c>
      <c r="Y157" s="117">
        <f t="shared" ref="Y157:AA157" si="639">IF(Y156&gt;100,ROUND((Y156-100)*0.2,3),0)</f>
        <v>0</v>
      </c>
      <c r="Z157" s="117"/>
      <c r="AA157" s="117">
        <f t="shared" si="639"/>
        <v>0</v>
      </c>
      <c r="AB157" s="117">
        <f t="shared" ref="AB157:AC157" si="640">IF(AB156&gt;100,ROUND((AB156-100)*0.2,3),0)</f>
        <v>0</v>
      </c>
      <c r="AC157" s="117">
        <f t="shared" si="640"/>
        <v>0</v>
      </c>
      <c r="AD157" s="117">
        <f t="shared" ref="AD157:AG157" si="641">IF(AD156&gt;100,ROUND((AD156-100)*0.2,3),0)</f>
        <v>0</v>
      </c>
      <c r="AE157" s="117">
        <f t="shared" si="641"/>
        <v>0</v>
      </c>
      <c r="AF157" s="117">
        <f t="shared" si="641"/>
        <v>0</v>
      </c>
      <c r="AG157" s="117">
        <f t="shared" si="641"/>
        <v>0</v>
      </c>
      <c r="AH157" s="117">
        <f t="shared" ref="AH157:AI157" si="642">IF(AH156&gt;100,ROUND((AH156-100)*0.2,3),0)</f>
        <v>0</v>
      </c>
      <c r="AI157" s="117">
        <f t="shared" si="642"/>
        <v>0</v>
      </c>
      <c r="AJ157" s="117">
        <f t="shared" ref="AJ157:AK157" si="643">IF(AJ156&gt;100,ROUND((AJ156-100)*0.2,3),0)</f>
        <v>0</v>
      </c>
      <c r="AK157" s="117">
        <f t="shared" si="643"/>
        <v>0</v>
      </c>
      <c r="AL157" s="117">
        <f t="shared" ref="AL157:AM157" si="644">IF(AL156&gt;100,ROUND((AL156-100)*0.2,3),0)</f>
        <v>0</v>
      </c>
      <c r="AM157" s="117">
        <f t="shared" si="644"/>
        <v>0</v>
      </c>
      <c r="AN157" s="117">
        <f>IF(AN156&gt;100,ROUND((AN156-100)*0.2,5),0)</f>
        <v>4.3200000000000002E-2</v>
      </c>
      <c r="AO157" s="117">
        <f t="shared" ref="AO157:AP157" si="645">IF(AO156&gt;100,ROUND((AO156-100)*0.2,3),0)</f>
        <v>8.2000000000000003E-2</v>
      </c>
      <c r="AP157" s="117">
        <f t="shared" si="645"/>
        <v>8.5999999999999993E-2</v>
      </c>
      <c r="AQ157" s="117">
        <f t="shared" ref="AQ157:AR157" si="646">IF(AQ156&gt;100,ROUND((AQ156-100)*0.2,3),0)</f>
        <v>4.1000000000000002E-2</v>
      </c>
      <c r="AR157" s="117">
        <f t="shared" si="646"/>
        <v>2.4E-2</v>
      </c>
      <c r="AS157" s="117">
        <f t="shared" ref="AS157" si="647">IF(AS156&gt;100,ROUND((AS156-100)*0.2,3),0)</f>
        <v>4.2999999999999997E-2</v>
      </c>
      <c r="AT157" s="117">
        <f t="shared" ref="AT157:AY157" si="648">IF(AT156&gt;100,ROUND((AT156-100)*0.2,6),0)</f>
        <v>1.4E-3</v>
      </c>
      <c r="AU157" s="117">
        <f t="shared" si="648"/>
        <v>0</v>
      </c>
      <c r="AV157" s="117">
        <f t="shared" si="648"/>
        <v>0</v>
      </c>
      <c r="AW157" s="117">
        <f t="shared" si="648"/>
        <v>0</v>
      </c>
      <c r="AX157" s="117">
        <f t="shared" si="648"/>
        <v>0</v>
      </c>
      <c r="AY157" s="117">
        <f t="shared" si="648"/>
        <v>0</v>
      </c>
      <c r="AZ157" s="117">
        <f t="shared" ref="AZ157:BA157" si="649">IF(AZ156&gt;100,ROUND((AZ156-100)*0.2,6),0)</f>
        <v>0</v>
      </c>
      <c r="BA157" s="117">
        <f t="shared" si="649"/>
        <v>0</v>
      </c>
      <c r="BB157" s="117">
        <f t="shared" ref="BB157:BC157" si="650">IF(BB156&gt;100,ROUND((BB156-100)*0.2,6),0)</f>
        <v>8.8000000000000005E-3</v>
      </c>
      <c r="BC157" s="117">
        <f t="shared" si="650"/>
        <v>0</v>
      </c>
      <c r="BD157" s="117">
        <f t="shared" ref="BD157" si="651">IF(BD156&gt;100,ROUND((BD156-100)*0.2,6),0)</f>
        <v>0</v>
      </c>
      <c r="BE157" s="117">
        <f t="shared" ref="BE157:DB157" si="652">IF(BE156&gt;100,ROUND((BE156-100)*0.2,6),0)</f>
        <v>0</v>
      </c>
      <c r="BF157" s="117">
        <f t="shared" si="652"/>
        <v>0</v>
      </c>
      <c r="BG157" s="117">
        <f t="shared" si="652"/>
        <v>0</v>
      </c>
      <c r="BH157" s="117">
        <f t="shared" si="652"/>
        <v>0</v>
      </c>
      <c r="BI157" s="117">
        <f t="shared" si="652"/>
        <v>0</v>
      </c>
      <c r="BJ157" s="117">
        <f t="shared" si="652"/>
        <v>0</v>
      </c>
      <c r="BK157" s="117">
        <f t="shared" si="652"/>
        <v>0</v>
      </c>
      <c r="BL157" s="117">
        <f t="shared" si="652"/>
        <v>0</v>
      </c>
      <c r="BM157" s="117">
        <f t="shared" si="652"/>
        <v>0</v>
      </c>
      <c r="BN157" s="117">
        <f t="shared" si="652"/>
        <v>0</v>
      </c>
      <c r="BO157" s="117">
        <f t="shared" si="652"/>
        <v>0</v>
      </c>
      <c r="BP157" s="117">
        <f t="shared" si="652"/>
        <v>0</v>
      </c>
      <c r="BQ157" s="117">
        <f t="shared" si="652"/>
        <v>0</v>
      </c>
      <c r="BR157" s="117">
        <f t="shared" si="652"/>
        <v>0</v>
      </c>
      <c r="BS157" s="117">
        <f t="shared" si="652"/>
        <v>0</v>
      </c>
      <c r="BT157" s="117">
        <f t="shared" si="652"/>
        <v>0</v>
      </c>
      <c r="BU157" s="117">
        <f t="shared" si="652"/>
        <v>0</v>
      </c>
      <c r="BV157" s="117">
        <f t="shared" si="652"/>
        <v>0</v>
      </c>
      <c r="BW157" s="117">
        <f t="shared" si="652"/>
        <v>0</v>
      </c>
      <c r="BX157" s="117">
        <f t="shared" si="652"/>
        <v>0</v>
      </c>
      <c r="BY157" s="117">
        <f t="shared" si="652"/>
        <v>0</v>
      </c>
      <c r="BZ157" s="117">
        <f t="shared" si="652"/>
        <v>0</v>
      </c>
      <c r="CA157" s="117">
        <f t="shared" si="652"/>
        <v>0</v>
      </c>
      <c r="CB157" s="117">
        <f t="shared" si="652"/>
        <v>0</v>
      </c>
      <c r="CC157" s="117">
        <f t="shared" si="652"/>
        <v>0</v>
      </c>
      <c r="CD157" s="117">
        <f t="shared" si="652"/>
        <v>0</v>
      </c>
      <c r="CE157" s="117">
        <f t="shared" si="652"/>
        <v>0</v>
      </c>
      <c r="CF157" s="117">
        <f t="shared" si="652"/>
        <v>0</v>
      </c>
      <c r="CG157" s="117">
        <f t="shared" si="652"/>
        <v>0</v>
      </c>
      <c r="CH157" s="117">
        <f t="shared" si="652"/>
        <v>0</v>
      </c>
      <c r="CI157" s="117">
        <f t="shared" si="652"/>
        <v>0</v>
      </c>
      <c r="CJ157" s="117">
        <f t="shared" si="652"/>
        <v>0</v>
      </c>
      <c r="CK157" s="117">
        <f t="shared" si="652"/>
        <v>0</v>
      </c>
      <c r="CL157" s="117">
        <f t="shared" si="652"/>
        <v>0</v>
      </c>
      <c r="CM157" s="117">
        <f t="shared" si="652"/>
        <v>0</v>
      </c>
      <c r="CN157" s="117">
        <f t="shared" si="652"/>
        <v>0</v>
      </c>
      <c r="CO157" s="117">
        <f t="shared" si="652"/>
        <v>0</v>
      </c>
      <c r="CP157" s="117">
        <f t="shared" si="652"/>
        <v>0</v>
      </c>
      <c r="CQ157" s="117">
        <f t="shared" si="652"/>
        <v>0</v>
      </c>
      <c r="CR157" s="117">
        <f t="shared" si="652"/>
        <v>0</v>
      </c>
      <c r="CS157" s="117">
        <f t="shared" si="652"/>
        <v>0</v>
      </c>
      <c r="CT157" s="117">
        <f t="shared" si="652"/>
        <v>0</v>
      </c>
      <c r="CU157" s="117">
        <f t="shared" si="652"/>
        <v>0</v>
      </c>
      <c r="CV157" s="117">
        <f t="shared" si="652"/>
        <v>0</v>
      </c>
      <c r="CW157" s="117">
        <f t="shared" si="652"/>
        <v>0</v>
      </c>
      <c r="CX157" s="117">
        <f t="shared" si="652"/>
        <v>0</v>
      </c>
      <c r="CY157" s="117">
        <f t="shared" si="652"/>
        <v>0</v>
      </c>
      <c r="CZ157" s="117">
        <f t="shared" si="652"/>
        <v>0</v>
      </c>
      <c r="DA157" s="117">
        <f t="shared" si="652"/>
        <v>0</v>
      </c>
      <c r="DB157" s="117">
        <f t="shared" si="652"/>
        <v>0</v>
      </c>
      <c r="DC157" s="117">
        <f t="shared" ref="DC157:DS157" si="653">IF(DC156&gt;100,ROUND((DC156-100)*0.2,6),0)</f>
        <v>0</v>
      </c>
      <c r="DD157" s="117">
        <f t="shared" si="653"/>
        <v>0</v>
      </c>
      <c r="DE157" s="117">
        <f t="shared" si="653"/>
        <v>0</v>
      </c>
      <c r="DF157" s="117">
        <f t="shared" si="653"/>
        <v>0</v>
      </c>
      <c r="DG157" s="117">
        <f t="shared" si="653"/>
        <v>0</v>
      </c>
      <c r="DH157" s="117">
        <f t="shared" si="653"/>
        <v>0</v>
      </c>
      <c r="DI157" s="117">
        <f t="shared" si="653"/>
        <v>0</v>
      </c>
      <c r="DJ157" s="117">
        <f t="shared" si="653"/>
        <v>0</v>
      </c>
      <c r="DK157" s="117">
        <f t="shared" si="653"/>
        <v>0</v>
      </c>
      <c r="DL157" s="117">
        <f t="shared" si="653"/>
        <v>0</v>
      </c>
      <c r="DM157" s="117">
        <f t="shared" si="653"/>
        <v>0</v>
      </c>
      <c r="DN157" s="117">
        <f t="shared" si="653"/>
        <v>0</v>
      </c>
      <c r="DO157" s="117">
        <f t="shared" si="653"/>
        <v>0</v>
      </c>
      <c r="DP157" s="117">
        <f t="shared" si="653"/>
        <v>0</v>
      </c>
      <c r="DQ157" s="117">
        <f t="shared" si="653"/>
        <v>0</v>
      </c>
      <c r="DR157" s="117">
        <f t="shared" si="653"/>
        <v>0</v>
      </c>
      <c r="DS157" s="117">
        <f t="shared" si="653"/>
        <v>0</v>
      </c>
    </row>
    <row r="158" spans="1:123" s="100" customFormat="1" x14ac:dyDescent="0.3">
      <c r="B158" s="121"/>
      <c r="C158" s="123"/>
      <c r="D158" s="124"/>
      <c r="E158" s="124"/>
      <c r="H158" s="125">
        <f>H156-H157</f>
        <v>100.001</v>
      </c>
      <c r="I158" s="125">
        <f>I156-I157</f>
        <v>99.41</v>
      </c>
      <c r="J158" s="125">
        <f>J156-J157</f>
        <v>99.643000000000001</v>
      </c>
      <c r="K158" s="125">
        <f t="shared" ref="K158:P158" si="654">K156-K157</f>
        <v>99.67</v>
      </c>
      <c r="L158" s="125">
        <f t="shared" si="654"/>
        <v>99.67</v>
      </c>
      <c r="M158" s="125">
        <f t="shared" si="654"/>
        <v>99.721000000000004</v>
      </c>
      <c r="N158" s="125">
        <f t="shared" si="654"/>
        <v>99.872</v>
      </c>
      <c r="O158" s="125">
        <f t="shared" si="654"/>
        <v>99.727000000000004</v>
      </c>
      <c r="P158" s="125">
        <f t="shared" si="654"/>
        <v>100</v>
      </c>
      <c r="Q158" s="125">
        <f t="shared" ref="Q158" si="655">Q156-Q157</f>
        <v>99.947000000000003</v>
      </c>
      <c r="R158" s="125"/>
      <c r="S158" s="125"/>
      <c r="T158" s="125">
        <f t="shared" ref="T158:W158" si="656">T156-T157</f>
        <v>99.65</v>
      </c>
      <c r="U158" s="125"/>
      <c r="V158" s="125">
        <f>V156-V157</f>
        <v>99.438000000000002</v>
      </c>
      <c r="W158" s="125">
        <f t="shared" si="656"/>
        <v>99.414000000000001</v>
      </c>
      <c r="X158" s="166">
        <f>X156-X157</f>
        <v>99.290999999999997</v>
      </c>
      <c r="Y158" s="166">
        <f>Y156-Y157</f>
        <v>99.305999999999997</v>
      </c>
      <c r="Z158" s="166"/>
      <c r="AA158" s="166">
        <f t="shared" ref="AA158:AG158" si="657">AA156-AA157</f>
        <v>99.337000000000003</v>
      </c>
      <c r="AB158" s="166">
        <f t="shared" si="657"/>
        <v>99.745000000000005</v>
      </c>
      <c r="AC158" s="166">
        <f t="shared" si="657"/>
        <v>99.713999999999999</v>
      </c>
      <c r="AD158" s="166">
        <f t="shared" si="657"/>
        <v>99.525840000000002</v>
      </c>
      <c r="AE158" s="166">
        <f t="shared" si="657"/>
        <v>99.207890000000006</v>
      </c>
      <c r="AF158" s="166">
        <f t="shared" si="657"/>
        <v>99.043000000000006</v>
      </c>
      <c r="AG158" s="166">
        <f t="shared" si="657"/>
        <v>98.5535</v>
      </c>
      <c r="AH158" s="166">
        <f t="shared" ref="AH158:AI158" si="658">AH156-AH157</f>
        <v>98.773899999999998</v>
      </c>
      <c r="AI158" s="166">
        <f t="shared" si="658"/>
        <v>98.793700000000001</v>
      </c>
      <c r="AJ158" s="178">
        <f t="shared" ref="AJ158:AK158" si="659">AJ156-AJ157</f>
        <v>98.993020000000001</v>
      </c>
      <c r="AK158" s="178">
        <f t="shared" si="659"/>
        <v>99.53295</v>
      </c>
      <c r="AL158" s="178">
        <f t="shared" ref="AL158:AM158" si="660">AL156-AL157</f>
        <v>99.694000000000003</v>
      </c>
      <c r="AM158" s="178">
        <f t="shared" si="660"/>
        <v>99.840999999999994</v>
      </c>
      <c r="AN158" s="178">
        <f t="shared" ref="AN158:AO158" si="661">AN156-AN157</f>
        <v>100.1728</v>
      </c>
      <c r="AO158" s="178">
        <f t="shared" si="661"/>
        <v>100.33000000000001</v>
      </c>
      <c r="AP158" s="178">
        <f t="shared" ref="AP158:AQ158" si="662">AP156-AP157</f>
        <v>100.343</v>
      </c>
      <c r="AQ158" s="178">
        <f t="shared" si="662"/>
        <v>100.164</v>
      </c>
      <c r="AR158" s="178">
        <f t="shared" ref="AR158:AS158" si="663">AR156-AR157</f>
        <v>100.09399999999999</v>
      </c>
      <c r="AS158" s="178">
        <f t="shared" si="663"/>
        <v>100.172</v>
      </c>
      <c r="AT158" s="178">
        <f t="shared" ref="AT158:AU158" si="664">AT156-AT157</f>
        <v>100.0056</v>
      </c>
      <c r="AU158" s="178">
        <f t="shared" si="664"/>
        <v>99.688000000000002</v>
      </c>
      <c r="AV158" s="178">
        <f t="shared" ref="AV158" si="665">AV156-AV157</f>
        <v>99.331000000000003</v>
      </c>
      <c r="AW158" s="178">
        <f t="shared" ref="AW158:BD158" si="666">AW156-AW157</f>
        <v>99.337999999999994</v>
      </c>
      <c r="AX158" s="178">
        <f t="shared" si="666"/>
        <v>99.38</v>
      </c>
      <c r="AY158" s="178">
        <f t="shared" si="666"/>
        <v>99.343999999999994</v>
      </c>
      <c r="AZ158" s="178">
        <f t="shared" si="666"/>
        <v>99.337999999999994</v>
      </c>
      <c r="BA158" s="178">
        <f t="shared" si="666"/>
        <v>99.519000000000005</v>
      </c>
      <c r="BB158" s="178">
        <f t="shared" si="666"/>
        <v>100.0352</v>
      </c>
      <c r="BC158" s="178">
        <f t="shared" si="666"/>
        <v>99.63</v>
      </c>
      <c r="BD158" s="178">
        <f t="shared" si="666"/>
        <v>100</v>
      </c>
      <c r="BE158" s="125">
        <f t="shared" ref="BE158:BR158" si="667">BE156-BE157</f>
        <v>100</v>
      </c>
      <c r="BF158" s="125">
        <f t="shared" si="667"/>
        <v>100</v>
      </c>
      <c r="BG158" s="125">
        <f t="shared" si="667"/>
        <v>100</v>
      </c>
      <c r="BH158" s="125">
        <f t="shared" si="667"/>
        <v>100</v>
      </c>
      <c r="BI158" s="125">
        <f t="shared" si="667"/>
        <v>100</v>
      </c>
      <c r="BJ158" s="125">
        <f t="shared" si="667"/>
        <v>100</v>
      </c>
      <c r="BK158" s="125">
        <f t="shared" si="667"/>
        <v>100</v>
      </c>
      <c r="BL158" s="125">
        <f t="shared" si="667"/>
        <v>100</v>
      </c>
      <c r="BM158" s="125">
        <f t="shared" si="667"/>
        <v>100</v>
      </c>
      <c r="BN158" s="125">
        <f t="shared" si="667"/>
        <v>100</v>
      </c>
      <c r="BO158" s="125">
        <f t="shared" si="667"/>
        <v>100</v>
      </c>
      <c r="BP158" s="125">
        <f t="shared" si="667"/>
        <v>100</v>
      </c>
      <c r="BQ158" s="125">
        <f t="shared" si="667"/>
        <v>100</v>
      </c>
      <c r="BR158" s="125">
        <f t="shared" si="667"/>
        <v>100</v>
      </c>
      <c r="BS158" s="125">
        <f t="shared" ref="BS158:CX158" si="668">BS156-BS157</f>
        <v>100</v>
      </c>
      <c r="BT158" s="125">
        <f t="shared" si="668"/>
        <v>100</v>
      </c>
      <c r="BU158" s="125">
        <f t="shared" si="668"/>
        <v>100</v>
      </c>
      <c r="BV158" s="125">
        <f t="shared" si="668"/>
        <v>100</v>
      </c>
      <c r="BW158" s="125">
        <f t="shared" si="668"/>
        <v>100</v>
      </c>
      <c r="BX158" s="125">
        <f t="shared" si="668"/>
        <v>100</v>
      </c>
      <c r="BY158" s="125">
        <f t="shared" si="668"/>
        <v>100</v>
      </c>
      <c r="BZ158" s="125">
        <f t="shared" si="668"/>
        <v>100</v>
      </c>
      <c r="CA158" s="125">
        <f t="shared" si="668"/>
        <v>100</v>
      </c>
      <c r="CB158" s="125">
        <f t="shared" si="668"/>
        <v>100</v>
      </c>
      <c r="CC158" s="125">
        <f t="shared" si="668"/>
        <v>100</v>
      </c>
      <c r="CD158" s="125">
        <f t="shared" si="668"/>
        <v>100</v>
      </c>
      <c r="CE158" s="125">
        <f t="shared" si="668"/>
        <v>100</v>
      </c>
      <c r="CF158" s="125">
        <f t="shared" si="668"/>
        <v>100</v>
      </c>
      <c r="CG158" s="125">
        <f t="shared" si="668"/>
        <v>100</v>
      </c>
      <c r="CH158" s="125">
        <f t="shared" si="668"/>
        <v>100</v>
      </c>
      <c r="CI158" s="125">
        <f t="shared" si="668"/>
        <v>100</v>
      </c>
      <c r="CJ158" s="125">
        <f t="shared" si="668"/>
        <v>100</v>
      </c>
      <c r="CK158" s="125">
        <f t="shared" si="668"/>
        <v>100</v>
      </c>
      <c r="CL158" s="125">
        <f t="shared" si="668"/>
        <v>100</v>
      </c>
      <c r="CM158" s="125">
        <f t="shared" si="668"/>
        <v>100</v>
      </c>
      <c r="CN158" s="125">
        <f t="shared" si="668"/>
        <v>100</v>
      </c>
      <c r="CO158" s="125">
        <f t="shared" si="668"/>
        <v>100</v>
      </c>
      <c r="CP158" s="125">
        <f t="shared" si="668"/>
        <v>100</v>
      </c>
      <c r="CQ158" s="125">
        <f t="shared" si="668"/>
        <v>100</v>
      </c>
      <c r="CR158" s="125">
        <f t="shared" si="668"/>
        <v>100</v>
      </c>
      <c r="CS158" s="125">
        <f t="shared" si="668"/>
        <v>100</v>
      </c>
      <c r="CT158" s="125">
        <f t="shared" si="668"/>
        <v>100</v>
      </c>
      <c r="CU158" s="125">
        <f t="shared" si="668"/>
        <v>100</v>
      </c>
      <c r="CV158" s="125">
        <f t="shared" si="668"/>
        <v>100</v>
      </c>
      <c r="CW158" s="125">
        <f t="shared" si="668"/>
        <v>100</v>
      </c>
      <c r="CX158" s="125">
        <f t="shared" si="668"/>
        <v>100</v>
      </c>
      <c r="CY158" s="125">
        <f t="shared" ref="CY158:DS158" si="669">CY156-CY157</f>
        <v>100</v>
      </c>
      <c r="CZ158" s="125">
        <f t="shared" si="669"/>
        <v>100</v>
      </c>
      <c r="DA158" s="125">
        <f t="shared" si="669"/>
        <v>100</v>
      </c>
      <c r="DB158" s="125">
        <f t="shared" si="669"/>
        <v>100</v>
      </c>
      <c r="DC158" s="125">
        <f t="shared" si="669"/>
        <v>100</v>
      </c>
      <c r="DD158" s="125">
        <f t="shared" si="669"/>
        <v>100</v>
      </c>
      <c r="DE158" s="125">
        <f t="shared" si="669"/>
        <v>100</v>
      </c>
      <c r="DF158" s="125">
        <f t="shared" si="669"/>
        <v>100</v>
      </c>
      <c r="DG158" s="125">
        <f t="shared" si="669"/>
        <v>100</v>
      </c>
      <c r="DH158" s="125">
        <f t="shared" si="669"/>
        <v>100</v>
      </c>
      <c r="DI158" s="125">
        <f t="shared" si="669"/>
        <v>100</v>
      </c>
      <c r="DJ158" s="125">
        <f t="shared" si="669"/>
        <v>100</v>
      </c>
      <c r="DK158" s="125">
        <f t="shared" si="669"/>
        <v>100</v>
      </c>
      <c r="DL158" s="125">
        <f t="shared" si="669"/>
        <v>100</v>
      </c>
      <c r="DM158" s="125">
        <f t="shared" si="669"/>
        <v>100</v>
      </c>
      <c r="DN158" s="125">
        <f t="shared" si="669"/>
        <v>100</v>
      </c>
      <c r="DO158" s="125">
        <f t="shared" si="669"/>
        <v>100</v>
      </c>
      <c r="DP158" s="125">
        <f t="shared" si="669"/>
        <v>100</v>
      </c>
      <c r="DQ158" s="125">
        <f t="shared" si="669"/>
        <v>100</v>
      </c>
      <c r="DR158" s="125">
        <f t="shared" si="669"/>
        <v>100</v>
      </c>
      <c r="DS158" s="125">
        <f t="shared" si="669"/>
        <v>100</v>
      </c>
    </row>
    <row r="159" spans="1:123" s="98" customFormat="1" x14ac:dyDescent="0.3">
      <c r="B159" s="121"/>
      <c r="C159" s="122"/>
      <c r="D159" s="115"/>
      <c r="E159" s="115"/>
      <c r="H159" s="103">
        <f>(H153-150000)*20%</f>
        <v>0.36699598850100301</v>
      </c>
      <c r="I159" s="103">
        <f>IF(I156&gt;100,"=(I44-150000)*20%",0)</f>
        <v>0</v>
      </c>
      <c r="J159" s="103">
        <f>IF(J156&gt;100,"=(J45-150000)*20%",0)</f>
        <v>0</v>
      </c>
      <c r="K159" s="103">
        <f t="shared" ref="K159:P159" si="670">IF(K156&gt;100,"=(J45-150000)*20%",0)</f>
        <v>0</v>
      </c>
      <c r="L159" s="103">
        <f t="shared" si="670"/>
        <v>0</v>
      </c>
      <c r="M159" s="103">
        <f t="shared" si="670"/>
        <v>0</v>
      </c>
      <c r="N159" s="103">
        <f t="shared" si="670"/>
        <v>0</v>
      </c>
      <c r="O159" s="103">
        <f t="shared" si="670"/>
        <v>0</v>
      </c>
      <c r="P159" s="103">
        <f t="shared" si="670"/>
        <v>0</v>
      </c>
      <c r="Q159" s="103">
        <f t="shared" ref="Q159" si="671">IF(Q156&gt;100,"=(J45-150000)*20%",0)</f>
        <v>0</v>
      </c>
      <c r="R159" s="103"/>
      <c r="S159" s="103"/>
      <c r="T159" s="103">
        <f t="shared" ref="T159:BR159" si="672">IF(T156&gt;100,"=(J45-150000)*20%",0)</f>
        <v>0</v>
      </c>
      <c r="U159" s="103"/>
      <c r="V159" s="103">
        <f>IF(V156&gt;100,"=(I44-150000)*20%",0)</f>
        <v>0</v>
      </c>
      <c r="W159" s="103">
        <f t="shared" si="672"/>
        <v>0</v>
      </c>
      <c r="X159" s="103">
        <f t="shared" si="672"/>
        <v>0</v>
      </c>
      <c r="Y159" s="103">
        <f t="shared" ref="Y159" si="673">IF(Y156&gt;100,"=(J45-150000)*20%",0)</f>
        <v>0</v>
      </c>
      <c r="Z159" s="103"/>
      <c r="AA159" s="99">
        <f t="shared" ref="AA159:AM159" si="674">IF(AA156&gt;100,(AA156-100)*1500*20%,0)</f>
        <v>0</v>
      </c>
      <c r="AB159" s="99">
        <f t="shared" si="674"/>
        <v>0</v>
      </c>
      <c r="AC159" s="99">
        <f t="shared" si="674"/>
        <v>0</v>
      </c>
      <c r="AD159" s="99">
        <f t="shared" si="674"/>
        <v>0</v>
      </c>
      <c r="AE159" s="99">
        <f t="shared" si="674"/>
        <v>0</v>
      </c>
      <c r="AF159" s="99">
        <f t="shared" si="674"/>
        <v>0</v>
      </c>
      <c r="AG159" s="99">
        <f t="shared" si="674"/>
        <v>0</v>
      </c>
      <c r="AH159" s="99">
        <f t="shared" si="674"/>
        <v>0</v>
      </c>
      <c r="AI159" s="99">
        <f t="shared" si="674"/>
        <v>0</v>
      </c>
      <c r="AJ159" s="99">
        <f t="shared" si="674"/>
        <v>0</v>
      </c>
      <c r="AK159" s="99">
        <f t="shared" si="674"/>
        <v>0</v>
      </c>
      <c r="AL159" s="99">
        <f t="shared" si="674"/>
        <v>0</v>
      </c>
      <c r="AM159" s="99">
        <f t="shared" si="674"/>
        <v>0</v>
      </c>
      <c r="AN159" s="99">
        <f>IF(AN156&gt;100,(AN156-100)*1500*20%,0)</f>
        <v>64.799999999998192</v>
      </c>
      <c r="AO159" s="99">
        <f t="shared" ref="AO159:AP159" si="675">IF(AO156&gt;100,(AO156-100)*1500*20%,0)</f>
        <v>123.60000000000184</v>
      </c>
      <c r="AP159" s="99">
        <f t="shared" si="675"/>
        <v>128.70000000000061</v>
      </c>
      <c r="AQ159" s="99">
        <f t="shared" ref="AQ159:AR159" si="676">IF(AQ156&gt;100,(AQ156-100)*1500*20%,0)</f>
        <v>61.499999999999488</v>
      </c>
      <c r="AR159" s="99">
        <f t="shared" si="676"/>
        <v>35.399999999998499</v>
      </c>
      <c r="AS159" s="99">
        <f t="shared" ref="AS159:AT159" si="677">IF(AS156&gt;100,(AS156-100)*1500*20%,0)</f>
        <v>64.500000000001023</v>
      </c>
      <c r="AT159" s="99">
        <f t="shared" si="677"/>
        <v>2.1000000000015007</v>
      </c>
      <c r="AU159" s="99">
        <f t="shared" ref="AU159:AV159" si="678">IF(AU156&gt;100,(AU156-100)*1500*20%,0)</f>
        <v>0</v>
      </c>
      <c r="AV159" s="99">
        <f t="shared" si="678"/>
        <v>0</v>
      </c>
      <c r="AW159" s="99">
        <f t="shared" ref="AW159:AX159" si="679">IF(AW156&gt;100,(AW156-100)*1500*20%,0)</f>
        <v>0</v>
      </c>
      <c r="AX159" s="99">
        <f t="shared" si="679"/>
        <v>0</v>
      </c>
      <c r="AY159" s="99">
        <f t="shared" ref="AY159:AZ159" si="680">IF(AY156&gt;100,(AY156-100)*1500*20%,0)</f>
        <v>0</v>
      </c>
      <c r="AZ159" s="99">
        <f t="shared" si="680"/>
        <v>0</v>
      </c>
      <c r="BA159" s="99">
        <f t="shared" ref="BA159:BB159" si="681">IF(BA156&gt;100,(BA156-100)*1500*20%,0)</f>
        <v>0</v>
      </c>
      <c r="BB159" s="99">
        <f t="shared" si="681"/>
        <v>13.199999999999079</v>
      </c>
      <c r="BC159" s="99">
        <f t="shared" ref="BC159:BD159" si="682">IF(BC156&gt;100,(BC156-100)*1500*20%,0)</f>
        <v>0</v>
      </c>
      <c r="BD159" s="99">
        <f t="shared" si="682"/>
        <v>0</v>
      </c>
      <c r="BE159" s="103">
        <f t="shared" si="672"/>
        <v>0</v>
      </c>
      <c r="BF159" s="103">
        <f t="shared" si="672"/>
        <v>0</v>
      </c>
      <c r="BG159" s="103">
        <f t="shared" si="672"/>
        <v>0</v>
      </c>
      <c r="BH159" s="103">
        <f t="shared" si="672"/>
        <v>0</v>
      </c>
      <c r="BI159" s="103">
        <f t="shared" si="672"/>
        <v>0</v>
      </c>
      <c r="BJ159" s="103">
        <f t="shared" si="672"/>
        <v>0</v>
      </c>
      <c r="BK159" s="103">
        <f t="shared" si="672"/>
        <v>0</v>
      </c>
      <c r="BL159" s="103">
        <f t="shared" si="672"/>
        <v>0</v>
      </c>
      <c r="BM159" s="103">
        <f t="shared" si="672"/>
        <v>0</v>
      </c>
      <c r="BN159" s="103">
        <f t="shared" si="672"/>
        <v>0</v>
      </c>
      <c r="BO159" s="103">
        <f t="shared" si="672"/>
        <v>0</v>
      </c>
      <c r="BP159" s="103">
        <f t="shared" si="672"/>
        <v>0</v>
      </c>
      <c r="BQ159" s="103">
        <f t="shared" si="672"/>
        <v>0</v>
      </c>
      <c r="BR159" s="103">
        <f t="shared" si="672"/>
        <v>0</v>
      </c>
      <c r="BS159" s="103">
        <f t="shared" ref="BS159:DS159" si="683">IF(BS156&gt;100,"=(J45-150000)*20%",0)</f>
        <v>0</v>
      </c>
      <c r="BT159" s="103">
        <f t="shared" si="683"/>
        <v>0</v>
      </c>
      <c r="BU159" s="103">
        <f t="shared" si="683"/>
        <v>0</v>
      </c>
      <c r="BV159" s="103">
        <f t="shared" si="683"/>
        <v>0</v>
      </c>
      <c r="BW159" s="103">
        <f t="shared" si="683"/>
        <v>0</v>
      </c>
      <c r="BX159" s="103">
        <f t="shared" si="683"/>
        <v>0</v>
      </c>
      <c r="BY159" s="103">
        <f t="shared" si="683"/>
        <v>0</v>
      </c>
      <c r="BZ159" s="103">
        <f t="shared" si="683"/>
        <v>0</v>
      </c>
      <c r="CA159" s="103">
        <f t="shared" si="683"/>
        <v>0</v>
      </c>
      <c r="CB159" s="103">
        <f t="shared" si="683"/>
        <v>0</v>
      </c>
      <c r="CC159" s="103">
        <f t="shared" si="683"/>
        <v>0</v>
      </c>
      <c r="CD159" s="103">
        <f t="shared" si="683"/>
        <v>0</v>
      </c>
      <c r="CE159" s="103">
        <f t="shared" si="683"/>
        <v>0</v>
      </c>
      <c r="CF159" s="103">
        <f t="shared" si="683"/>
        <v>0</v>
      </c>
      <c r="CG159" s="103">
        <f t="shared" si="683"/>
        <v>0</v>
      </c>
      <c r="CH159" s="103">
        <f t="shared" si="683"/>
        <v>0</v>
      </c>
      <c r="CI159" s="103">
        <f t="shared" si="683"/>
        <v>0</v>
      </c>
      <c r="CJ159" s="103">
        <f t="shared" si="683"/>
        <v>0</v>
      </c>
      <c r="CK159" s="103">
        <f t="shared" si="683"/>
        <v>0</v>
      </c>
      <c r="CL159" s="103">
        <f t="shared" si="683"/>
        <v>0</v>
      </c>
      <c r="CM159" s="103">
        <f t="shared" si="683"/>
        <v>0</v>
      </c>
      <c r="CN159" s="103">
        <f t="shared" si="683"/>
        <v>0</v>
      </c>
      <c r="CO159" s="103">
        <f t="shared" si="683"/>
        <v>0</v>
      </c>
      <c r="CP159" s="103">
        <f t="shared" si="683"/>
        <v>0</v>
      </c>
      <c r="CQ159" s="103">
        <f t="shared" si="683"/>
        <v>0</v>
      </c>
      <c r="CR159" s="103">
        <f t="shared" si="683"/>
        <v>0</v>
      </c>
      <c r="CS159" s="103">
        <f t="shared" si="683"/>
        <v>0</v>
      </c>
      <c r="CT159" s="103">
        <f t="shared" si="683"/>
        <v>0</v>
      </c>
      <c r="CU159" s="103">
        <f t="shared" si="683"/>
        <v>0</v>
      </c>
      <c r="CV159" s="103">
        <f t="shared" si="683"/>
        <v>0</v>
      </c>
      <c r="CW159" s="103">
        <f t="shared" si="683"/>
        <v>0</v>
      </c>
      <c r="CX159" s="103">
        <f t="shared" si="683"/>
        <v>0</v>
      </c>
      <c r="CY159" s="103">
        <f t="shared" si="683"/>
        <v>0</v>
      </c>
      <c r="CZ159" s="103">
        <f t="shared" si="683"/>
        <v>0</v>
      </c>
      <c r="DA159" s="103">
        <f t="shared" si="683"/>
        <v>0</v>
      </c>
      <c r="DB159" s="103">
        <f t="shared" si="683"/>
        <v>0</v>
      </c>
      <c r="DC159" s="103">
        <f t="shared" si="683"/>
        <v>0</v>
      </c>
      <c r="DD159" s="103">
        <f t="shared" si="683"/>
        <v>0</v>
      </c>
      <c r="DE159" s="103">
        <f t="shared" si="683"/>
        <v>0</v>
      </c>
      <c r="DF159" s="103">
        <f t="shared" si="683"/>
        <v>0</v>
      </c>
      <c r="DG159" s="103">
        <f t="shared" si="683"/>
        <v>0</v>
      </c>
      <c r="DH159" s="103">
        <f t="shared" si="683"/>
        <v>0</v>
      </c>
      <c r="DI159" s="103">
        <f t="shared" si="683"/>
        <v>0</v>
      </c>
      <c r="DJ159" s="103">
        <f t="shared" si="683"/>
        <v>0</v>
      </c>
      <c r="DK159" s="103">
        <f t="shared" si="683"/>
        <v>0</v>
      </c>
      <c r="DL159" s="103">
        <f t="shared" si="683"/>
        <v>0</v>
      </c>
      <c r="DM159" s="103">
        <f t="shared" si="683"/>
        <v>0</v>
      </c>
      <c r="DN159" s="103">
        <f t="shared" si="683"/>
        <v>0</v>
      </c>
      <c r="DO159" s="103">
        <f t="shared" si="683"/>
        <v>0</v>
      </c>
      <c r="DP159" s="103">
        <f t="shared" si="683"/>
        <v>0</v>
      </c>
      <c r="DQ159" s="103">
        <f t="shared" si="683"/>
        <v>0</v>
      </c>
      <c r="DR159" s="103">
        <f t="shared" si="683"/>
        <v>0</v>
      </c>
      <c r="DS159" s="103">
        <f t="shared" si="683"/>
        <v>0</v>
      </c>
    </row>
    <row r="160" spans="1:123" s="98" customFormat="1" x14ac:dyDescent="0.3">
      <c r="B160" s="121"/>
      <c r="C160" s="122"/>
      <c r="D160" s="115"/>
      <c r="E160" s="115"/>
      <c r="H160" s="125">
        <f>+H153-H159</f>
        <v>150001.467983954</v>
      </c>
      <c r="I160" s="125">
        <f>+I153-I159+I154</f>
        <v>149115.32391166914</v>
      </c>
      <c r="J160" s="125">
        <f>+J155-J159</f>
        <v>149465.87111405923</v>
      </c>
      <c r="K160" s="125">
        <f t="shared" ref="K160:P160" si="684">+K155-K159</f>
        <v>149505.01323360502</v>
      </c>
      <c r="L160" s="125">
        <f t="shared" si="684"/>
        <v>149505.01323360502</v>
      </c>
      <c r="M160" s="125">
        <f t="shared" si="684"/>
        <v>149581.90567798226</v>
      </c>
      <c r="N160" s="125">
        <f t="shared" si="684"/>
        <v>149808.82706919344</v>
      </c>
      <c r="O160" s="125">
        <f t="shared" si="684"/>
        <v>149591.5923494107</v>
      </c>
      <c r="P160" s="125">
        <f t="shared" si="684"/>
        <v>150000.5860735288</v>
      </c>
      <c r="Q160" s="125">
        <f t="shared" ref="Q160" si="685">+Q155-Q159</f>
        <v>149921.34119872775</v>
      </c>
      <c r="R160" s="125"/>
      <c r="S160" s="125"/>
      <c r="T160" s="125">
        <f t="shared" ref="T160:W160" si="686">+T155-T159</f>
        <v>149475.92467867571</v>
      </c>
      <c r="U160" s="125"/>
      <c r="V160" s="125">
        <f>+V153-V159+V154</f>
        <v>149158.26654099382</v>
      </c>
      <c r="W160" s="125">
        <f t="shared" si="686"/>
        <v>149121.7832182066</v>
      </c>
      <c r="X160" s="125">
        <f>+X155-X159</f>
        <v>148937.43535274634</v>
      </c>
      <c r="Y160" s="125">
        <f>+Y155-Y159</f>
        <v>148960.33095326362</v>
      </c>
      <c r="Z160" s="125"/>
      <c r="AA160" s="125">
        <f t="shared" ref="AA160:AG160" si="687">+AA155-AA159</f>
        <v>149006.87444972069</v>
      </c>
      <c r="AB160" s="125">
        <f t="shared" si="687"/>
        <v>149618.44452281471</v>
      </c>
      <c r="AC160" s="125">
        <f t="shared" si="687"/>
        <v>149571.94704197301</v>
      </c>
      <c r="AD160" s="125">
        <f t="shared" si="687"/>
        <v>149288.77086362214</v>
      </c>
      <c r="AE160" s="125">
        <f t="shared" si="687"/>
        <v>148811.84389036038</v>
      </c>
      <c r="AF160" s="125">
        <f t="shared" si="687"/>
        <v>148564.70750930646</v>
      </c>
      <c r="AG160" s="125">
        <f t="shared" si="687"/>
        <v>147830.39795720769</v>
      </c>
      <c r="AH160" s="125">
        <f t="shared" ref="AH160:AI160" si="688">+AH155-AH159</f>
        <v>148160.9586542375</v>
      </c>
      <c r="AI160" s="125">
        <f t="shared" si="688"/>
        <v>148190.65139894976</v>
      </c>
      <c r="AJ160" s="125">
        <f t="shared" ref="AJ160:AK160" si="689">+AJ155-AJ159</f>
        <v>148489.53540886356</v>
      </c>
      <c r="AK160" s="125">
        <f t="shared" si="689"/>
        <v>149299.42939123834</v>
      </c>
      <c r="AL160" s="125">
        <f t="shared" ref="AL160:AM160" si="690">+AL155-AL159</f>
        <v>149542.06721345283</v>
      </c>
      <c r="AM160" s="125">
        <f t="shared" si="690"/>
        <v>149762.98593154733</v>
      </c>
      <c r="AN160" s="125">
        <f t="shared" ref="AN160:AO160" si="691">+AN155-AN159</f>
        <v>150259.77226116243</v>
      </c>
      <c r="AO160" s="125">
        <f t="shared" si="691"/>
        <v>150495.02192107649</v>
      </c>
      <c r="AP160" s="125">
        <f t="shared" ref="AP160:AQ160" si="692">+AP155-AP159</f>
        <v>150515.60746686428</v>
      </c>
      <c r="AQ160" s="125">
        <f t="shared" si="692"/>
        <v>150246.31893296097</v>
      </c>
      <c r="AR160" s="125">
        <f t="shared" ref="AR160:AS160" si="693">+AR155-AR159</f>
        <v>150142.83802158257</v>
      </c>
      <c r="AS160" s="125">
        <f t="shared" si="693"/>
        <v>150258.73077704903</v>
      </c>
      <c r="AT160" s="125">
        <f t="shared" ref="AT160:AU160" si="694">+AT155-AT159</f>
        <v>150008.97278651348</v>
      </c>
      <c r="AU160" s="125">
        <f t="shared" si="694"/>
        <v>149532.59238652218</v>
      </c>
      <c r="AV160" s="125">
        <f t="shared" ref="AV160" si="695">+AV155-AV159</f>
        <v>148997.56271581273</v>
      </c>
      <c r="AW160" s="125">
        <f t="shared" ref="AW160:AX160" si="696">+AW155-AW159</f>
        <v>149007.31103982797</v>
      </c>
      <c r="AX160" s="125">
        <f t="shared" si="696"/>
        <v>149070.61049027179</v>
      </c>
      <c r="AY160" s="125">
        <f t="shared" ref="AY160:AZ160" si="697">+AY155-AY159</f>
        <v>149017.23445046417</v>
      </c>
      <c r="AZ160" s="125">
        <f t="shared" si="697"/>
        <v>149007.12586281713</v>
      </c>
      <c r="BA160" s="125">
        <f t="shared" ref="BA160:BB160" si="698">+BA155-BA159</f>
        <v>149278.58164567724</v>
      </c>
      <c r="BB160" s="125">
        <f t="shared" si="698"/>
        <v>150054.26494959663</v>
      </c>
      <c r="BC160" s="125">
        <f t="shared" ref="BC160:BD160" si="699">+BC155-BC159</f>
        <v>149446.44514733102</v>
      </c>
      <c r="BD160" s="125">
        <f t="shared" si="699"/>
        <v>150000.7274373206</v>
      </c>
      <c r="BE160" s="125">
        <f t="shared" ref="BE160:BR160" si="700">+BE155-BE159</f>
        <v>150000.7274373206</v>
      </c>
      <c r="BF160" s="125">
        <f t="shared" si="700"/>
        <v>150000.7274373206</v>
      </c>
      <c r="BG160" s="125">
        <f t="shared" si="700"/>
        <v>150000.7274373206</v>
      </c>
      <c r="BH160" s="125">
        <f t="shared" si="700"/>
        <v>150000.7274373206</v>
      </c>
      <c r="BI160" s="125">
        <f t="shared" si="700"/>
        <v>150000.7274373206</v>
      </c>
      <c r="BJ160" s="125">
        <f t="shared" si="700"/>
        <v>150000.7274373206</v>
      </c>
      <c r="BK160" s="125">
        <f t="shared" si="700"/>
        <v>150000.7274373206</v>
      </c>
      <c r="BL160" s="125">
        <f t="shared" si="700"/>
        <v>150000.7274373206</v>
      </c>
      <c r="BM160" s="125">
        <f t="shared" si="700"/>
        <v>150000.7274373206</v>
      </c>
      <c r="BN160" s="125">
        <f t="shared" si="700"/>
        <v>150000.7274373206</v>
      </c>
      <c r="BO160" s="125">
        <f t="shared" si="700"/>
        <v>150000.7274373206</v>
      </c>
      <c r="BP160" s="125">
        <f t="shared" si="700"/>
        <v>150000.7274373206</v>
      </c>
      <c r="BQ160" s="125">
        <f t="shared" si="700"/>
        <v>150000.7274373206</v>
      </c>
      <c r="BR160" s="125">
        <f t="shared" si="700"/>
        <v>150000.7274373206</v>
      </c>
      <c r="BS160" s="125">
        <f t="shared" ref="BS160:CX160" si="701">+BS155-BS159</f>
        <v>150000.7274373206</v>
      </c>
      <c r="BT160" s="125">
        <f t="shared" si="701"/>
        <v>150000.7274373206</v>
      </c>
      <c r="BU160" s="125">
        <f t="shared" si="701"/>
        <v>150000.7274373206</v>
      </c>
      <c r="BV160" s="125">
        <f t="shared" si="701"/>
        <v>150000.7274373206</v>
      </c>
      <c r="BW160" s="125">
        <f t="shared" si="701"/>
        <v>150000.7274373206</v>
      </c>
      <c r="BX160" s="125">
        <f t="shared" si="701"/>
        <v>150000.7274373206</v>
      </c>
      <c r="BY160" s="125">
        <f t="shared" si="701"/>
        <v>150000.7274373206</v>
      </c>
      <c r="BZ160" s="125">
        <f t="shared" si="701"/>
        <v>150000.7274373206</v>
      </c>
      <c r="CA160" s="125">
        <f t="shared" si="701"/>
        <v>150000.7274373206</v>
      </c>
      <c r="CB160" s="125">
        <f t="shared" si="701"/>
        <v>150000.7274373206</v>
      </c>
      <c r="CC160" s="125">
        <f t="shared" si="701"/>
        <v>150000.7274373206</v>
      </c>
      <c r="CD160" s="125">
        <f t="shared" si="701"/>
        <v>150000.7274373206</v>
      </c>
      <c r="CE160" s="125">
        <f t="shared" si="701"/>
        <v>150000.7274373206</v>
      </c>
      <c r="CF160" s="125">
        <f t="shared" si="701"/>
        <v>150000.7274373206</v>
      </c>
      <c r="CG160" s="125">
        <f t="shared" si="701"/>
        <v>150000.7274373206</v>
      </c>
      <c r="CH160" s="125">
        <f t="shared" si="701"/>
        <v>150000.7274373206</v>
      </c>
      <c r="CI160" s="125">
        <f t="shared" si="701"/>
        <v>150000.7274373206</v>
      </c>
      <c r="CJ160" s="125">
        <f t="shared" si="701"/>
        <v>150000.7274373206</v>
      </c>
      <c r="CK160" s="125">
        <f t="shared" si="701"/>
        <v>150000.7274373206</v>
      </c>
      <c r="CL160" s="125">
        <f t="shared" si="701"/>
        <v>150000.7274373206</v>
      </c>
      <c r="CM160" s="125">
        <f t="shared" si="701"/>
        <v>150000.7274373206</v>
      </c>
      <c r="CN160" s="125">
        <f t="shared" si="701"/>
        <v>150000.7274373206</v>
      </c>
      <c r="CO160" s="125">
        <f t="shared" si="701"/>
        <v>150000.7274373206</v>
      </c>
      <c r="CP160" s="125">
        <f t="shared" si="701"/>
        <v>150000.7274373206</v>
      </c>
      <c r="CQ160" s="125">
        <f t="shared" si="701"/>
        <v>150000.7274373206</v>
      </c>
      <c r="CR160" s="125">
        <f t="shared" si="701"/>
        <v>150000.7274373206</v>
      </c>
      <c r="CS160" s="125">
        <f t="shared" si="701"/>
        <v>150000.7274373206</v>
      </c>
      <c r="CT160" s="125">
        <f t="shared" si="701"/>
        <v>150000.7274373206</v>
      </c>
      <c r="CU160" s="125">
        <f t="shared" si="701"/>
        <v>150000.7274373206</v>
      </c>
      <c r="CV160" s="125">
        <f t="shared" si="701"/>
        <v>150000.7274373206</v>
      </c>
      <c r="CW160" s="125">
        <f t="shared" si="701"/>
        <v>150000.7274373206</v>
      </c>
      <c r="CX160" s="125">
        <f t="shared" si="701"/>
        <v>150000.7274373206</v>
      </c>
      <c r="CY160" s="125">
        <f t="shared" ref="CY160:DS160" si="702">+CY155-CY159</f>
        <v>150000.7274373206</v>
      </c>
      <c r="CZ160" s="125">
        <f t="shared" si="702"/>
        <v>150000.7274373206</v>
      </c>
      <c r="DA160" s="125">
        <f t="shared" si="702"/>
        <v>150000.7274373206</v>
      </c>
      <c r="DB160" s="125">
        <f t="shared" si="702"/>
        <v>150000.7274373206</v>
      </c>
      <c r="DC160" s="125">
        <f t="shared" si="702"/>
        <v>150000.7274373206</v>
      </c>
      <c r="DD160" s="125">
        <f t="shared" si="702"/>
        <v>150000.7274373206</v>
      </c>
      <c r="DE160" s="125">
        <f t="shared" si="702"/>
        <v>150000.7274373206</v>
      </c>
      <c r="DF160" s="125">
        <f t="shared" si="702"/>
        <v>150000.7274373206</v>
      </c>
      <c r="DG160" s="125">
        <f t="shared" si="702"/>
        <v>150000.7274373206</v>
      </c>
      <c r="DH160" s="125">
        <f t="shared" si="702"/>
        <v>150000.7274373206</v>
      </c>
      <c r="DI160" s="125">
        <f t="shared" si="702"/>
        <v>150000.7274373206</v>
      </c>
      <c r="DJ160" s="125">
        <f t="shared" si="702"/>
        <v>150000.7274373206</v>
      </c>
      <c r="DK160" s="125">
        <f t="shared" si="702"/>
        <v>150000.7274373206</v>
      </c>
      <c r="DL160" s="125">
        <f t="shared" si="702"/>
        <v>150000.7274373206</v>
      </c>
      <c r="DM160" s="125">
        <f t="shared" si="702"/>
        <v>150000.7274373206</v>
      </c>
      <c r="DN160" s="125">
        <f t="shared" si="702"/>
        <v>150000.7274373206</v>
      </c>
      <c r="DO160" s="125">
        <f t="shared" si="702"/>
        <v>150000.7274373206</v>
      </c>
      <c r="DP160" s="125">
        <f t="shared" si="702"/>
        <v>150000.7274373206</v>
      </c>
      <c r="DQ160" s="125">
        <f t="shared" si="702"/>
        <v>150000.7274373206</v>
      </c>
      <c r="DR160" s="125">
        <f t="shared" si="702"/>
        <v>150000.7274373206</v>
      </c>
      <c r="DS160" s="125">
        <f t="shared" si="702"/>
        <v>150000.7274373206</v>
      </c>
    </row>
    <row r="161" spans="1:123" x14ac:dyDescent="0.3">
      <c r="B161" s="104"/>
      <c r="C161" s="105"/>
      <c r="H161" s="64"/>
    </row>
    <row r="162" spans="1:123" x14ac:dyDescent="0.3">
      <c r="A162" s="127" t="s">
        <v>105</v>
      </c>
      <c r="B162" s="201">
        <v>50000</v>
      </c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67"/>
      <c r="AC162" s="118"/>
      <c r="AD162" s="118"/>
      <c r="AE162" s="118"/>
      <c r="AF162" s="118"/>
      <c r="AG162" s="118"/>
      <c r="AH162" s="118">
        <f t="shared" ref="AH162:AN162" si="703">+AH163/(AH38+AH49+AH153+AH59+AH69+AH79+AH163)</f>
        <v>0</v>
      </c>
      <c r="AI162" s="118">
        <f t="shared" si="703"/>
        <v>0</v>
      </c>
      <c r="AJ162" s="118">
        <f t="shared" si="703"/>
        <v>0</v>
      </c>
      <c r="AK162" s="118">
        <f t="shared" si="703"/>
        <v>0</v>
      </c>
      <c r="AL162" s="118">
        <f t="shared" si="703"/>
        <v>0</v>
      </c>
      <c r="AM162" s="118">
        <f t="shared" si="703"/>
        <v>0</v>
      </c>
      <c r="AN162" s="118">
        <f t="shared" si="703"/>
        <v>0</v>
      </c>
      <c r="AO162" s="118">
        <f t="shared" ref="AO162:AP162" si="704">+AO163/(AO38+AO49+AO153+AO59+AO69+AO79+AO163)</f>
        <v>0</v>
      </c>
      <c r="AP162" s="118">
        <f t="shared" si="704"/>
        <v>0</v>
      </c>
      <c r="AQ162" s="118">
        <f t="shared" ref="AQ162:AR162" si="705">+AQ163/(AQ38+AQ49+AQ153+AQ59+AQ69+AQ79+AQ163)</f>
        <v>0</v>
      </c>
      <c r="AR162" s="118">
        <f t="shared" si="705"/>
        <v>0</v>
      </c>
      <c r="AS162" s="118">
        <f t="shared" ref="AS162:AT162" si="706">+AS163/(AS38+AS49+AS153+AS59+AS69+AS79+AS163)</f>
        <v>0</v>
      </c>
      <c r="AT162" s="118">
        <f t="shared" si="706"/>
        <v>0</v>
      </c>
      <c r="AU162" s="118">
        <f t="shared" ref="AU162:AV162" si="707">+AU163/(AU38+AU49+AU153+AU59+AU69+AU79+AU163)</f>
        <v>0</v>
      </c>
      <c r="AV162" s="118">
        <f t="shared" si="707"/>
        <v>0</v>
      </c>
      <c r="AW162" s="118">
        <f t="shared" ref="AW162:AX162" si="708">+AW163/(AW38+AW49+AW153+AW59+AW69+AW79+AW163)</f>
        <v>0</v>
      </c>
      <c r="AX162" s="118">
        <f t="shared" si="708"/>
        <v>0</v>
      </c>
      <c r="AY162" s="118">
        <f t="shared" ref="AY162:AZ162" si="709">+AY163/(AY38+AY49+AY153+AY59+AY69+AY79+AY163)</f>
        <v>0</v>
      </c>
      <c r="AZ162" s="118">
        <f t="shared" si="709"/>
        <v>0</v>
      </c>
      <c r="BA162" s="118">
        <f t="shared" ref="BA162:BB162" si="710">+BA163/(BA38+BA49+BA153+BA59+BA69+BA79+BA163)</f>
        <v>0</v>
      </c>
      <c r="BB162" s="118">
        <f t="shared" si="710"/>
        <v>0</v>
      </c>
      <c r="BC162" s="118">
        <f t="shared" ref="BC162:BD162" si="711">+BC163/(BC38+BC49+BC153+BC59+BC69+BC79+BC163)</f>
        <v>0</v>
      </c>
      <c r="BD162" s="118">
        <f t="shared" si="711"/>
        <v>0</v>
      </c>
      <c r="BE162" s="118" t="e">
        <f t="shared" ref="BE162" si="712">+BD163/(BD48+BD163)</f>
        <v>#DIV/0!</v>
      </c>
      <c r="BF162" s="118" t="e">
        <f t="shared" ref="BF162:CK162" si="713">+BE163/(BE48+BE163)</f>
        <v>#DIV/0!</v>
      </c>
      <c r="BG162" s="118" t="e">
        <f t="shared" si="713"/>
        <v>#DIV/0!</v>
      </c>
      <c r="BH162" s="118" t="e">
        <f t="shared" si="713"/>
        <v>#DIV/0!</v>
      </c>
      <c r="BI162" s="118" t="e">
        <f t="shared" si="713"/>
        <v>#DIV/0!</v>
      </c>
      <c r="BJ162" s="118" t="e">
        <f t="shared" si="713"/>
        <v>#DIV/0!</v>
      </c>
      <c r="BK162" s="118" t="e">
        <f t="shared" si="713"/>
        <v>#DIV/0!</v>
      </c>
      <c r="BL162" s="118" t="e">
        <f t="shared" si="713"/>
        <v>#DIV/0!</v>
      </c>
      <c r="BM162" s="118" t="e">
        <f t="shared" si="713"/>
        <v>#DIV/0!</v>
      </c>
      <c r="BN162" s="118" t="e">
        <f t="shared" si="713"/>
        <v>#DIV/0!</v>
      </c>
      <c r="BO162" s="118" t="e">
        <f t="shared" si="713"/>
        <v>#DIV/0!</v>
      </c>
      <c r="BP162" s="118" t="e">
        <f t="shared" si="713"/>
        <v>#DIV/0!</v>
      </c>
      <c r="BQ162" s="118" t="e">
        <f t="shared" si="713"/>
        <v>#DIV/0!</v>
      </c>
      <c r="BR162" s="118" t="e">
        <f t="shared" si="713"/>
        <v>#DIV/0!</v>
      </c>
      <c r="BS162" s="118" t="e">
        <f t="shared" si="713"/>
        <v>#DIV/0!</v>
      </c>
      <c r="BT162" s="118" t="e">
        <f t="shared" si="713"/>
        <v>#DIV/0!</v>
      </c>
      <c r="BU162" s="118" t="e">
        <f t="shared" si="713"/>
        <v>#DIV/0!</v>
      </c>
      <c r="BV162" s="118" t="e">
        <f t="shared" si="713"/>
        <v>#DIV/0!</v>
      </c>
      <c r="BW162" s="118" t="e">
        <f t="shared" si="713"/>
        <v>#DIV/0!</v>
      </c>
      <c r="BX162" s="118" t="e">
        <f t="shared" si="713"/>
        <v>#DIV/0!</v>
      </c>
      <c r="BY162" s="118" t="e">
        <f t="shared" si="713"/>
        <v>#DIV/0!</v>
      </c>
      <c r="BZ162" s="118" t="e">
        <f t="shared" si="713"/>
        <v>#DIV/0!</v>
      </c>
      <c r="CA162" s="118" t="e">
        <f t="shared" si="713"/>
        <v>#DIV/0!</v>
      </c>
      <c r="CB162" s="118" t="e">
        <f t="shared" si="713"/>
        <v>#DIV/0!</v>
      </c>
      <c r="CC162" s="118" t="e">
        <f t="shared" si="713"/>
        <v>#DIV/0!</v>
      </c>
      <c r="CD162" s="118" t="e">
        <f t="shared" si="713"/>
        <v>#DIV/0!</v>
      </c>
      <c r="CE162" s="118" t="e">
        <f t="shared" si="713"/>
        <v>#DIV/0!</v>
      </c>
      <c r="CF162" s="118" t="e">
        <f t="shared" si="713"/>
        <v>#DIV/0!</v>
      </c>
      <c r="CG162" s="118" t="e">
        <f t="shared" si="713"/>
        <v>#DIV/0!</v>
      </c>
      <c r="CH162" s="118" t="e">
        <f t="shared" si="713"/>
        <v>#DIV/0!</v>
      </c>
      <c r="CI162" s="118" t="e">
        <f t="shared" si="713"/>
        <v>#DIV/0!</v>
      </c>
      <c r="CJ162" s="118" t="e">
        <f t="shared" si="713"/>
        <v>#DIV/0!</v>
      </c>
      <c r="CK162" s="118" t="e">
        <f t="shared" si="713"/>
        <v>#DIV/0!</v>
      </c>
      <c r="CL162" s="118" t="e">
        <f t="shared" ref="CL162:DS162" si="714">+CK163/(CK48+CK163)</f>
        <v>#DIV/0!</v>
      </c>
      <c r="CM162" s="118" t="e">
        <f t="shared" si="714"/>
        <v>#DIV/0!</v>
      </c>
      <c r="CN162" s="118" t="e">
        <f t="shared" si="714"/>
        <v>#DIV/0!</v>
      </c>
      <c r="CO162" s="118" t="e">
        <f t="shared" si="714"/>
        <v>#DIV/0!</v>
      </c>
      <c r="CP162" s="118" t="e">
        <f t="shared" si="714"/>
        <v>#DIV/0!</v>
      </c>
      <c r="CQ162" s="118" t="e">
        <f t="shared" si="714"/>
        <v>#DIV/0!</v>
      </c>
      <c r="CR162" s="118" t="e">
        <f t="shared" si="714"/>
        <v>#DIV/0!</v>
      </c>
      <c r="CS162" s="118" t="e">
        <f t="shared" si="714"/>
        <v>#DIV/0!</v>
      </c>
      <c r="CT162" s="118" t="e">
        <f t="shared" si="714"/>
        <v>#DIV/0!</v>
      </c>
      <c r="CU162" s="118" t="e">
        <f t="shared" si="714"/>
        <v>#DIV/0!</v>
      </c>
      <c r="CV162" s="118" t="e">
        <f t="shared" si="714"/>
        <v>#DIV/0!</v>
      </c>
      <c r="CW162" s="118" t="e">
        <f t="shared" si="714"/>
        <v>#DIV/0!</v>
      </c>
      <c r="CX162" s="118" t="e">
        <f t="shared" si="714"/>
        <v>#DIV/0!</v>
      </c>
      <c r="CY162" s="118" t="e">
        <f t="shared" si="714"/>
        <v>#DIV/0!</v>
      </c>
      <c r="CZ162" s="118" t="e">
        <f t="shared" si="714"/>
        <v>#DIV/0!</v>
      </c>
      <c r="DA162" s="118" t="e">
        <f t="shared" si="714"/>
        <v>#DIV/0!</v>
      </c>
      <c r="DB162" s="118" t="e">
        <f t="shared" si="714"/>
        <v>#DIV/0!</v>
      </c>
      <c r="DC162" s="118" t="e">
        <f t="shared" si="714"/>
        <v>#DIV/0!</v>
      </c>
      <c r="DD162" s="118" t="e">
        <f t="shared" si="714"/>
        <v>#DIV/0!</v>
      </c>
      <c r="DE162" s="118" t="e">
        <f t="shared" si="714"/>
        <v>#DIV/0!</v>
      </c>
      <c r="DF162" s="118" t="e">
        <f t="shared" si="714"/>
        <v>#DIV/0!</v>
      </c>
      <c r="DG162" s="118" t="e">
        <f t="shared" si="714"/>
        <v>#DIV/0!</v>
      </c>
      <c r="DH162" s="118" t="e">
        <f t="shared" si="714"/>
        <v>#DIV/0!</v>
      </c>
      <c r="DI162" s="118" t="e">
        <f t="shared" si="714"/>
        <v>#DIV/0!</v>
      </c>
      <c r="DJ162" s="118" t="e">
        <f t="shared" si="714"/>
        <v>#DIV/0!</v>
      </c>
      <c r="DK162" s="118" t="e">
        <f t="shared" si="714"/>
        <v>#DIV/0!</v>
      </c>
      <c r="DL162" s="118" t="e">
        <f t="shared" si="714"/>
        <v>#DIV/0!</v>
      </c>
      <c r="DM162" s="118" t="e">
        <f t="shared" si="714"/>
        <v>#DIV/0!</v>
      </c>
      <c r="DN162" s="118" t="e">
        <f t="shared" si="714"/>
        <v>#DIV/0!</v>
      </c>
      <c r="DO162" s="118" t="e">
        <f t="shared" si="714"/>
        <v>#DIV/0!</v>
      </c>
      <c r="DP162" s="118" t="e">
        <f t="shared" si="714"/>
        <v>#DIV/0!</v>
      </c>
      <c r="DQ162" s="118" t="e">
        <f t="shared" si="714"/>
        <v>#DIV/0!</v>
      </c>
      <c r="DR162" s="118" t="e">
        <f t="shared" si="714"/>
        <v>#DIV/0!</v>
      </c>
      <c r="DS162" s="118" t="e">
        <f t="shared" si="714"/>
        <v>#DIV/0!</v>
      </c>
    </row>
    <row r="163" spans="1:123" x14ac:dyDescent="0.3">
      <c r="A163" t="s">
        <v>106</v>
      </c>
      <c r="B163" s="79">
        <v>50</v>
      </c>
      <c r="C163" s="105">
        <v>1500</v>
      </c>
      <c r="H163" s="111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>
        <v>0</v>
      </c>
      <c r="AI163" s="64">
        <v>0</v>
      </c>
      <c r="AJ163" s="64">
        <v>0</v>
      </c>
      <c r="AK163" s="64">
        <v>0</v>
      </c>
      <c r="AL163" s="64">
        <v>0</v>
      </c>
      <c r="AM163" s="64">
        <v>0</v>
      </c>
      <c r="AN163" s="64">
        <v>0</v>
      </c>
      <c r="AO163" s="64">
        <v>0</v>
      </c>
      <c r="AP163" s="64">
        <v>0</v>
      </c>
      <c r="AQ163" s="64">
        <v>0</v>
      </c>
      <c r="AR163" s="64">
        <v>0</v>
      </c>
      <c r="AS163" s="64">
        <v>0</v>
      </c>
      <c r="AT163" s="64">
        <v>0</v>
      </c>
      <c r="AU163" s="64">
        <v>0</v>
      </c>
      <c r="AV163" s="64">
        <v>0</v>
      </c>
      <c r="AW163" s="64">
        <v>0</v>
      </c>
      <c r="AX163" s="64">
        <v>0</v>
      </c>
      <c r="AY163" s="64">
        <v>0</v>
      </c>
      <c r="AZ163" s="64">
        <v>0</v>
      </c>
      <c r="BA163" s="64">
        <v>0</v>
      </c>
      <c r="BB163" s="64">
        <v>0</v>
      </c>
      <c r="BC163" s="64">
        <v>0</v>
      </c>
      <c r="BD163" s="64">
        <v>0</v>
      </c>
      <c r="BE163" s="64">
        <f t="shared" ref="BE163" si="715">BD170</f>
        <v>0</v>
      </c>
      <c r="BF163" s="64" t="e">
        <f t="shared" ref="BF163" si="716">BE170</f>
        <v>#DIV/0!</v>
      </c>
      <c r="BG163" s="64" t="e">
        <f t="shared" ref="BG163" si="717">BF170</f>
        <v>#DIV/0!</v>
      </c>
      <c r="BH163" s="64" t="e">
        <f t="shared" ref="BH163" si="718">BG170</f>
        <v>#DIV/0!</v>
      </c>
      <c r="BI163" s="64" t="e">
        <f t="shared" ref="BI163" si="719">BH170</f>
        <v>#DIV/0!</v>
      </c>
      <c r="BJ163" s="64" t="e">
        <f t="shared" ref="BJ163" si="720">BI170</f>
        <v>#DIV/0!</v>
      </c>
      <c r="BK163" s="64" t="e">
        <f t="shared" ref="BK163" si="721">BJ170</f>
        <v>#DIV/0!</v>
      </c>
      <c r="BL163" s="64" t="e">
        <f t="shared" ref="BL163" si="722">BK170</f>
        <v>#DIV/0!</v>
      </c>
      <c r="BM163" s="64" t="e">
        <f t="shared" ref="BM163" si="723">BL170</f>
        <v>#DIV/0!</v>
      </c>
      <c r="BN163" s="64" t="e">
        <f t="shared" ref="BN163" si="724">BM170</f>
        <v>#DIV/0!</v>
      </c>
      <c r="BO163" s="64" t="e">
        <f t="shared" ref="BO163" si="725">BN170</f>
        <v>#DIV/0!</v>
      </c>
      <c r="BP163" s="64" t="e">
        <f t="shared" ref="BP163" si="726">BO170</f>
        <v>#DIV/0!</v>
      </c>
      <c r="BQ163" s="64" t="e">
        <f t="shared" ref="BQ163" si="727">BP170</f>
        <v>#DIV/0!</v>
      </c>
      <c r="BR163" s="64" t="e">
        <f t="shared" ref="BR163" si="728">BQ170</f>
        <v>#DIV/0!</v>
      </c>
      <c r="BS163" s="64" t="e">
        <f t="shared" ref="BS163" si="729">BR170</f>
        <v>#DIV/0!</v>
      </c>
      <c r="BT163" s="64" t="e">
        <f t="shared" ref="BT163" si="730">BS170</f>
        <v>#DIV/0!</v>
      </c>
      <c r="BU163" s="64" t="e">
        <f t="shared" ref="BU163" si="731">BT170</f>
        <v>#DIV/0!</v>
      </c>
      <c r="BV163" s="64" t="e">
        <f t="shared" ref="BV163" si="732">BU170</f>
        <v>#DIV/0!</v>
      </c>
      <c r="BW163" s="64" t="e">
        <f t="shared" ref="BW163" si="733">BV170</f>
        <v>#DIV/0!</v>
      </c>
      <c r="BX163" s="64" t="e">
        <f t="shared" ref="BX163" si="734">BW170</f>
        <v>#DIV/0!</v>
      </c>
      <c r="BY163" s="64" t="e">
        <f t="shared" ref="BY163" si="735">BX170</f>
        <v>#DIV/0!</v>
      </c>
      <c r="BZ163" s="64" t="e">
        <f t="shared" ref="BZ163" si="736">BY170</f>
        <v>#DIV/0!</v>
      </c>
      <c r="CA163" s="64" t="e">
        <f t="shared" ref="CA163" si="737">BZ170</f>
        <v>#DIV/0!</v>
      </c>
      <c r="CB163" s="64" t="e">
        <f t="shared" ref="CB163" si="738">CA170</f>
        <v>#DIV/0!</v>
      </c>
      <c r="CC163" s="64" t="e">
        <f t="shared" ref="CC163" si="739">CB170</f>
        <v>#DIV/0!</v>
      </c>
      <c r="CD163" s="64" t="e">
        <f t="shared" ref="CD163" si="740">CC170</f>
        <v>#DIV/0!</v>
      </c>
      <c r="CE163" s="64" t="e">
        <f t="shared" ref="CE163" si="741">CD170</f>
        <v>#DIV/0!</v>
      </c>
      <c r="CF163" s="64" t="e">
        <f t="shared" ref="CF163" si="742">CE170</f>
        <v>#DIV/0!</v>
      </c>
      <c r="CG163" s="64" t="e">
        <f t="shared" ref="CG163" si="743">CF170</f>
        <v>#DIV/0!</v>
      </c>
      <c r="CH163" s="64" t="e">
        <f t="shared" ref="CH163" si="744">CG170</f>
        <v>#DIV/0!</v>
      </c>
      <c r="CI163" s="64" t="e">
        <f t="shared" ref="CI163" si="745">CH170</f>
        <v>#DIV/0!</v>
      </c>
      <c r="CJ163" s="64" t="e">
        <f t="shared" ref="CJ163" si="746">CI170</f>
        <v>#DIV/0!</v>
      </c>
      <c r="CK163" s="64" t="e">
        <f t="shared" ref="CK163" si="747">CJ170</f>
        <v>#DIV/0!</v>
      </c>
      <c r="CL163" s="64" t="e">
        <f t="shared" ref="CL163" si="748">CK170</f>
        <v>#DIV/0!</v>
      </c>
      <c r="CM163" s="64" t="e">
        <f t="shared" ref="CM163" si="749">CL170</f>
        <v>#DIV/0!</v>
      </c>
      <c r="CN163" s="64" t="e">
        <f t="shared" ref="CN163" si="750">CM170</f>
        <v>#DIV/0!</v>
      </c>
      <c r="CO163" s="64" t="e">
        <f t="shared" ref="CO163" si="751">CN170</f>
        <v>#DIV/0!</v>
      </c>
      <c r="CP163" s="64" t="e">
        <f t="shared" ref="CP163" si="752">CO170</f>
        <v>#DIV/0!</v>
      </c>
      <c r="CQ163" s="64" t="e">
        <f t="shared" ref="CQ163" si="753">CP170</f>
        <v>#DIV/0!</v>
      </c>
      <c r="CR163" s="64" t="e">
        <f t="shared" ref="CR163" si="754">CQ170</f>
        <v>#DIV/0!</v>
      </c>
      <c r="CS163" s="64" t="e">
        <f t="shared" ref="CS163" si="755">CR170</f>
        <v>#DIV/0!</v>
      </c>
      <c r="CT163" s="64" t="e">
        <f t="shared" ref="CT163" si="756">CS170</f>
        <v>#DIV/0!</v>
      </c>
      <c r="CU163" s="64" t="e">
        <f t="shared" ref="CU163" si="757">CT170</f>
        <v>#DIV/0!</v>
      </c>
      <c r="CV163" s="64" t="e">
        <f t="shared" ref="CV163" si="758">CU170</f>
        <v>#DIV/0!</v>
      </c>
      <c r="CW163" s="64" t="e">
        <f t="shared" ref="CW163" si="759">CV170</f>
        <v>#DIV/0!</v>
      </c>
      <c r="CX163" s="64" t="e">
        <f t="shared" ref="CX163" si="760">CW170</f>
        <v>#DIV/0!</v>
      </c>
      <c r="CY163" s="64" t="e">
        <f t="shared" ref="CY163" si="761">CX170</f>
        <v>#DIV/0!</v>
      </c>
      <c r="CZ163" s="64" t="e">
        <f t="shared" ref="CZ163" si="762">CY170</f>
        <v>#DIV/0!</v>
      </c>
      <c r="DA163" s="64" t="e">
        <f t="shared" ref="DA163" si="763">CZ170</f>
        <v>#DIV/0!</v>
      </c>
      <c r="DB163" s="64" t="e">
        <f t="shared" ref="DB163" si="764">DA170</f>
        <v>#DIV/0!</v>
      </c>
      <c r="DC163" s="64" t="e">
        <f t="shared" ref="DC163" si="765">DB170</f>
        <v>#DIV/0!</v>
      </c>
      <c r="DD163" s="64" t="e">
        <f t="shared" ref="DD163" si="766">DC170</f>
        <v>#DIV/0!</v>
      </c>
      <c r="DE163" s="64" t="e">
        <f t="shared" ref="DE163" si="767">DD170</f>
        <v>#DIV/0!</v>
      </c>
      <c r="DF163" s="64" t="e">
        <f t="shared" ref="DF163" si="768">DE170</f>
        <v>#DIV/0!</v>
      </c>
      <c r="DG163" s="64" t="e">
        <f t="shared" ref="DG163" si="769">DF170</f>
        <v>#DIV/0!</v>
      </c>
      <c r="DH163" s="64" t="e">
        <f t="shared" ref="DH163" si="770">DG170</f>
        <v>#DIV/0!</v>
      </c>
      <c r="DI163" s="64" t="e">
        <f t="shared" ref="DI163" si="771">DH170</f>
        <v>#DIV/0!</v>
      </c>
      <c r="DJ163" s="64" t="e">
        <f t="shared" ref="DJ163" si="772">DI170</f>
        <v>#DIV/0!</v>
      </c>
      <c r="DK163" s="64" t="e">
        <f t="shared" ref="DK163" si="773">DJ170</f>
        <v>#DIV/0!</v>
      </c>
      <c r="DL163" s="64" t="e">
        <f t="shared" ref="DL163" si="774">DK170</f>
        <v>#DIV/0!</v>
      </c>
      <c r="DM163" s="64" t="e">
        <f t="shared" ref="DM163" si="775">DL170</f>
        <v>#DIV/0!</v>
      </c>
      <c r="DN163" s="64" t="e">
        <f t="shared" ref="DN163" si="776">DM170</f>
        <v>#DIV/0!</v>
      </c>
      <c r="DO163" s="64" t="e">
        <f t="shared" ref="DO163" si="777">DN170</f>
        <v>#DIV/0!</v>
      </c>
      <c r="DP163" s="64" t="e">
        <f t="shared" ref="DP163" si="778">DO170</f>
        <v>#DIV/0!</v>
      </c>
      <c r="DQ163" s="64" t="e">
        <f t="shared" ref="DQ163" si="779">DP170</f>
        <v>#DIV/0!</v>
      </c>
      <c r="DR163" s="64" t="e">
        <f t="shared" ref="DR163" si="780">DQ170</f>
        <v>#DIV/0!</v>
      </c>
      <c r="DS163" s="64" t="e">
        <f t="shared" ref="DS163" si="781">DR170</f>
        <v>#DIV/0!</v>
      </c>
    </row>
    <row r="164" spans="1:123" x14ac:dyDescent="0.3">
      <c r="C164" s="105"/>
      <c r="H164" s="111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>
        <f t="shared" ref="AH164:AM164" si="782">+AH33*AH162</f>
        <v>0</v>
      </c>
      <c r="AI164" s="64">
        <f t="shared" si="782"/>
        <v>0</v>
      </c>
      <c r="AJ164" s="64">
        <f t="shared" si="782"/>
        <v>0</v>
      </c>
      <c r="AK164" s="64">
        <f t="shared" si="782"/>
        <v>0</v>
      </c>
      <c r="AL164" s="64">
        <f t="shared" si="782"/>
        <v>0</v>
      </c>
      <c r="AM164" s="64">
        <f t="shared" si="782"/>
        <v>0</v>
      </c>
      <c r="AN164" s="64">
        <f t="shared" ref="AN164:AO164" si="783">+AN33*AN162</f>
        <v>0</v>
      </c>
      <c r="AO164" s="64">
        <f t="shared" si="783"/>
        <v>0</v>
      </c>
      <c r="AP164" s="64">
        <f t="shared" ref="AP164:AQ164" si="784">+AP33*AP162</f>
        <v>0</v>
      </c>
      <c r="AQ164" s="64">
        <f t="shared" si="784"/>
        <v>0</v>
      </c>
      <c r="AR164" s="64">
        <f t="shared" ref="AR164:AS164" si="785">+AR33*AR162</f>
        <v>0</v>
      </c>
      <c r="AS164" s="64">
        <f t="shared" si="785"/>
        <v>0</v>
      </c>
      <c r="AT164" s="64">
        <f t="shared" ref="AT164:AU164" si="786">+AT33*AT162</f>
        <v>0</v>
      </c>
      <c r="AU164" s="64">
        <f t="shared" si="786"/>
        <v>0</v>
      </c>
      <c r="AV164" s="64">
        <f t="shared" ref="AV164" si="787">+AV33*AV162</f>
        <v>0</v>
      </c>
      <c r="AW164" s="64">
        <f t="shared" ref="AW164:AX164" si="788">+AW33*AW162</f>
        <v>0</v>
      </c>
      <c r="AX164" s="64">
        <f t="shared" si="788"/>
        <v>0</v>
      </c>
      <c r="AY164" s="64">
        <f t="shared" ref="AY164:AZ164" si="789">+AY33*AY162</f>
        <v>0</v>
      </c>
      <c r="AZ164" s="64">
        <f t="shared" si="789"/>
        <v>0</v>
      </c>
      <c r="BA164" s="64">
        <f t="shared" ref="BA164:BB164" si="790">+BA33*BA162</f>
        <v>0</v>
      </c>
      <c r="BB164" s="64">
        <f t="shared" si="790"/>
        <v>0</v>
      </c>
      <c r="BC164" s="64">
        <f t="shared" ref="BC164:BD164" si="791">+BC33*BC162</f>
        <v>0</v>
      </c>
      <c r="BD164" s="64">
        <f t="shared" si="791"/>
        <v>0</v>
      </c>
      <c r="BE164" s="64" t="e">
        <f t="shared" ref="BE164" si="792">+BE43*BE162</f>
        <v>#DIV/0!</v>
      </c>
      <c r="BF164" s="64" t="e">
        <f t="shared" ref="BF164:CK164" si="793">+BF43*BF162</f>
        <v>#DIV/0!</v>
      </c>
      <c r="BG164" s="64" t="e">
        <f t="shared" si="793"/>
        <v>#DIV/0!</v>
      </c>
      <c r="BH164" s="64" t="e">
        <f t="shared" si="793"/>
        <v>#DIV/0!</v>
      </c>
      <c r="BI164" s="64" t="e">
        <f t="shared" si="793"/>
        <v>#DIV/0!</v>
      </c>
      <c r="BJ164" s="64" t="e">
        <f t="shared" si="793"/>
        <v>#DIV/0!</v>
      </c>
      <c r="BK164" s="64" t="e">
        <f t="shared" si="793"/>
        <v>#DIV/0!</v>
      </c>
      <c r="BL164" s="64" t="e">
        <f t="shared" si="793"/>
        <v>#DIV/0!</v>
      </c>
      <c r="BM164" s="64" t="e">
        <f t="shared" si="793"/>
        <v>#DIV/0!</v>
      </c>
      <c r="BN164" s="64" t="e">
        <f t="shared" si="793"/>
        <v>#DIV/0!</v>
      </c>
      <c r="BO164" s="64" t="e">
        <f t="shared" si="793"/>
        <v>#DIV/0!</v>
      </c>
      <c r="BP164" s="64" t="e">
        <f t="shared" si="793"/>
        <v>#DIV/0!</v>
      </c>
      <c r="BQ164" s="64" t="e">
        <f t="shared" si="793"/>
        <v>#DIV/0!</v>
      </c>
      <c r="BR164" s="64" t="e">
        <f t="shared" si="793"/>
        <v>#DIV/0!</v>
      </c>
      <c r="BS164" s="64" t="e">
        <f t="shared" si="793"/>
        <v>#DIV/0!</v>
      </c>
      <c r="BT164" s="64" t="e">
        <f t="shared" si="793"/>
        <v>#DIV/0!</v>
      </c>
      <c r="BU164" s="64" t="e">
        <f t="shared" si="793"/>
        <v>#DIV/0!</v>
      </c>
      <c r="BV164" s="64" t="e">
        <f t="shared" si="793"/>
        <v>#DIV/0!</v>
      </c>
      <c r="BW164" s="64" t="e">
        <f t="shared" si="793"/>
        <v>#DIV/0!</v>
      </c>
      <c r="BX164" s="64" t="e">
        <f t="shared" si="793"/>
        <v>#DIV/0!</v>
      </c>
      <c r="BY164" s="64" t="e">
        <f t="shared" si="793"/>
        <v>#DIV/0!</v>
      </c>
      <c r="BZ164" s="64" t="e">
        <f t="shared" si="793"/>
        <v>#DIV/0!</v>
      </c>
      <c r="CA164" s="64" t="e">
        <f t="shared" si="793"/>
        <v>#DIV/0!</v>
      </c>
      <c r="CB164" s="64" t="e">
        <f t="shared" si="793"/>
        <v>#DIV/0!</v>
      </c>
      <c r="CC164" s="64" t="e">
        <f t="shared" si="793"/>
        <v>#DIV/0!</v>
      </c>
      <c r="CD164" s="64" t="e">
        <f t="shared" si="793"/>
        <v>#DIV/0!</v>
      </c>
      <c r="CE164" s="64" t="e">
        <f t="shared" si="793"/>
        <v>#DIV/0!</v>
      </c>
      <c r="CF164" s="64" t="e">
        <f t="shared" si="793"/>
        <v>#DIV/0!</v>
      </c>
      <c r="CG164" s="64" t="e">
        <f t="shared" si="793"/>
        <v>#DIV/0!</v>
      </c>
      <c r="CH164" s="64" t="e">
        <f t="shared" si="793"/>
        <v>#DIV/0!</v>
      </c>
      <c r="CI164" s="64" t="e">
        <f t="shared" si="793"/>
        <v>#DIV/0!</v>
      </c>
      <c r="CJ164" s="64" t="e">
        <f t="shared" si="793"/>
        <v>#DIV/0!</v>
      </c>
      <c r="CK164" s="64" t="e">
        <f t="shared" si="793"/>
        <v>#DIV/0!</v>
      </c>
      <c r="CL164" s="64" t="e">
        <f t="shared" ref="CL164:DS164" si="794">+CL43*CL162</f>
        <v>#DIV/0!</v>
      </c>
      <c r="CM164" s="64" t="e">
        <f t="shared" si="794"/>
        <v>#DIV/0!</v>
      </c>
      <c r="CN164" s="64" t="e">
        <f t="shared" si="794"/>
        <v>#DIV/0!</v>
      </c>
      <c r="CO164" s="64" t="e">
        <f t="shared" si="794"/>
        <v>#DIV/0!</v>
      </c>
      <c r="CP164" s="64" t="e">
        <f t="shared" si="794"/>
        <v>#DIV/0!</v>
      </c>
      <c r="CQ164" s="64" t="e">
        <f t="shared" si="794"/>
        <v>#DIV/0!</v>
      </c>
      <c r="CR164" s="64" t="e">
        <f t="shared" si="794"/>
        <v>#DIV/0!</v>
      </c>
      <c r="CS164" s="64" t="e">
        <f t="shared" si="794"/>
        <v>#DIV/0!</v>
      </c>
      <c r="CT164" s="64" t="e">
        <f t="shared" si="794"/>
        <v>#DIV/0!</v>
      </c>
      <c r="CU164" s="64" t="e">
        <f t="shared" si="794"/>
        <v>#DIV/0!</v>
      </c>
      <c r="CV164" s="64" t="e">
        <f t="shared" si="794"/>
        <v>#DIV/0!</v>
      </c>
      <c r="CW164" s="64" t="e">
        <f t="shared" si="794"/>
        <v>#DIV/0!</v>
      </c>
      <c r="CX164" s="64" t="e">
        <f t="shared" si="794"/>
        <v>#DIV/0!</v>
      </c>
      <c r="CY164" s="64" t="e">
        <f t="shared" si="794"/>
        <v>#DIV/0!</v>
      </c>
      <c r="CZ164" s="64" t="e">
        <f t="shared" si="794"/>
        <v>#DIV/0!</v>
      </c>
      <c r="DA164" s="64" t="e">
        <f t="shared" si="794"/>
        <v>#DIV/0!</v>
      </c>
      <c r="DB164" s="64" t="e">
        <f t="shared" si="794"/>
        <v>#DIV/0!</v>
      </c>
      <c r="DC164" s="64" t="e">
        <f t="shared" si="794"/>
        <v>#DIV/0!</v>
      </c>
      <c r="DD164" s="64" t="e">
        <f t="shared" si="794"/>
        <v>#DIV/0!</v>
      </c>
      <c r="DE164" s="64" t="e">
        <f t="shared" si="794"/>
        <v>#DIV/0!</v>
      </c>
      <c r="DF164" s="64" t="e">
        <f t="shared" si="794"/>
        <v>#DIV/0!</v>
      </c>
      <c r="DG164" s="64" t="e">
        <f t="shared" si="794"/>
        <v>#DIV/0!</v>
      </c>
      <c r="DH164" s="64" t="e">
        <f t="shared" si="794"/>
        <v>#DIV/0!</v>
      </c>
      <c r="DI164" s="64" t="e">
        <f t="shared" si="794"/>
        <v>#DIV/0!</v>
      </c>
      <c r="DJ164" s="64" t="e">
        <f t="shared" si="794"/>
        <v>#DIV/0!</v>
      </c>
      <c r="DK164" s="64" t="e">
        <f t="shared" si="794"/>
        <v>#DIV/0!</v>
      </c>
      <c r="DL164" s="64" t="e">
        <f t="shared" si="794"/>
        <v>#DIV/0!</v>
      </c>
      <c r="DM164" s="64" t="e">
        <f t="shared" si="794"/>
        <v>#DIV/0!</v>
      </c>
      <c r="DN164" s="64" t="e">
        <f t="shared" si="794"/>
        <v>#DIV/0!</v>
      </c>
      <c r="DO164" s="64" t="e">
        <f t="shared" si="794"/>
        <v>#DIV/0!</v>
      </c>
      <c r="DP164" s="64" t="e">
        <f t="shared" si="794"/>
        <v>#DIV/0!</v>
      </c>
      <c r="DQ164" s="64" t="e">
        <f t="shared" si="794"/>
        <v>#DIV/0!</v>
      </c>
      <c r="DR164" s="64" t="e">
        <f t="shared" si="794"/>
        <v>#DIV/0!</v>
      </c>
      <c r="DS164" s="64" t="e">
        <f t="shared" si="794"/>
        <v>#DIV/0!</v>
      </c>
    </row>
    <row r="165" spans="1:123" x14ac:dyDescent="0.3">
      <c r="C165" s="105"/>
      <c r="H165" s="111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>
        <f t="shared" ref="AH165:AN165" si="795">+AH163+AH164</f>
        <v>0</v>
      </c>
      <c r="AI165" s="64">
        <f t="shared" si="795"/>
        <v>0</v>
      </c>
      <c r="AJ165" s="64">
        <f t="shared" si="795"/>
        <v>0</v>
      </c>
      <c r="AK165" s="64">
        <f t="shared" si="795"/>
        <v>0</v>
      </c>
      <c r="AL165" s="64">
        <f t="shared" si="795"/>
        <v>0</v>
      </c>
      <c r="AM165" s="64">
        <f t="shared" si="795"/>
        <v>0</v>
      </c>
      <c r="AN165" s="64">
        <f t="shared" si="795"/>
        <v>0</v>
      </c>
      <c r="AO165" s="64">
        <f t="shared" ref="AO165:AP165" si="796">+AO163+AO164</f>
        <v>0</v>
      </c>
      <c r="AP165" s="64">
        <f t="shared" si="796"/>
        <v>0</v>
      </c>
      <c r="AQ165" s="64">
        <f t="shared" ref="AQ165:AR165" si="797">+AQ163+AQ164</f>
        <v>0</v>
      </c>
      <c r="AR165" s="64">
        <f t="shared" si="797"/>
        <v>0</v>
      </c>
      <c r="AS165" s="64">
        <f t="shared" ref="AS165:AT165" si="798">+AS163+AS164</f>
        <v>0</v>
      </c>
      <c r="AT165" s="64">
        <f t="shared" si="798"/>
        <v>0</v>
      </c>
      <c r="AU165" s="64">
        <f t="shared" ref="AU165:AV165" si="799">+AU163+AU164</f>
        <v>0</v>
      </c>
      <c r="AV165" s="64">
        <f t="shared" si="799"/>
        <v>0</v>
      </c>
      <c r="AW165" s="64">
        <f t="shared" ref="AW165:AX165" si="800">+AW163+AW164</f>
        <v>0</v>
      </c>
      <c r="AX165" s="64">
        <f t="shared" si="800"/>
        <v>0</v>
      </c>
      <c r="AY165" s="64">
        <f t="shared" ref="AY165:AZ165" si="801">+AY163+AY164</f>
        <v>0</v>
      </c>
      <c r="AZ165" s="64">
        <f t="shared" si="801"/>
        <v>0</v>
      </c>
      <c r="BA165" s="64">
        <f t="shared" ref="BA165:BB165" si="802">+BA163+BA164</f>
        <v>0</v>
      </c>
      <c r="BB165" s="64">
        <f t="shared" si="802"/>
        <v>0</v>
      </c>
      <c r="BC165" s="64">
        <f t="shared" ref="BC165:BD165" si="803">+BC163+BC164</f>
        <v>0</v>
      </c>
      <c r="BD165" s="64">
        <f t="shared" si="803"/>
        <v>0</v>
      </c>
      <c r="BE165" s="64" t="e">
        <f t="shared" ref="BE165:CJ165" si="804">+BE163+BE164</f>
        <v>#DIV/0!</v>
      </c>
      <c r="BF165" s="64" t="e">
        <f t="shared" si="804"/>
        <v>#DIV/0!</v>
      </c>
      <c r="BG165" s="64" t="e">
        <f t="shared" si="804"/>
        <v>#DIV/0!</v>
      </c>
      <c r="BH165" s="64" t="e">
        <f t="shared" si="804"/>
        <v>#DIV/0!</v>
      </c>
      <c r="BI165" s="64" t="e">
        <f t="shared" si="804"/>
        <v>#DIV/0!</v>
      </c>
      <c r="BJ165" s="64" t="e">
        <f t="shared" si="804"/>
        <v>#DIV/0!</v>
      </c>
      <c r="BK165" s="64" t="e">
        <f t="shared" si="804"/>
        <v>#DIV/0!</v>
      </c>
      <c r="BL165" s="64" t="e">
        <f t="shared" si="804"/>
        <v>#DIV/0!</v>
      </c>
      <c r="BM165" s="64" t="e">
        <f t="shared" si="804"/>
        <v>#DIV/0!</v>
      </c>
      <c r="BN165" s="64" t="e">
        <f t="shared" si="804"/>
        <v>#DIV/0!</v>
      </c>
      <c r="BO165" s="64" t="e">
        <f t="shared" si="804"/>
        <v>#DIV/0!</v>
      </c>
      <c r="BP165" s="64" t="e">
        <f t="shared" si="804"/>
        <v>#DIV/0!</v>
      </c>
      <c r="BQ165" s="64" t="e">
        <f t="shared" si="804"/>
        <v>#DIV/0!</v>
      </c>
      <c r="BR165" s="64" t="e">
        <f t="shared" si="804"/>
        <v>#DIV/0!</v>
      </c>
      <c r="BS165" s="64" t="e">
        <f t="shared" si="804"/>
        <v>#DIV/0!</v>
      </c>
      <c r="BT165" s="64" t="e">
        <f t="shared" si="804"/>
        <v>#DIV/0!</v>
      </c>
      <c r="BU165" s="64" t="e">
        <f t="shared" si="804"/>
        <v>#DIV/0!</v>
      </c>
      <c r="BV165" s="64" t="e">
        <f t="shared" si="804"/>
        <v>#DIV/0!</v>
      </c>
      <c r="BW165" s="64" t="e">
        <f t="shared" si="804"/>
        <v>#DIV/0!</v>
      </c>
      <c r="BX165" s="64" t="e">
        <f t="shared" si="804"/>
        <v>#DIV/0!</v>
      </c>
      <c r="BY165" s="64" t="e">
        <f t="shared" si="804"/>
        <v>#DIV/0!</v>
      </c>
      <c r="BZ165" s="64" t="e">
        <f t="shared" si="804"/>
        <v>#DIV/0!</v>
      </c>
      <c r="CA165" s="64" t="e">
        <f t="shared" si="804"/>
        <v>#DIV/0!</v>
      </c>
      <c r="CB165" s="64" t="e">
        <f t="shared" si="804"/>
        <v>#DIV/0!</v>
      </c>
      <c r="CC165" s="64" t="e">
        <f t="shared" si="804"/>
        <v>#DIV/0!</v>
      </c>
      <c r="CD165" s="64" t="e">
        <f t="shared" si="804"/>
        <v>#DIV/0!</v>
      </c>
      <c r="CE165" s="64" t="e">
        <f t="shared" si="804"/>
        <v>#DIV/0!</v>
      </c>
      <c r="CF165" s="64" t="e">
        <f t="shared" si="804"/>
        <v>#DIV/0!</v>
      </c>
      <c r="CG165" s="64" t="e">
        <f t="shared" si="804"/>
        <v>#DIV/0!</v>
      </c>
      <c r="CH165" s="64" t="e">
        <f t="shared" si="804"/>
        <v>#DIV/0!</v>
      </c>
      <c r="CI165" s="64" t="e">
        <f t="shared" si="804"/>
        <v>#DIV/0!</v>
      </c>
      <c r="CJ165" s="64" t="e">
        <f t="shared" si="804"/>
        <v>#DIV/0!</v>
      </c>
      <c r="CK165" s="64" t="e">
        <f t="shared" ref="CK165:DS165" si="805">+CK163+CK164</f>
        <v>#DIV/0!</v>
      </c>
      <c r="CL165" s="64" t="e">
        <f t="shared" si="805"/>
        <v>#DIV/0!</v>
      </c>
      <c r="CM165" s="64" t="e">
        <f t="shared" si="805"/>
        <v>#DIV/0!</v>
      </c>
      <c r="CN165" s="64" t="e">
        <f t="shared" si="805"/>
        <v>#DIV/0!</v>
      </c>
      <c r="CO165" s="64" t="e">
        <f t="shared" si="805"/>
        <v>#DIV/0!</v>
      </c>
      <c r="CP165" s="64" t="e">
        <f t="shared" si="805"/>
        <v>#DIV/0!</v>
      </c>
      <c r="CQ165" s="64" t="e">
        <f t="shared" si="805"/>
        <v>#DIV/0!</v>
      </c>
      <c r="CR165" s="64" t="e">
        <f t="shared" si="805"/>
        <v>#DIV/0!</v>
      </c>
      <c r="CS165" s="64" t="e">
        <f t="shared" si="805"/>
        <v>#DIV/0!</v>
      </c>
      <c r="CT165" s="64" t="e">
        <f t="shared" si="805"/>
        <v>#DIV/0!</v>
      </c>
      <c r="CU165" s="64" t="e">
        <f t="shared" si="805"/>
        <v>#DIV/0!</v>
      </c>
      <c r="CV165" s="64" t="e">
        <f t="shared" si="805"/>
        <v>#DIV/0!</v>
      </c>
      <c r="CW165" s="64" t="e">
        <f t="shared" si="805"/>
        <v>#DIV/0!</v>
      </c>
      <c r="CX165" s="64" t="e">
        <f t="shared" si="805"/>
        <v>#DIV/0!</v>
      </c>
      <c r="CY165" s="64" t="e">
        <f t="shared" si="805"/>
        <v>#DIV/0!</v>
      </c>
      <c r="CZ165" s="64" t="e">
        <f t="shared" si="805"/>
        <v>#DIV/0!</v>
      </c>
      <c r="DA165" s="64" t="e">
        <f t="shared" si="805"/>
        <v>#DIV/0!</v>
      </c>
      <c r="DB165" s="64" t="e">
        <f t="shared" si="805"/>
        <v>#DIV/0!</v>
      </c>
      <c r="DC165" s="64" t="e">
        <f t="shared" si="805"/>
        <v>#DIV/0!</v>
      </c>
      <c r="DD165" s="64" t="e">
        <f t="shared" si="805"/>
        <v>#DIV/0!</v>
      </c>
      <c r="DE165" s="64" t="e">
        <f t="shared" si="805"/>
        <v>#DIV/0!</v>
      </c>
      <c r="DF165" s="64" t="e">
        <f t="shared" si="805"/>
        <v>#DIV/0!</v>
      </c>
      <c r="DG165" s="64" t="e">
        <f t="shared" si="805"/>
        <v>#DIV/0!</v>
      </c>
      <c r="DH165" s="64" t="e">
        <f t="shared" si="805"/>
        <v>#DIV/0!</v>
      </c>
      <c r="DI165" s="64" t="e">
        <f t="shared" si="805"/>
        <v>#DIV/0!</v>
      </c>
      <c r="DJ165" s="64" t="e">
        <f t="shared" si="805"/>
        <v>#DIV/0!</v>
      </c>
      <c r="DK165" s="64" t="e">
        <f t="shared" si="805"/>
        <v>#DIV/0!</v>
      </c>
      <c r="DL165" s="64" t="e">
        <f t="shared" si="805"/>
        <v>#DIV/0!</v>
      </c>
      <c r="DM165" s="64" t="e">
        <f t="shared" si="805"/>
        <v>#DIV/0!</v>
      </c>
      <c r="DN165" s="64" t="e">
        <f t="shared" si="805"/>
        <v>#DIV/0!</v>
      </c>
      <c r="DO165" s="64" t="e">
        <f t="shared" si="805"/>
        <v>#DIV/0!</v>
      </c>
      <c r="DP165" s="64" t="e">
        <f t="shared" si="805"/>
        <v>#DIV/0!</v>
      </c>
      <c r="DQ165" s="64" t="e">
        <f t="shared" si="805"/>
        <v>#DIV/0!</v>
      </c>
      <c r="DR165" s="64" t="e">
        <f t="shared" si="805"/>
        <v>#DIV/0!</v>
      </c>
      <c r="DS165" s="64" t="e">
        <f t="shared" si="805"/>
        <v>#DIV/0!</v>
      </c>
    </row>
    <row r="166" spans="1:123" x14ac:dyDescent="0.3">
      <c r="B166" s="104"/>
      <c r="C166" s="105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11"/>
      <c r="AG166" s="162"/>
      <c r="AH166" s="162">
        <f t="shared" ref="AH166:AN166" si="806">TRUNC((AH165)/500,4)</f>
        <v>0</v>
      </c>
      <c r="AI166" s="162">
        <f t="shared" si="806"/>
        <v>0</v>
      </c>
      <c r="AJ166" s="162">
        <f t="shared" si="806"/>
        <v>0</v>
      </c>
      <c r="AK166" s="162">
        <f t="shared" si="806"/>
        <v>0</v>
      </c>
      <c r="AL166" s="162">
        <f t="shared" si="806"/>
        <v>0</v>
      </c>
      <c r="AM166" s="162">
        <f t="shared" si="806"/>
        <v>0</v>
      </c>
      <c r="AN166" s="162">
        <f t="shared" si="806"/>
        <v>0</v>
      </c>
      <c r="AO166" s="162">
        <f t="shared" ref="AO166:AP166" si="807">TRUNC((AO165)/500,4)</f>
        <v>0</v>
      </c>
      <c r="AP166" s="162">
        <f t="shared" si="807"/>
        <v>0</v>
      </c>
      <c r="AQ166" s="162">
        <f t="shared" ref="AQ166:AR166" si="808">TRUNC((AQ165)/500,4)</f>
        <v>0</v>
      </c>
      <c r="AR166" s="162">
        <f t="shared" si="808"/>
        <v>0</v>
      </c>
      <c r="AS166" s="162">
        <f t="shared" ref="AS166:AT166" si="809">TRUNC((AS165)/500,4)</f>
        <v>0</v>
      </c>
      <c r="AT166" s="162">
        <f t="shared" si="809"/>
        <v>0</v>
      </c>
      <c r="AU166" s="162">
        <f t="shared" ref="AU166:AV166" si="810">TRUNC((AU165)/500,4)</f>
        <v>0</v>
      </c>
      <c r="AV166" s="162">
        <f t="shared" si="810"/>
        <v>0</v>
      </c>
      <c r="AW166" s="162">
        <f t="shared" ref="AW166:AX166" si="811">TRUNC((AW165)/500,4)</f>
        <v>0</v>
      </c>
      <c r="AX166" s="162">
        <f t="shared" si="811"/>
        <v>0</v>
      </c>
      <c r="AY166" s="162">
        <f t="shared" ref="AY166:AZ166" si="812">TRUNC((AY165)/500,4)</f>
        <v>0</v>
      </c>
      <c r="AZ166" s="162">
        <f t="shared" si="812"/>
        <v>0</v>
      </c>
      <c r="BA166" s="162">
        <f t="shared" ref="BA166:BB166" si="813">TRUNC((BA165)/500,4)</f>
        <v>0</v>
      </c>
      <c r="BB166" s="162">
        <f t="shared" si="813"/>
        <v>0</v>
      </c>
      <c r="BC166" s="162">
        <f t="shared" ref="BC166:BD166" si="814">TRUNC((BC165)/500,4)</f>
        <v>0</v>
      </c>
      <c r="BD166" s="162">
        <f t="shared" si="814"/>
        <v>0</v>
      </c>
      <c r="BE166" s="111" t="e">
        <f t="shared" ref="BE166:CJ166" si="815">TRUNC((BE165)/1500,3)</f>
        <v>#DIV/0!</v>
      </c>
      <c r="BF166" s="111" t="e">
        <f t="shared" si="815"/>
        <v>#DIV/0!</v>
      </c>
      <c r="BG166" s="111" t="e">
        <f t="shared" si="815"/>
        <v>#DIV/0!</v>
      </c>
      <c r="BH166" s="111" t="e">
        <f t="shared" si="815"/>
        <v>#DIV/0!</v>
      </c>
      <c r="BI166" s="111" t="e">
        <f t="shared" si="815"/>
        <v>#DIV/0!</v>
      </c>
      <c r="BJ166" s="111" t="e">
        <f t="shared" si="815"/>
        <v>#DIV/0!</v>
      </c>
      <c r="BK166" s="111" t="e">
        <f t="shared" si="815"/>
        <v>#DIV/0!</v>
      </c>
      <c r="BL166" s="111" t="e">
        <f t="shared" si="815"/>
        <v>#DIV/0!</v>
      </c>
      <c r="BM166" s="111" t="e">
        <f t="shared" si="815"/>
        <v>#DIV/0!</v>
      </c>
      <c r="BN166" s="111" t="e">
        <f t="shared" si="815"/>
        <v>#DIV/0!</v>
      </c>
      <c r="BO166" s="111" t="e">
        <f t="shared" si="815"/>
        <v>#DIV/0!</v>
      </c>
      <c r="BP166" s="111" t="e">
        <f t="shared" si="815"/>
        <v>#DIV/0!</v>
      </c>
      <c r="BQ166" s="111" t="e">
        <f t="shared" si="815"/>
        <v>#DIV/0!</v>
      </c>
      <c r="BR166" s="111" t="e">
        <f t="shared" si="815"/>
        <v>#DIV/0!</v>
      </c>
      <c r="BS166" s="111" t="e">
        <f t="shared" si="815"/>
        <v>#DIV/0!</v>
      </c>
      <c r="BT166" s="111" t="e">
        <f t="shared" si="815"/>
        <v>#DIV/0!</v>
      </c>
      <c r="BU166" s="111" t="e">
        <f t="shared" si="815"/>
        <v>#DIV/0!</v>
      </c>
      <c r="BV166" s="111" t="e">
        <f t="shared" si="815"/>
        <v>#DIV/0!</v>
      </c>
      <c r="BW166" s="111" t="e">
        <f t="shared" si="815"/>
        <v>#DIV/0!</v>
      </c>
      <c r="BX166" s="111" t="e">
        <f t="shared" si="815"/>
        <v>#DIV/0!</v>
      </c>
      <c r="BY166" s="111" t="e">
        <f t="shared" si="815"/>
        <v>#DIV/0!</v>
      </c>
      <c r="BZ166" s="111" t="e">
        <f t="shared" si="815"/>
        <v>#DIV/0!</v>
      </c>
      <c r="CA166" s="111" t="e">
        <f t="shared" si="815"/>
        <v>#DIV/0!</v>
      </c>
      <c r="CB166" s="111" t="e">
        <f t="shared" si="815"/>
        <v>#DIV/0!</v>
      </c>
      <c r="CC166" s="111" t="e">
        <f t="shared" si="815"/>
        <v>#DIV/0!</v>
      </c>
      <c r="CD166" s="111" t="e">
        <f t="shared" si="815"/>
        <v>#DIV/0!</v>
      </c>
      <c r="CE166" s="111" t="e">
        <f t="shared" si="815"/>
        <v>#DIV/0!</v>
      </c>
      <c r="CF166" s="111" t="e">
        <f t="shared" si="815"/>
        <v>#DIV/0!</v>
      </c>
      <c r="CG166" s="111" t="e">
        <f t="shared" si="815"/>
        <v>#DIV/0!</v>
      </c>
      <c r="CH166" s="111" t="e">
        <f t="shared" si="815"/>
        <v>#DIV/0!</v>
      </c>
      <c r="CI166" s="111" t="e">
        <f t="shared" si="815"/>
        <v>#DIV/0!</v>
      </c>
      <c r="CJ166" s="111" t="e">
        <f t="shared" si="815"/>
        <v>#DIV/0!</v>
      </c>
      <c r="CK166" s="111" t="e">
        <f t="shared" ref="CK166:DS166" si="816">TRUNC((CK165)/1500,3)</f>
        <v>#DIV/0!</v>
      </c>
      <c r="CL166" s="111" t="e">
        <f t="shared" si="816"/>
        <v>#DIV/0!</v>
      </c>
      <c r="CM166" s="111" t="e">
        <f t="shared" si="816"/>
        <v>#DIV/0!</v>
      </c>
      <c r="CN166" s="111" t="e">
        <f t="shared" si="816"/>
        <v>#DIV/0!</v>
      </c>
      <c r="CO166" s="111" t="e">
        <f t="shared" si="816"/>
        <v>#DIV/0!</v>
      </c>
      <c r="CP166" s="111" t="e">
        <f t="shared" si="816"/>
        <v>#DIV/0!</v>
      </c>
      <c r="CQ166" s="111" t="e">
        <f t="shared" si="816"/>
        <v>#DIV/0!</v>
      </c>
      <c r="CR166" s="111" t="e">
        <f t="shared" si="816"/>
        <v>#DIV/0!</v>
      </c>
      <c r="CS166" s="111" t="e">
        <f t="shared" si="816"/>
        <v>#DIV/0!</v>
      </c>
      <c r="CT166" s="111" t="e">
        <f t="shared" si="816"/>
        <v>#DIV/0!</v>
      </c>
      <c r="CU166" s="111" t="e">
        <f t="shared" si="816"/>
        <v>#DIV/0!</v>
      </c>
      <c r="CV166" s="111" t="e">
        <f t="shared" si="816"/>
        <v>#DIV/0!</v>
      </c>
      <c r="CW166" s="111" t="e">
        <f t="shared" si="816"/>
        <v>#DIV/0!</v>
      </c>
      <c r="CX166" s="111" t="e">
        <f t="shared" si="816"/>
        <v>#DIV/0!</v>
      </c>
      <c r="CY166" s="111" t="e">
        <f t="shared" si="816"/>
        <v>#DIV/0!</v>
      </c>
      <c r="CZ166" s="111" t="e">
        <f t="shared" si="816"/>
        <v>#DIV/0!</v>
      </c>
      <c r="DA166" s="111" t="e">
        <f t="shared" si="816"/>
        <v>#DIV/0!</v>
      </c>
      <c r="DB166" s="111" t="e">
        <f t="shared" si="816"/>
        <v>#DIV/0!</v>
      </c>
      <c r="DC166" s="111" t="e">
        <f t="shared" si="816"/>
        <v>#DIV/0!</v>
      </c>
      <c r="DD166" s="111" t="e">
        <f t="shared" si="816"/>
        <v>#DIV/0!</v>
      </c>
      <c r="DE166" s="111" t="e">
        <f t="shared" si="816"/>
        <v>#DIV/0!</v>
      </c>
      <c r="DF166" s="111" t="e">
        <f t="shared" si="816"/>
        <v>#DIV/0!</v>
      </c>
      <c r="DG166" s="111" t="e">
        <f t="shared" si="816"/>
        <v>#DIV/0!</v>
      </c>
      <c r="DH166" s="111" t="e">
        <f t="shared" si="816"/>
        <v>#DIV/0!</v>
      </c>
      <c r="DI166" s="111" t="e">
        <f t="shared" si="816"/>
        <v>#DIV/0!</v>
      </c>
      <c r="DJ166" s="111" t="e">
        <f t="shared" si="816"/>
        <v>#DIV/0!</v>
      </c>
      <c r="DK166" s="111" t="e">
        <f t="shared" si="816"/>
        <v>#DIV/0!</v>
      </c>
      <c r="DL166" s="111" t="e">
        <f t="shared" si="816"/>
        <v>#DIV/0!</v>
      </c>
      <c r="DM166" s="111" t="e">
        <f t="shared" si="816"/>
        <v>#DIV/0!</v>
      </c>
      <c r="DN166" s="111" t="e">
        <f t="shared" si="816"/>
        <v>#DIV/0!</v>
      </c>
      <c r="DO166" s="111" t="e">
        <f t="shared" si="816"/>
        <v>#DIV/0!</v>
      </c>
      <c r="DP166" s="111" t="e">
        <f t="shared" si="816"/>
        <v>#DIV/0!</v>
      </c>
      <c r="DQ166" s="111" t="e">
        <f t="shared" si="816"/>
        <v>#DIV/0!</v>
      </c>
      <c r="DR166" s="111" t="e">
        <f t="shared" si="816"/>
        <v>#DIV/0!</v>
      </c>
      <c r="DS166" s="111" t="e">
        <f t="shared" si="816"/>
        <v>#DIV/0!</v>
      </c>
    </row>
    <row r="167" spans="1:123" x14ac:dyDescent="0.3">
      <c r="B167" s="104"/>
      <c r="C167" s="105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17"/>
      <c r="AH167" s="117">
        <f t="shared" ref="AH167:AN167" si="817">IF(AH166&gt;100,ROUND((AH166-100)*0.2,3),0)</f>
        <v>0</v>
      </c>
      <c r="AI167" s="117">
        <f t="shared" si="817"/>
        <v>0</v>
      </c>
      <c r="AJ167" s="117">
        <f t="shared" si="817"/>
        <v>0</v>
      </c>
      <c r="AK167" s="117">
        <f t="shared" si="817"/>
        <v>0</v>
      </c>
      <c r="AL167" s="117">
        <f t="shared" si="817"/>
        <v>0</v>
      </c>
      <c r="AM167" s="117">
        <f t="shared" si="817"/>
        <v>0</v>
      </c>
      <c r="AN167" s="117">
        <f t="shared" si="817"/>
        <v>0</v>
      </c>
      <c r="AO167" s="117">
        <f t="shared" ref="AO167:AP167" si="818">IF(AO166&gt;100,ROUND((AO166-100)*0.2,3),0)</f>
        <v>0</v>
      </c>
      <c r="AP167" s="117">
        <f t="shared" si="818"/>
        <v>0</v>
      </c>
      <c r="AQ167" s="117">
        <f t="shared" ref="AQ167:AR167" si="819">IF(AQ166&gt;100,ROUND((AQ166-100)*0.2,3),0)</f>
        <v>0</v>
      </c>
      <c r="AR167" s="117">
        <f t="shared" si="819"/>
        <v>0</v>
      </c>
      <c r="AS167" s="117">
        <f t="shared" ref="AS167:AT167" si="820">IF(AS166&gt;100,ROUND((AS166-100)*0.2,3),0)</f>
        <v>0</v>
      </c>
      <c r="AT167" s="117">
        <f t="shared" si="820"/>
        <v>0</v>
      </c>
      <c r="AU167" s="117">
        <f t="shared" ref="AU167:AV167" si="821">IF(AU166&gt;100,ROUND((AU166-100)*0.2,3),0)</f>
        <v>0</v>
      </c>
      <c r="AV167" s="117">
        <f t="shared" si="821"/>
        <v>0</v>
      </c>
      <c r="AW167" s="117">
        <f t="shared" ref="AW167:AX167" si="822">IF(AW166&gt;100,ROUND((AW166-100)*0.2,3),0)</f>
        <v>0</v>
      </c>
      <c r="AX167" s="117">
        <f t="shared" si="822"/>
        <v>0</v>
      </c>
      <c r="AY167" s="117">
        <f t="shared" ref="AY167:AZ167" si="823">IF(AY166&gt;100,ROUND((AY166-100)*0.2,3),0)</f>
        <v>0</v>
      </c>
      <c r="AZ167" s="117">
        <f t="shared" si="823"/>
        <v>0</v>
      </c>
      <c r="BA167" s="117">
        <f t="shared" ref="BA167:BB167" si="824">IF(BA166&gt;100,ROUND((BA166-100)*0.2,3),0)</f>
        <v>0</v>
      </c>
      <c r="BB167" s="117">
        <f t="shared" si="824"/>
        <v>0</v>
      </c>
      <c r="BC167" s="117">
        <f t="shared" ref="BC167:BD167" si="825">IF(BC166&gt;100,ROUND((BC166-100)*0.2,3),0)</f>
        <v>0</v>
      </c>
      <c r="BD167" s="117">
        <f t="shared" si="825"/>
        <v>0</v>
      </c>
      <c r="BE167" s="117" t="e">
        <f t="shared" ref="BE167:CB167" si="826">IF(BE166&gt;100,ROUND((BE166-100)*0.2,3),0)</f>
        <v>#DIV/0!</v>
      </c>
      <c r="BF167" s="117" t="e">
        <f t="shared" si="826"/>
        <v>#DIV/0!</v>
      </c>
      <c r="BG167" s="117" t="e">
        <f t="shared" si="826"/>
        <v>#DIV/0!</v>
      </c>
      <c r="BH167" s="117" t="e">
        <f t="shared" si="826"/>
        <v>#DIV/0!</v>
      </c>
      <c r="BI167" s="117" t="e">
        <f t="shared" si="826"/>
        <v>#DIV/0!</v>
      </c>
      <c r="BJ167" s="117" t="e">
        <f t="shared" si="826"/>
        <v>#DIV/0!</v>
      </c>
      <c r="BK167" s="117" t="e">
        <f t="shared" si="826"/>
        <v>#DIV/0!</v>
      </c>
      <c r="BL167" s="117" t="e">
        <f t="shared" si="826"/>
        <v>#DIV/0!</v>
      </c>
      <c r="BM167" s="117" t="e">
        <f t="shared" si="826"/>
        <v>#DIV/0!</v>
      </c>
      <c r="BN167" s="117" t="e">
        <f t="shared" si="826"/>
        <v>#DIV/0!</v>
      </c>
      <c r="BO167" s="117" t="e">
        <f t="shared" si="826"/>
        <v>#DIV/0!</v>
      </c>
      <c r="BP167" s="117" t="e">
        <f t="shared" si="826"/>
        <v>#DIV/0!</v>
      </c>
      <c r="BQ167" s="117" t="e">
        <f t="shared" si="826"/>
        <v>#DIV/0!</v>
      </c>
      <c r="BR167" s="117" t="e">
        <f t="shared" si="826"/>
        <v>#DIV/0!</v>
      </c>
      <c r="BS167" s="117" t="e">
        <f t="shared" si="826"/>
        <v>#DIV/0!</v>
      </c>
      <c r="BT167" s="117" t="e">
        <f t="shared" si="826"/>
        <v>#DIV/0!</v>
      </c>
      <c r="BU167" s="117" t="e">
        <f t="shared" si="826"/>
        <v>#DIV/0!</v>
      </c>
      <c r="BV167" s="117" t="e">
        <f t="shared" si="826"/>
        <v>#DIV/0!</v>
      </c>
      <c r="BW167" s="117" t="e">
        <f t="shared" si="826"/>
        <v>#DIV/0!</v>
      </c>
      <c r="BX167" s="117" t="e">
        <f t="shared" si="826"/>
        <v>#DIV/0!</v>
      </c>
      <c r="BY167" s="117" t="e">
        <f t="shared" si="826"/>
        <v>#DIV/0!</v>
      </c>
      <c r="BZ167" s="117" t="e">
        <f t="shared" si="826"/>
        <v>#DIV/0!</v>
      </c>
      <c r="CA167" s="117" t="e">
        <f t="shared" si="826"/>
        <v>#DIV/0!</v>
      </c>
      <c r="CB167" s="117" t="e">
        <f t="shared" si="826"/>
        <v>#DIV/0!</v>
      </c>
      <c r="CC167" s="117" t="e">
        <f t="shared" ref="CC167:DS167" si="827">IF(CC166&gt;100,ROUND((CC166-100)*0.2,3),0)</f>
        <v>#DIV/0!</v>
      </c>
      <c r="CD167" s="117" t="e">
        <f t="shared" si="827"/>
        <v>#DIV/0!</v>
      </c>
      <c r="CE167" s="117" t="e">
        <f t="shared" si="827"/>
        <v>#DIV/0!</v>
      </c>
      <c r="CF167" s="117" t="e">
        <f t="shared" si="827"/>
        <v>#DIV/0!</v>
      </c>
      <c r="CG167" s="117" t="e">
        <f t="shared" si="827"/>
        <v>#DIV/0!</v>
      </c>
      <c r="CH167" s="117" t="e">
        <f t="shared" si="827"/>
        <v>#DIV/0!</v>
      </c>
      <c r="CI167" s="117" t="e">
        <f t="shared" si="827"/>
        <v>#DIV/0!</v>
      </c>
      <c r="CJ167" s="117" t="e">
        <f t="shared" si="827"/>
        <v>#DIV/0!</v>
      </c>
      <c r="CK167" s="117" t="e">
        <f t="shared" si="827"/>
        <v>#DIV/0!</v>
      </c>
      <c r="CL167" s="117" t="e">
        <f t="shared" si="827"/>
        <v>#DIV/0!</v>
      </c>
      <c r="CM167" s="117" t="e">
        <f t="shared" si="827"/>
        <v>#DIV/0!</v>
      </c>
      <c r="CN167" s="117" t="e">
        <f t="shared" si="827"/>
        <v>#DIV/0!</v>
      </c>
      <c r="CO167" s="117" t="e">
        <f t="shared" si="827"/>
        <v>#DIV/0!</v>
      </c>
      <c r="CP167" s="117" t="e">
        <f t="shared" si="827"/>
        <v>#DIV/0!</v>
      </c>
      <c r="CQ167" s="117" t="e">
        <f t="shared" si="827"/>
        <v>#DIV/0!</v>
      </c>
      <c r="CR167" s="117" t="e">
        <f t="shared" si="827"/>
        <v>#DIV/0!</v>
      </c>
      <c r="CS167" s="117" t="e">
        <f t="shared" si="827"/>
        <v>#DIV/0!</v>
      </c>
      <c r="CT167" s="117" t="e">
        <f t="shared" si="827"/>
        <v>#DIV/0!</v>
      </c>
      <c r="CU167" s="117" t="e">
        <f t="shared" si="827"/>
        <v>#DIV/0!</v>
      </c>
      <c r="CV167" s="117" t="e">
        <f t="shared" si="827"/>
        <v>#DIV/0!</v>
      </c>
      <c r="CW167" s="117" t="e">
        <f t="shared" si="827"/>
        <v>#DIV/0!</v>
      </c>
      <c r="CX167" s="117" t="e">
        <f t="shared" si="827"/>
        <v>#DIV/0!</v>
      </c>
      <c r="CY167" s="117" t="e">
        <f t="shared" si="827"/>
        <v>#DIV/0!</v>
      </c>
      <c r="CZ167" s="117" t="e">
        <f t="shared" si="827"/>
        <v>#DIV/0!</v>
      </c>
      <c r="DA167" s="117" t="e">
        <f t="shared" si="827"/>
        <v>#DIV/0!</v>
      </c>
      <c r="DB167" s="117" t="e">
        <f t="shared" si="827"/>
        <v>#DIV/0!</v>
      </c>
      <c r="DC167" s="117" t="e">
        <f t="shared" si="827"/>
        <v>#DIV/0!</v>
      </c>
      <c r="DD167" s="117" t="e">
        <f t="shared" si="827"/>
        <v>#DIV/0!</v>
      </c>
      <c r="DE167" s="117" t="e">
        <f t="shared" si="827"/>
        <v>#DIV/0!</v>
      </c>
      <c r="DF167" s="117" t="e">
        <f t="shared" si="827"/>
        <v>#DIV/0!</v>
      </c>
      <c r="DG167" s="117" t="e">
        <f t="shared" si="827"/>
        <v>#DIV/0!</v>
      </c>
      <c r="DH167" s="117" t="e">
        <f t="shared" si="827"/>
        <v>#DIV/0!</v>
      </c>
      <c r="DI167" s="117" t="e">
        <f t="shared" si="827"/>
        <v>#DIV/0!</v>
      </c>
      <c r="DJ167" s="117" t="e">
        <f t="shared" si="827"/>
        <v>#DIV/0!</v>
      </c>
      <c r="DK167" s="117" t="e">
        <f t="shared" si="827"/>
        <v>#DIV/0!</v>
      </c>
      <c r="DL167" s="117" t="e">
        <f t="shared" si="827"/>
        <v>#DIV/0!</v>
      </c>
      <c r="DM167" s="117" t="e">
        <f t="shared" si="827"/>
        <v>#DIV/0!</v>
      </c>
      <c r="DN167" s="117" t="e">
        <f t="shared" si="827"/>
        <v>#DIV/0!</v>
      </c>
      <c r="DO167" s="117" t="e">
        <f t="shared" si="827"/>
        <v>#DIV/0!</v>
      </c>
      <c r="DP167" s="117" t="e">
        <f t="shared" si="827"/>
        <v>#DIV/0!</v>
      </c>
      <c r="DQ167" s="117" t="e">
        <f t="shared" si="827"/>
        <v>#DIV/0!</v>
      </c>
      <c r="DR167" s="117" t="e">
        <f t="shared" si="827"/>
        <v>#DIV/0!</v>
      </c>
      <c r="DS167" s="117" t="e">
        <f t="shared" si="827"/>
        <v>#DIV/0!</v>
      </c>
    </row>
    <row r="168" spans="1:123" s="100" customFormat="1" x14ac:dyDescent="0.3">
      <c r="B168" s="121"/>
      <c r="C168" s="123"/>
      <c r="D168" s="124"/>
      <c r="E168" s="124"/>
      <c r="H168" s="125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66"/>
      <c r="Y168" s="166"/>
      <c r="Z168" s="166"/>
      <c r="AA168" s="166"/>
      <c r="AB168" s="166"/>
      <c r="AC168" s="166"/>
      <c r="AD168" s="166"/>
      <c r="AE168" s="166"/>
      <c r="AF168" s="166"/>
      <c r="AG168" s="166"/>
      <c r="AH168" s="166">
        <f t="shared" ref="AH168:AN168" si="828">AH166-AH167</f>
        <v>0</v>
      </c>
      <c r="AI168" s="166">
        <f t="shared" si="828"/>
        <v>0</v>
      </c>
      <c r="AJ168" s="166">
        <f t="shared" si="828"/>
        <v>0</v>
      </c>
      <c r="AK168" s="166">
        <f t="shared" si="828"/>
        <v>0</v>
      </c>
      <c r="AL168" s="166">
        <f t="shared" si="828"/>
        <v>0</v>
      </c>
      <c r="AM168" s="166">
        <f t="shared" si="828"/>
        <v>0</v>
      </c>
      <c r="AN168" s="166">
        <f t="shared" si="828"/>
        <v>0</v>
      </c>
      <c r="AO168" s="166">
        <f t="shared" ref="AO168:AP168" si="829">AO166-AO167</f>
        <v>0</v>
      </c>
      <c r="AP168" s="166">
        <f t="shared" si="829"/>
        <v>0</v>
      </c>
      <c r="AQ168" s="166">
        <f t="shared" ref="AQ168:AR168" si="830">AQ166-AQ167</f>
        <v>0</v>
      </c>
      <c r="AR168" s="166">
        <f t="shared" si="830"/>
        <v>0</v>
      </c>
      <c r="AS168" s="166">
        <f t="shared" ref="AS168:AT168" si="831">AS166-AS167</f>
        <v>0</v>
      </c>
      <c r="AT168" s="166">
        <f t="shared" si="831"/>
        <v>0</v>
      </c>
      <c r="AU168" s="166">
        <f t="shared" ref="AU168:AV168" si="832">AU166-AU167</f>
        <v>0</v>
      </c>
      <c r="AV168" s="166">
        <f t="shared" si="832"/>
        <v>0</v>
      </c>
      <c r="AW168" s="166">
        <f t="shared" ref="AW168:AX168" si="833">AW166-AW167</f>
        <v>0</v>
      </c>
      <c r="AX168" s="166">
        <f t="shared" si="833"/>
        <v>0</v>
      </c>
      <c r="AY168" s="166">
        <f t="shared" ref="AY168:AZ168" si="834">AY166-AY167</f>
        <v>0</v>
      </c>
      <c r="AZ168" s="166">
        <f t="shared" si="834"/>
        <v>0</v>
      </c>
      <c r="BA168" s="166">
        <f t="shared" ref="BA168:BB168" si="835">BA166-BA167</f>
        <v>0</v>
      </c>
      <c r="BB168" s="166">
        <f t="shared" si="835"/>
        <v>0</v>
      </c>
      <c r="BC168" s="166">
        <f t="shared" ref="BC168:BD168" si="836">BC166-BC167</f>
        <v>0</v>
      </c>
      <c r="BD168" s="166">
        <f t="shared" si="836"/>
        <v>0</v>
      </c>
      <c r="BE168" s="125" t="e">
        <f t="shared" ref="BE168:CB168" si="837">BE166-BE167</f>
        <v>#DIV/0!</v>
      </c>
      <c r="BF168" s="125" t="e">
        <f t="shared" si="837"/>
        <v>#DIV/0!</v>
      </c>
      <c r="BG168" s="125" t="e">
        <f t="shared" si="837"/>
        <v>#DIV/0!</v>
      </c>
      <c r="BH168" s="125" t="e">
        <f t="shared" si="837"/>
        <v>#DIV/0!</v>
      </c>
      <c r="BI168" s="125" t="e">
        <f t="shared" si="837"/>
        <v>#DIV/0!</v>
      </c>
      <c r="BJ168" s="125" t="e">
        <f t="shared" si="837"/>
        <v>#DIV/0!</v>
      </c>
      <c r="BK168" s="125" t="e">
        <f t="shared" si="837"/>
        <v>#DIV/0!</v>
      </c>
      <c r="BL168" s="125" t="e">
        <f t="shared" si="837"/>
        <v>#DIV/0!</v>
      </c>
      <c r="BM168" s="125" t="e">
        <f t="shared" si="837"/>
        <v>#DIV/0!</v>
      </c>
      <c r="BN168" s="125" t="e">
        <f t="shared" si="837"/>
        <v>#DIV/0!</v>
      </c>
      <c r="BO168" s="125" t="e">
        <f t="shared" si="837"/>
        <v>#DIV/0!</v>
      </c>
      <c r="BP168" s="125" t="e">
        <f t="shared" si="837"/>
        <v>#DIV/0!</v>
      </c>
      <c r="BQ168" s="125" t="e">
        <f t="shared" si="837"/>
        <v>#DIV/0!</v>
      </c>
      <c r="BR168" s="125" t="e">
        <f t="shared" si="837"/>
        <v>#DIV/0!</v>
      </c>
      <c r="BS168" s="125" t="e">
        <f t="shared" si="837"/>
        <v>#DIV/0!</v>
      </c>
      <c r="BT168" s="125" t="e">
        <f t="shared" si="837"/>
        <v>#DIV/0!</v>
      </c>
      <c r="BU168" s="125" t="e">
        <f t="shared" si="837"/>
        <v>#DIV/0!</v>
      </c>
      <c r="BV168" s="125" t="e">
        <f t="shared" si="837"/>
        <v>#DIV/0!</v>
      </c>
      <c r="BW168" s="125" t="e">
        <f t="shared" si="837"/>
        <v>#DIV/0!</v>
      </c>
      <c r="BX168" s="125" t="e">
        <f t="shared" si="837"/>
        <v>#DIV/0!</v>
      </c>
      <c r="BY168" s="125" t="e">
        <f t="shared" si="837"/>
        <v>#DIV/0!</v>
      </c>
      <c r="BZ168" s="125" t="e">
        <f t="shared" si="837"/>
        <v>#DIV/0!</v>
      </c>
      <c r="CA168" s="125" t="e">
        <f t="shared" si="837"/>
        <v>#DIV/0!</v>
      </c>
      <c r="CB168" s="125" t="e">
        <f t="shared" si="837"/>
        <v>#DIV/0!</v>
      </c>
      <c r="CC168" s="125" t="e">
        <f t="shared" ref="CC168:DS168" si="838">CC166-CC167</f>
        <v>#DIV/0!</v>
      </c>
      <c r="CD168" s="125" t="e">
        <f t="shared" si="838"/>
        <v>#DIV/0!</v>
      </c>
      <c r="CE168" s="125" t="e">
        <f t="shared" si="838"/>
        <v>#DIV/0!</v>
      </c>
      <c r="CF168" s="125" t="e">
        <f t="shared" si="838"/>
        <v>#DIV/0!</v>
      </c>
      <c r="CG168" s="125" t="e">
        <f t="shared" si="838"/>
        <v>#DIV/0!</v>
      </c>
      <c r="CH168" s="125" t="e">
        <f t="shared" si="838"/>
        <v>#DIV/0!</v>
      </c>
      <c r="CI168" s="125" t="e">
        <f t="shared" si="838"/>
        <v>#DIV/0!</v>
      </c>
      <c r="CJ168" s="125" t="e">
        <f t="shared" si="838"/>
        <v>#DIV/0!</v>
      </c>
      <c r="CK168" s="125" t="e">
        <f t="shared" si="838"/>
        <v>#DIV/0!</v>
      </c>
      <c r="CL168" s="125" t="e">
        <f t="shared" si="838"/>
        <v>#DIV/0!</v>
      </c>
      <c r="CM168" s="125" t="e">
        <f t="shared" si="838"/>
        <v>#DIV/0!</v>
      </c>
      <c r="CN168" s="125" t="e">
        <f t="shared" si="838"/>
        <v>#DIV/0!</v>
      </c>
      <c r="CO168" s="125" t="e">
        <f t="shared" si="838"/>
        <v>#DIV/0!</v>
      </c>
      <c r="CP168" s="125" t="e">
        <f t="shared" si="838"/>
        <v>#DIV/0!</v>
      </c>
      <c r="CQ168" s="125" t="e">
        <f t="shared" si="838"/>
        <v>#DIV/0!</v>
      </c>
      <c r="CR168" s="125" t="e">
        <f t="shared" si="838"/>
        <v>#DIV/0!</v>
      </c>
      <c r="CS168" s="125" t="e">
        <f t="shared" si="838"/>
        <v>#DIV/0!</v>
      </c>
      <c r="CT168" s="125" t="e">
        <f t="shared" si="838"/>
        <v>#DIV/0!</v>
      </c>
      <c r="CU168" s="125" t="e">
        <f t="shared" si="838"/>
        <v>#DIV/0!</v>
      </c>
      <c r="CV168" s="125" t="e">
        <f t="shared" si="838"/>
        <v>#DIV/0!</v>
      </c>
      <c r="CW168" s="125" t="e">
        <f t="shared" si="838"/>
        <v>#DIV/0!</v>
      </c>
      <c r="CX168" s="125" t="e">
        <f t="shared" si="838"/>
        <v>#DIV/0!</v>
      </c>
      <c r="CY168" s="125" t="e">
        <f t="shared" si="838"/>
        <v>#DIV/0!</v>
      </c>
      <c r="CZ168" s="125" t="e">
        <f t="shared" si="838"/>
        <v>#DIV/0!</v>
      </c>
      <c r="DA168" s="125" t="e">
        <f t="shared" si="838"/>
        <v>#DIV/0!</v>
      </c>
      <c r="DB168" s="125" t="e">
        <f t="shared" si="838"/>
        <v>#DIV/0!</v>
      </c>
      <c r="DC168" s="125" t="e">
        <f t="shared" si="838"/>
        <v>#DIV/0!</v>
      </c>
      <c r="DD168" s="125" t="e">
        <f t="shared" si="838"/>
        <v>#DIV/0!</v>
      </c>
      <c r="DE168" s="125" t="e">
        <f t="shared" si="838"/>
        <v>#DIV/0!</v>
      </c>
      <c r="DF168" s="125" t="e">
        <f t="shared" si="838"/>
        <v>#DIV/0!</v>
      </c>
      <c r="DG168" s="125" t="e">
        <f t="shared" si="838"/>
        <v>#DIV/0!</v>
      </c>
      <c r="DH168" s="125" t="e">
        <f t="shared" si="838"/>
        <v>#DIV/0!</v>
      </c>
      <c r="DI168" s="125" t="e">
        <f t="shared" si="838"/>
        <v>#DIV/0!</v>
      </c>
      <c r="DJ168" s="125" t="e">
        <f t="shared" si="838"/>
        <v>#DIV/0!</v>
      </c>
      <c r="DK168" s="125" t="e">
        <f t="shared" si="838"/>
        <v>#DIV/0!</v>
      </c>
      <c r="DL168" s="125" t="e">
        <f t="shared" si="838"/>
        <v>#DIV/0!</v>
      </c>
      <c r="DM168" s="125" t="e">
        <f t="shared" si="838"/>
        <v>#DIV/0!</v>
      </c>
      <c r="DN168" s="125" t="e">
        <f t="shared" si="838"/>
        <v>#DIV/0!</v>
      </c>
      <c r="DO168" s="125" t="e">
        <f t="shared" si="838"/>
        <v>#DIV/0!</v>
      </c>
      <c r="DP168" s="125" t="e">
        <f t="shared" si="838"/>
        <v>#DIV/0!</v>
      </c>
      <c r="DQ168" s="125" t="e">
        <f t="shared" si="838"/>
        <v>#DIV/0!</v>
      </c>
      <c r="DR168" s="125" t="e">
        <f t="shared" si="838"/>
        <v>#DIV/0!</v>
      </c>
      <c r="DS168" s="125" t="e">
        <f t="shared" si="838"/>
        <v>#DIV/0!</v>
      </c>
    </row>
    <row r="169" spans="1:123" s="98" customFormat="1" x14ac:dyDescent="0.3">
      <c r="B169" s="121"/>
      <c r="C169" s="122"/>
      <c r="D169" s="115"/>
      <c r="E169" s="115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  <c r="AB169" s="103"/>
      <c r="AC169" s="103"/>
      <c r="AD169" s="103"/>
      <c r="AE169" s="103"/>
      <c r="AF169" s="103"/>
      <c r="AG169" s="103"/>
      <c r="AH169" s="99">
        <f t="shared" ref="AH169:AM169" si="839">IF(AH166&lt;100,0,(AH166-100)*20%*500)</f>
        <v>0</v>
      </c>
      <c r="AI169" s="99">
        <f t="shared" si="839"/>
        <v>0</v>
      </c>
      <c r="AJ169" s="99">
        <f t="shared" si="839"/>
        <v>0</v>
      </c>
      <c r="AK169" s="99">
        <f t="shared" si="839"/>
        <v>0</v>
      </c>
      <c r="AL169" s="99">
        <f t="shared" si="839"/>
        <v>0</v>
      </c>
      <c r="AM169" s="99">
        <f t="shared" si="839"/>
        <v>0</v>
      </c>
      <c r="AN169" s="99">
        <f t="shared" ref="AN169:AO169" si="840">IF(AN166&lt;100,0,(AN166-100)*20%*500)</f>
        <v>0</v>
      </c>
      <c r="AO169" s="99">
        <f t="shared" si="840"/>
        <v>0</v>
      </c>
      <c r="AP169" s="99">
        <f t="shared" ref="AP169:AQ169" si="841">IF(AP166&lt;100,0,(AP166-100)*20%*500)</f>
        <v>0</v>
      </c>
      <c r="AQ169" s="99">
        <f t="shared" si="841"/>
        <v>0</v>
      </c>
      <c r="AR169" s="99">
        <f t="shared" ref="AR169:AS169" si="842">IF(AR166&lt;100,0,(AR166-100)*20%*500)</f>
        <v>0</v>
      </c>
      <c r="AS169" s="99">
        <f t="shared" si="842"/>
        <v>0</v>
      </c>
      <c r="AT169" s="99">
        <f t="shared" ref="AT169:AU169" si="843">IF(AT166&lt;100,0,(AT166-100)*20%*500)</f>
        <v>0</v>
      </c>
      <c r="AU169" s="99">
        <f t="shared" si="843"/>
        <v>0</v>
      </c>
      <c r="AV169" s="99">
        <f t="shared" ref="AV169" si="844">IF(AV166&lt;100,0,(AV166-100)*20%*500)</f>
        <v>0</v>
      </c>
      <c r="AW169" s="99">
        <f t="shared" ref="AW169:AX169" si="845">IF(AW166&lt;100,0,(AW166-100)*20%*500)</f>
        <v>0</v>
      </c>
      <c r="AX169" s="99">
        <f t="shared" si="845"/>
        <v>0</v>
      </c>
      <c r="AY169" s="99">
        <f t="shared" ref="AY169:AZ169" si="846">IF(AY166&lt;100,0,(AY166-100)*20%*500)</f>
        <v>0</v>
      </c>
      <c r="AZ169" s="99">
        <f t="shared" si="846"/>
        <v>0</v>
      </c>
      <c r="BA169" s="99">
        <f t="shared" ref="BA169:BB169" si="847">IF(BA166&lt;100,0,(BA166-100)*20%*500)</f>
        <v>0</v>
      </c>
      <c r="BB169" s="99">
        <f t="shared" si="847"/>
        <v>0</v>
      </c>
      <c r="BC169" s="99">
        <f t="shared" ref="BC169:BD169" si="848">IF(BC166&lt;100,0,(BC166-100)*20%*500)</f>
        <v>0</v>
      </c>
      <c r="BD169" s="99">
        <f t="shared" si="848"/>
        <v>0</v>
      </c>
      <c r="BE169" s="99" t="e">
        <f t="shared" ref="BE169:CJ169" si="849">IF(BE166&lt;100,0,(BE166-100)*20%*500)</f>
        <v>#DIV/0!</v>
      </c>
      <c r="BF169" s="99" t="e">
        <f t="shared" si="849"/>
        <v>#DIV/0!</v>
      </c>
      <c r="BG169" s="99" t="e">
        <f t="shared" si="849"/>
        <v>#DIV/0!</v>
      </c>
      <c r="BH169" s="99" t="e">
        <f t="shared" si="849"/>
        <v>#DIV/0!</v>
      </c>
      <c r="BI169" s="99" t="e">
        <f t="shared" si="849"/>
        <v>#DIV/0!</v>
      </c>
      <c r="BJ169" s="99" t="e">
        <f t="shared" si="849"/>
        <v>#DIV/0!</v>
      </c>
      <c r="BK169" s="99" t="e">
        <f t="shared" si="849"/>
        <v>#DIV/0!</v>
      </c>
      <c r="BL169" s="99" t="e">
        <f t="shared" si="849"/>
        <v>#DIV/0!</v>
      </c>
      <c r="BM169" s="99" t="e">
        <f t="shared" si="849"/>
        <v>#DIV/0!</v>
      </c>
      <c r="BN169" s="99" t="e">
        <f t="shared" si="849"/>
        <v>#DIV/0!</v>
      </c>
      <c r="BO169" s="99" t="e">
        <f t="shared" si="849"/>
        <v>#DIV/0!</v>
      </c>
      <c r="BP169" s="99" t="e">
        <f t="shared" si="849"/>
        <v>#DIV/0!</v>
      </c>
      <c r="BQ169" s="99" t="e">
        <f t="shared" si="849"/>
        <v>#DIV/0!</v>
      </c>
      <c r="BR169" s="99" t="e">
        <f t="shared" si="849"/>
        <v>#DIV/0!</v>
      </c>
      <c r="BS169" s="99" t="e">
        <f t="shared" si="849"/>
        <v>#DIV/0!</v>
      </c>
      <c r="BT169" s="99" t="e">
        <f t="shared" si="849"/>
        <v>#DIV/0!</v>
      </c>
      <c r="BU169" s="99" t="e">
        <f t="shared" si="849"/>
        <v>#DIV/0!</v>
      </c>
      <c r="BV169" s="99" t="e">
        <f t="shared" si="849"/>
        <v>#DIV/0!</v>
      </c>
      <c r="BW169" s="99" t="e">
        <f t="shared" si="849"/>
        <v>#DIV/0!</v>
      </c>
      <c r="BX169" s="99" t="e">
        <f t="shared" si="849"/>
        <v>#DIV/0!</v>
      </c>
      <c r="BY169" s="99" t="e">
        <f t="shared" si="849"/>
        <v>#DIV/0!</v>
      </c>
      <c r="BZ169" s="99" t="e">
        <f t="shared" si="849"/>
        <v>#DIV/0!</v>
      </c>
      <c r="CA169" s="99" t="e">
        <f t="shared" si="849"/>
        <v>#DIV/0!</v>
      </c>
      <c r="CB169" s="99" t="e">
        <f t="shared" si="849"/>
        <v>#DIV/0!</v>
      </c>
      <c r="CC169" s="99" t="e">
        <f t="shared" si="849"/>
        <v>#DIV/0!</v>
      </c>
      <c r="CD169" s="99" t="e">
        <f t="shared" si="849"/>
        <v>#DIV/0!</v>
      </c>
      <c r="CE169" s="99" t="e">
        <f t="shared" si="849"/>
        <v>#DIV/0!</v>
      </c>
      <c r="CF169" s="99" t="e">
        <f t="shared" si="849"/>
        <v>#DIV/0!</v>
      </c>
      <c r="CG169" s="99" t="e">
        <f t="shared" si="849"/>
        <v>#DIV/0!</v>
      </c>
      <c r="CH169" s="99" t="e">
        <f t="shared" si="849"/>
        <v>#DIV/0!</v>
      </c>
      <c r="CI169" s="99" t="e">
        <f t="shared" si="849"/>
        <v>#DIV/0!</v>
      </c>
      <c r="CJ169" s="99" t="e">
        <f t="shared" si="849"/>
        <v>#DIV/0!</v>
      </c>
      <c r="CK169" s="99" t="e">
        <f t="shared" ref="CK169:DS169" si="850">IF(CK166&lt;100,0,(CK166-100)*20%*500)</f>
        <v>#DIV/0!</v>
      </c>
      <c r="CL169" s="99" t="e">
        <f t="shared" si="850"/>
        <v>#DIV/0!</v>
      </c>
      <c r="CM169" s="99" t="e">
        <f t="shared" si="850"/>
        <v>#DIV/0!</v>
      </c>
      <c r="CN169" s="99" t="e">
        <f t="shared" si="850"/>
        <v>#DIV/0!</v>
      </c>
      <c r="CO169" s="99" t="e">
        <f t="shared" si="850"/>
        <v>#DIV/0!</v>
      </c>
      <c r="CP169" s="99" t="e">
        <f t="shared" si="850"/>
        <v>#DIV/0!</v>
      </c>
      <c r="CQ169" s="99" t="e">
        <f t="shared" si="850"/>
        <v>#DIV/0!</v>
      </c>
      <c r="CR169" s="99" t="e">
        <f t="shared" si="850"/>
        <v>#DIV/0!</v>
      </c>
      <c r="CS169" s="99" t="e">
        <f t="shared" si="850"/>
        <v>#DIV/0!</v>
      </c>
      <c r="CT169" s="99" t="e">
        <f t="shared" si="850"/>
        <v>#DIV/0!</v>
      </c>
      <c r="CU169" s="99" t="e">
        <f t="shared" si="850"/>
        <v>#DIV/0!</v>
      </c>
      <c r="CV169" s="99" t="e">
        <f t="shared" si="850"/>
        <v>#DIV/0!</v>
      </c>
      <c r="CW169" s="99" t="e">
        <f t="shared" si="850"/>
        <v>#DIV/0!</v>
      </c>
      <c r="CX169" s="99" t="e">
        <f t="shared" si="850"/>
        <v>#DIV/0!</v>
      </c>
      <c r="CY169" s="99" t="e">
        <f t="shared" si="850"/>
        <v>#DIV/0!</v>
      </c>
      <c r="CZ169" s="99" t="e">
        <f t="shared" si="850"/>
        <v>#DIV/0!</v>
      </c>
      <c r="DA169" s="99" t="e">
        <f t="shared" si="850"/>
        <v>#DIV/0!</v>
      </c>
      <c r="DB169" s="99" t="e">
        <f t="shared" si="850"/>
        <v>#DIV/0!</v>
      </c>
      <c r="DC169" s="99" t="e">
        <f t="shared" si="850"/>
        <v>#DIV/0!</v>
      </c>
      <c r="DD169" s="99" t="e">
        <f t="shared" si="850"/>
        <v>#DIV/0!</v>
      </c>
      <c r="DE169" s="99" t="e">
        <f t="shared" si="850"/>
        <v>#DIV/0!</v>
      </c>
      <c r="DF169" s="99" t="e">
        <f t="shared" si="850"/>
        <v>#DIV/0!</v>
      </c>
      <c r="DG169" s="99" t="e">
        <f t="shared" si="850"/>
        <v>#DIV/0!</v>
      </c>
      <c r="DH169" s="99" t="e">
        <f t="shared" si="850"/>
        <v>#DIV/0!</v>
      </c>
      <c r="DI169" s="99" t="e">
        <f t="shared" si="850"/>
        <v>#DIV/0!</v>
      </c>
      <c r="DJ169" s="99" t="e">
        <f t="shared" si="850"/>
        <v>#DIV/0!</v>
      </c>
      <c r="DK169" s="99" t="e">
        <f t="shared" si="850"/>
        <v>#DIV/0!</v>
      </c>
      <c r="DL169" s="99" t="e">
        <f t="shared" si="850"/>
        <v>#DIV/0!</v>
      </c>
      <c r="DM169" s="99" t="e">
        <f t="shared" si="850"/>
        <v>#DIV/0!</v>
      </c>
      <c r="DN169" s="99" t="e">
        <f t="shared" si="850"/>
        <v>#DIV/0!</v>
      </c>
      <c r="DO169" s="99" t="e">
        <f t="shared" si="850"/>
        <v>#DIV/0!</v>
      </c>
      <c r="DP169" s="99" t="e">
        <f t="shared" si="850"/>
        <v>#DIV/0!</v>
      </c>
      <c r="DQ169" s="99" t="e">
        <f t="shared" si="850"/>
        <v>#DIV/0!</v>
      </c>
      <c r="DR169" s="99" t="e">
        <f t="shared" si="850"/>
        <v>#DIV/0!</v>
      </c>
      <c r="DS169" s="99" t="e">
        <f t="shared" si="850"/>
        <v>#DIV/0!</v>
      </c>
    </row>
    <row r="170" spans="1:123" s="98" customFormat="1" x14ac:dyDescent="0.3">
      <c r="B170" s="121"/>
      <c r="C170" s="122"/>
      <c r="D170" s="115"/>
      <c r="E170" s="115"/>
      <c r="H170" s="125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125"/>
      <c r="AF170" s="125"/>
      <c r="AG170" s="125"/>
      <c r="AH170" s="125">
        <f t="shared" ref="AH170:AN170" si="851">+AH165-AH169</f>
        <v>0</v>
      </c>
      <c r="AI170" s="125">
        <f t="shared" si="851"/>
        <v>0</v>
      </c>
      <c r="AJ170" s="125">
        <f t="shared" si="851"/>
        <v>0</v>
      </c>
      <c r="AK170" s="125">
        <f t="shared" si="851"/>
        <v>0</v>
      </c>
      <c r="AL170" s="125">
        <f t="shared" si="851"/>
        <v>0</v>
      </c>
      <c r="AM170" s="125">
        <f t="shared" si="851"/>
        <v>0</v>
      </c>
      <c r="AN170" s="125">
        <f t="shared" si="851"/>
        <v>0</v>
      </c>
      <c r="AO170" s="125">
        <f t="shared" ref="AO170:AP170" si="852">+AO165-AO169</f>
        <v>0</v>
      </c>
      <c r="AP170" s="125">
        <f t="shared" si="852"/>
        <v>0</v>
      </c>
      <c r="AQ170" s="125">
        <f t="shared" ref="AQ170:AR170" si="853">+AQ165-AQ169</f>
        <v>0</v>
      </c>
      <c r="AR170" s="125">
        <f t="shared" si="853"/>
        <v>0</v>
      </c>
      <c r="AS170" s="125">
        <f t="shared" ref="AS170:AT170" si="854">+AS165-AS169</f>
        <v>0</v>
      </c>
      <c r="AT170" s="125">
        <f t="shared" si="854"/>
        <v>0</v>
      </c>
      <c r="AU170" s="125">
        <f t="shared" ref="AU170:AV170" si="855">+AU165-AU169</f>
        <v>0</v>
      </c>
      <c r="AV170" s="125">
        <f t="shared" si="855"/>
        <v>0</v>
      </c>
      <c r="AW170" s="125">
        <f t="shared" ref="AW170:AX170" si="856">+AW165-AW169</f>
        <v>0</v>
      </c>
      <c r="AX170" s="125">
        <f t="shared" si="856"/>
        <v>0</v>
      </c>
      <c r="AY170" s="125">
        <f t="shared" ref="AY170:AZ170" si="857">+AY165-AY169</f>
        <v>0</v>
      </c>
      <c r="AZ170" s="125">
        <f t="shared" si="857"/>
        <v>0</v>
      </c>
      <c r="BA170" s="125">
        <f t="shared" ref="BA170:BB170" si="858">+BA165-BA169</f>
        <v>0</v>
      </c>
      <c r="BB170" s="125">
        <f t="shared" si="858"/>
        <v>0</v>
      </c>
      <c r="BC170" s="125">
        <f t="shared" ref="BC170:BD170" si="859">+BC165-BC169</f>
        <v>0</v>
      </c>
      <c r="BD170" s="125">
        <f t="shared" si="859"/>
        <v>0</v>
      </c>
      <c r="BE170" s="125" t="e">
        <f t="shared" ref="BE170:CB170" si="860">+BE165-BE169</f>
        <v>#DIV/0!</v>
      </c>
      <c r="BF170" s="125" t="e">
        <f t="shared" si="860"/>
        <v>#DIV/0!</v>
      </c>
      <c r="BG170" s="125" t="e">
        <f t="shared" si="860"/>
        <v>#DIV/0!</v>
      </c>
      <c r="BH170" s="125" t="e">
        <f t="shared" si="860"/>
        <v>#DIV/0!</v>
      </c>
      <c r="BI170" s="125" t="e">
        <f t="shared" si="860"/>
        <v>#DIV/0!</v>
      </c>
      <c r="BJ170" s="125" t="e">
        <f t="shared" si="860"/>
        <v>#DIV/0!</v>
      </c>
      <c r="BK170" s="125" t="e">
        <f t="shared" si="860"/>
        <v>#DIV/0!</v>
      </c>
      <c r="BL170" s="125" t="e">
        <f t="shared" si="860"/>
        <v>#DIV/0!</v>
      </c>
      <c r="BM170" s="125" t="e">
        <f t="shared" si="860"/>
        <v>#DIV/0!</v>
      </c>
      <c r="BN170" s="125" t="e">
        <f t="shared" si="860"/>
        <v>#DIV/0!</v>
      </c>
      <c r="BO170" s="125" t="e">
        <f t="shared" si="860"/>
        <v>#DIV/0!</v>
      </c>
      <c r="BP170" s="125" t="e">
        <f t="shared" si="860"/>
        <v>#DIV/0!</v>
      </c>
      <c r="BQ170" s="125" t="e">
        <f t="shared" si="860"/>
        <v>#DIV/0!</v>
      </c>
      <c r="BR170" s="125" t="e">
        <f t="shared" si="860"/>
        <v>#DIV/0!</v>
      </c>
      <c r="BS170" s="125" t="e">
        <f t="shared" si="860"/>
        <v>#DIV/0!</v>
      </c>
      <c r="BT170" s="125" t="e">
        <f t="shared" si="860"/>
        <v>#DIV/0!</v>
      </c>
      <c r="BU170" s="125" t="e">
        <f t="shared" si="860"/>
        <v>#DIV/0!</v>
      </c>
      <c r="BV170" s="125" t="e">
        <f t="shared" si="860"/>
        <v>#DIV/0!</v>
      </c>
      <c r="BW170" s="125" t="e">
        <f t="shared" si="860"/>
        <v>#DIV/0!</v>
      </c>
      <c r="BX170" s="125" t="e">
        <f t="shared" si="860"/>
        <v>#DIV/0!</v>
      </c>
      <c r="BY170" s="125" t="e">
        <f t="shared" si="860"/>
        <v>#DIV/0!</v>
      </c>
      <c r="BZ170" s="125" t="e">
        <f t="shared" si="860"/>
        <v>#DIV/0!</v>
      </c>
      <c r="CA170" s="125" t="e">
        <f t="shared" si="860"/>
        <v>#DIV/0!</v>
      </c>
      <c r="CB170" s="125" t="e">
        <f t="shared" si="860"/>
        <v>#DIV/0!</v>
      </c>
      <c r="CC170" s="125" t="e">
        <f t="shared" ref="CC170:DS170" si="861">+CC165-CC169</f>
        <v>#DIV/0!</v>
      </c>
      <c r="CD170" s="125" t="e">
        <f t="shared" si="861"/>
        <v>#DIV/0!</v>
      </c>
      <c r="CE170" s="125" t="e">
        <f t="shared" si="861"/>
        <v>#DIV/0!</v>
      </c>
      <c r="CF170" s="125" t="e">
        <f t="shared" si="861"/>
        <v>#DIV/0!</v>
      </c>
      <c r="CG170" s="125" t="e">
        <f t="shared" si="861"/>
        <v>#DIV/0!</v>
      </c>
      <c r="CH170" s="125" t="e">
        <f t="shared" si="861"/>
        <v>#DIV/0!</v>
      </c>
      <c r="CI170" s="125" t="e">
        <f t="shared" si="861"/>
        <v>#DIV/0!</v>
      </c>
      <c r="CJ170" s="125" t="e">
        <f t="shared" si="861"/>
        <v>#DIV/0!</v>
      </c>
      <c r="CK170" s="125" t="e">
        <f t="shared" si="861"/>
        <v>#DIV/0!</v>
      </c>
      <c r="CL170" s="125" t="e">
        <f t="shared" si="861"/>
        <v>#DIV/0!</v>
      </c>
      <c r="CM170" s="125" t="e">
        <f t="shared" si="861"/>
        <v>#DIV/0!</v>
      </c>
      <c r="CN170" s="125" t="e">
        <f t="shared" si="861"/>
        <v>#DIV/0!</v>
      </c>
      <c r="CO170" s="125" t="e">
        <f t="shared" si="861"/>
        <v>#DIV/0!</v>
      </c>
      <c r="CP170" s="125" t="e">
        <f t="shared" si="861"/>
        <v>#DIV/0!</v>
      </c>
      <c r="CQ170" s="125" t="e">
        <f t="shared" si="861"/>
        <v>#DIV/0!</v>
      </c>
      <c r="CR170" s="125" t="e">
        <f t="shared" si="861"/>
        <v>#DIV/0!</v>
      </c>
      <c r="CS170" s="125" t="e">
        <f t="shared" si="861"/>
        <v>#DIV/0!</v>
      </c>
      <c r="CT170" s="125" t="e">
        <f t="shared" si="861"/>
        <v>#DIV/0!</v>
      </c>
      <c r="CU170" s="125" t="e">
        <f t="shared" si="861"/>
        <v>#DIV/0!</v>
      </c>
      <c r="CV170" s="125" t="e">
        <f t="shared" si="861"/>
        <v>#DIV/0!</v>
      </c>
      <c r="CW170" s="125" t="e">
        <f t="shared" si="861"/>
        <v>#DIV/0!</v>
      </c>
      <c r="CX170" s="125" t="e">
        <f t="shared" si="861"/>
        <v>#DIV/0!</v>
      </c>
      <c r="CY170" s="125" t="e">
        <f t="shared" si="861"/>
        <v>#DIV/0!</v>
      </c>
      <c r="CZ170" s="125" t="e">
        <f t="shared" si="861"/>
        <v>#DIV/0!</v>
      </c>
      <c r="DA170" s="125" t="e">
        <f t="shared" si="861"/>
        <v>#DIV/0!</v>
      </c>
      <c r="DB170" s="125" t="e">
        <f t="shared" si="861"/>
        <v>#DIV/0!</v>
      </c>
      <c r="DC170" s="125" t="e">
        <f t="shared" si="861"/>
        <v>#DIV/0!</v>
      </c>
      <c r="DD170" s="125" t="e">
        <f t="shared" si="861"/>
        <v>#DIV/0!</v>
      </c>
      <c r="DE170" s="125" t="e">
        <f t="shared" si="861"/>
        <v>#DIV/0!</v>
      </c>
      <c r="DF170" s="125" t="e">
        <f t="shared" si="861"/>
        <v>#DIV/0!</v>
      </c>
      <c r="DG170" s="125" t="e">
        <f t="shared" si="861"/>
        <v>#DIV/0!</v>
      </c>
      <c r="DH170" s="125" t="e">
        <f t="shared" si="861"/>
        <v>#DIV/0!</v>
      </c>
      <c r="DI170" s="125" t="e">
        <f t="shared" si="861"/>
        <v>#DIV/0!</v>
      </c>
      <c r="DJ170" s="125" t="e">
        <f t="shared" si="861"/>
        <v>#DIV/0!</v>
      </c>
      <c r="DK170" s="125" t="e">
        <f t="shared" si="861"/>
        <v>#DIV/0!</v>
      </c>
      <c r="DL170" s="125" t="e">
        <f t="shared" si="861"/>
        <v>#DIV/0!</v>
      </c>
      <c r="DM170" s="125" t="e">
        <f t="shared" si="861"/>
        <v>#DIV/0!</v>
      </c>
      <c r="DN170" s="125" t="e">
        <f t="shared" si="861"/>
        <v>#DIV/0!</v>
      </c>
      <c r="DO170" s="125" t="e">
        <f t="shared" si="861"/>
        <v>#DIV/0!</v>
      </c>
      <c r="DP170" s="125" t="e">
        <f t="shared" si="861"/>
        <v>#DIV/0!</v>
      </c>
      <c r="DQ170" s="125" t="e">
        <f t="shared" si="861"/>
        <v>#DIV/0!</v>
      </c>
      <c r="DR170" s="125" t="e">
        <f t="shared" si="861"/>
        <v>#DIV/0!</v>
      </c>
      <c r="DS170" s="125" t="e">
        <f t="shared" si="861"/>
        <v>#DIV/0!</v>
      </c>
    </row>
    <row r="171" spans="1:123" x14ac:dyDescent="0.3">
      <c r="B171" s="104"/>
      <c r="C171" s="105"/>
      <c r="H171" s="64"/>
    </row>
    <row r="172" spans="1:123" x14ac:dyDescent="0.3">
      <c r="C172" s="105"/>
      <c r="H172" s="118"/>
      <c r="K172" s="118"/>
      <c r="L172" s="118">
        <f>$B$179*100/L30</f>
        <v>2.5121314821235103E-2</v>
      </c>
      <c r="M172" s="118">
        <f>$B$179*100/M30</f>
        <v>2.5098820311012078E-2</v>
      </c>
      <c r="N172" s="118">
        <f>150000/($K$188+150000)</f>
        <v>2.5116048763647474E-2</v>
      </c>
      <c r="O172" s="118">
        <f>N184/(N160+N184)</f>
        <v>0.50100420903162701</v>
      </c>
      <c r="P172" s="118">
        <f>O184/(O160+O184)</f>
        <v>0.94306207563103395</v>
      </c>
      <c r="Q172" s="118">
        <f>P184/(P160+P184)</f>
        <v>0.96906897300292039</v>
      </c>
      <c r="R172" s="118"/>
      <c r="S172" s="118"/>
      <c r="T172" s="118">
        <f>S184/(S160+S184)</f>
        <v>1</v>
      </c>
      <c r="U172" s="118"/>
      <c r="W172" s="118">
        <f t="shared" ref="W172:Y172" si="862">V184/(V160+V184)</f>
        <v>0.16744971124810251</v>
      </c>
      <c r="X172" s="118">
        <f t="shared" si="862"/>
        <v>0.86384051206202717</v>
      </c>
      <c r="Y172" s="118">
        <f t="shared" si="862"/>
        <v>0.96949669916143244</v>
      </c>
      <c r="Z172" s="118"/>
      <c r="AA172" s="118">
        <f>Y184/(Y160+Y184)</f>
        <v>0.97273598922980797</v>
      </c>
      <c r="AB172" s="118">
        <f>Z184/(AA160+Z184)</f>
        <v>0</v>
      </c>
      <c r="AC172" s="118">
        <f>AA184/(AB160+AA184)</f>
        <v>0.97315676018358788</v>
      </c>
      <c r="AD172" s="118">
        <f>AB184/(AC160+AB184)</f>
        <v>0.16706395678266953</v>
      </c>
      <c r="AE172" s="118">
        <f>AC184/(AD160+AC184)</f>
        <v>0.97341366508755345</v>
      </c>
      <c r="AF172" s="118">
        <f>AD184/(AE160+AD184)</f>
        <v>0.86536304916602014</v>
      </c>
      <c r="AG172" s="118">
        <f t="shared" ref="AG172:BD172" si="863">AF184/(AF160+AF184)</f>
        <v>0.97079254814227911</v>
      </c>
      <c r="AH172" s="118">
        <f t="shared" si="863"/>
        <v>0.97379119671823477</v>
      </c>
      <c r="AI172" s="118">
        <f t="shared" si="863"/>
        <v>0.97418111134358365</v>
      </c>
      <c r="AJ172" s="118">
        <f t="shared" si="863"/>
        <v>0.97452108185285424</v>
      </c>
      <c r="AK172" s="118">
        <f t="shared" si="863"/>
        <v>0.97454709025267916</v>
      </c>
      <c r="AL172" s="118">
        <f t="shared" si="863"/>
        <v>0.97460750827447618</v>
      </c>
      <c r="AM172" s="118">
        <f t="shared" si="863"/>
        <v>0.9745525854374717</v>
      </c>
      <c r="AN172" s="118">
        <f t="shared" si="863"/>
        <v>0</v>
      </c>
      <c r="AO172" s="118">
        <f t="shared" si="863"/>
        <v>0</v>
      </c>
      <c r="AP172" s="118">
        <f t="shared" si="863"/>
        <v>0.16620957010724563</v>
      </c>
      <c r="AQ172" s="118">
        <f t="shared" si="863"/>
        <v>0.87489152745361654</v>
      </c>
      <c r="AR172" s="118">
        <f t="shared" si="863"/>
        <v>0.97291752559126277</v>
      </c>
      <c r="AS172" s="118">
        <f t="shared" si="863"/>
        <v>0.97552280026870464</v>
      </c>
      <c r="AT172" s="118">
        <f t="shared" si="863"/>
        <v>0.97557181385152214</v>
      </c>
      <c r="AU172" s="118">
        <f t="shared" si="863"/>
        <v>0.97549343727081816</v>
      </c>
      <c r="AV172" s="118">
        <f t="shared" si="863"/>
        <v>0.97549636109964766</v>
      </c>
      <c r="AW172" s="118">
        <f t="shared" si="863"/>
        <v>0.97552482891505987</v>
      </c>
      <c r="AX172" s="118">
        <f t="shared" si="863"/>
        <v>0.97633551421732401</v>
      </c>
      <c r="AY172" s="118">
        <f t="shared" si="863"/>
        <v>0.97647538184784632</v>
      </c>
      <c r="AZ172" s="118">
        <f t="shared" si="863"/>
        <v>0.97649707324837709</v>
      </c>
      <c r="BA172" s="118">
        <f t="shared" si="863"/>
        <v>0.97652880118586127</v>
      </c>
      <c r="BB172" s="118">
        <f t="shared" si="863"/>
        <v>0.97659032184732597</v>
      </c>
      <c r="BC172" s="118">
        <f t="shared" si="863"/>
        <v>0.97651493589423399</v>
      </c>
      <c r="BD172" s="118">
        <f t="shared" si="863"/>
        <v>0.97651942627007959</v>
      </c>
      <c r="BE172" s="118" t="e">
        <f>#REF!/(#REF!+#REF!)</f>
        <v>#REF!</v>
      </c>
      <c r="BF172" s="118" t="e">
        <f t="shared" ref="BF172:BK172" si="864">BE184/(BE160+BE184)</f>
        <v>#REF!</v>
      </c>
      <c r="BG172" s="118" t="e">
        <f t="shared" si="864"/>
        <v>#REF!</v>
      </c>
      <c r="BH172" s="118" t="e">
        <f t="shared" si="864"/>
        <v>#REF!</v>
      </c>
      <c r="BI172" s="118" t="e">
        <f t="shared" si="864"/>
        <v>#REF!</v>
      </c>
      <c r="BJ172" s="118" t="e">
        <f t="shared" si="864"/>
        <v>#REF!</v>
      </c>
      <c r="BK172" s="118" t="e">
        <f t="shared" si="864"/>
        <v>#REF!</v>
      </c>
      <c r="BL172" s="118" t="e">
        <f>BI184/(BI160+BI184)</f>
        <v>#REF!</v>
      </c>
      <c r="BM172" s="118" t="e">
        <f t="shared" ref="BM172:BR172" si="865">BL184/(BL160+BL184)</f>
        <v>#REF!</v>
      </c>
      <c r="BN172" s="118" t="e">
        <f t="shared" si="865"/>
        <v>#REF!</v>
      </c>
      <c r="BO172" s="118" t="e">
        <f t="shared" si="865"/>
        <v>#REF!</v>
      </c>
      <c r="BP172" s="118" t="e">
        <f t="shared" si="865"/>
        <v>#REF!</v>
      </c>
      <c r="BQ172" s="118" t="e">
        <f t="shared" si="865"/>
        <v>#REF!</v>
      </c>
      <c r="BR172" s="118" t="e">
        <f t="shared" si="865"/>
        <v>#REF!</v>
      </c>
      <c r="BS172" s="118" t="e">
        <f>BP184/(BP160+BP184)</f>
        <v>#REF!</v>
      </c>
      <c r="BT172" s="118" t="e">
        <f t="shared" ref="BT172:BY172" si="866">BS184/(BS160+BS184)</f>
        <v>#REF!</v>
      </c>
      <c r="BU172" s="118" t="e">
        <f t="shared" si="866"/>
        <v>#REF!</v>
      </c>
      <c r="BV172" s="118" t="e">
        <f t="shared" si="866"/>
        <v>#REF!</v>
      </c>
      <c r="BW172" s="118" t="e">
        <f t="shared" si="866"/>
        <v>#REF!</v>
      </c>
      <c r="BX172" s="118" t="e">
        <f t="shared" si="866"/>
        <v>#REF!</v>
      </c>
      <c r="BY172" s="118" t="e">
        <f t="shared" si="866"/>
        <v>#REF!</v>
      </c>
      <c r="BZ172" s="118" t="e">
        <f>BW184/(BW160+BW184)</f>
        <v>#REF!</v>
      </c>
      <c r="CA172" s="118" t="e">
        <f t="shared" ref="CA172:CF172" si="867">BZ184/(BZ160+BZ184)</f>
        <v>#REF!</v>
      </c>
      <c r="CB172" s="118" t="e">
        <f t="shared" si="867"/>
        <v>#REF!</v>
      </c>
      <c r="CC172" s="118" t="e">
        <f t="shared" si="867"/>
        <v>#REF!</v>
      </c>
      <c r="CD172" s="118" t="e">
        <f t="shared" si="867"/>
        <v>#REF!</v>
      </c>
      <c r="CE172" s="118" t="e">
        <f t="shared" si="867"/>
        <v>#REF!</v>
      </c>
      <c r="CF172" s="118" t="e">
        <f t="shared" si="867"/>
        <v>#REF!</v>
      </c>
      <c r="CG172" s="118" t="e">
        <f>CD184/(CD160+CD184)</f>
        <v>#REF!</v>
      </c>
      <c r="CH172" s="118" t="e">
        <f t="shared" ref="CH172:CM172" si="868">CG184/(CG160+CG184)</f>
        <v>#REF!</v>
      </c>
      <c r="CI172" s="118" t="e">
        <f t="shared" si="868"/>
        <v>#REF!</v>
      </c>
      <c r="CJ172" s="118" t="e">
        <f t="shared" si="868"/>
        <v>#REF!</v>
      </c>
      <c r="CK172" s="118" t="e">
        <f t="shared" si="868"/>
        <v>#REF!</v>
      </c>
      <c r="CL172" s="118" t="e">
        <f t="shared" si="868"/>
        <v>#REF!</v>
      </c>
      <c r="CM172" s="118" t="e">
        <f t="shared" si="868"/>
        <v>#REF!</v>
      </c>
      <c r="CN172" s="118" t="e">
        <f>CK184/(CK160+CK184)</f>
        <v>#REF!</v>
      </c>
      <c r="CO172" s="118" t="e">
        <f t="shared" ref="CO172:CT172" si="869">CN184/(CN160+CN184)</f>
        <v>#REF!</v>
      </c>
      <c r="CP172" s="118" t="e">
        <f t="shared" si="869"/>
        <v>#REF!</v>
      </c>
      <c r="CQ172" s="118" t="e">
        <f t="shared" si="869"/>
        <v>#REF!</v>
      </c>
      <c r="CR172" s="118" t="e">
        <f t="shared" si="869"/>
        <v>#REF!</v>
      </c>
      <c r="CS172" s="118" t="e">
        <f t="shared" si="869"/>
        <v>#REF!</v>
      </c>
      <c r="CT172" s="118" t="e">
        <f t="shared" si="869"/>
        <v>#REF!</v>
      </c>
      <c r="CU172" s="118" t="e">
        <f>CR184/(CR160+CR184)</f>
        <v>#REF!</v>
      </c>
      <c r="CV172" s="118" t="e">
        <f t="shared" ref="CV172:DA172" si="870">CU184/(CU160+CU184)</f>
        <v>#REF!</v>
      </c>
      <c r="CW172" s="118" t="e">
        <f t="shared" si="870"/>
        <v>#REF!</v>
      </c>
      <c r="CX172" s="118" t="e">
        <f t="shared" si="870"/>
        <v>#REF!</v>
      </c>
      <c r="CY172" s="118" t="e">
        <f t="shared" si="870"/>
        <v>#REF!</v>
      </c>
      <c r="CZ172" s="118" t="e">
        <f t="shared" si="870"/>
        <v>#REF!</v>
      </c>
      <c r="DA172" s="118" t="e">
        <f t="shared" si="870"/>
        <v>#REF!</v>
      </c>
      <c r="DB172" s="118" t="e">
        <f>CY184/(CY160+CY184)</f>
        <v>#REF!</v>
      </c>
      <c r="DC172" s="118" t="e">
        <f t="shared" ref="DC172:DH172" si="871">DB184/(DB160+DB184)</f>
        <v>#REF!</v>
      </c>
      <c r="DD172" s="118" t="e">
        <f t="shared" si="871"/>
        <v>#REF!</v>
      </c>
      <c r="DE172" s="118" t="e">
        <f t="shared" si="871"/>
        <v>#REF!</v>
      </c>
      <c r="DF172" s="118" t="e">
        <f t="shared" si="871"/>
        <v>#REF!</v>
      </c>
      <c r="DG172" s="118" t="e">
        <f t="shared" si="871"/>
        <v>#REF!</v>
      </c>
      <c r="DH172" s="118" t="e">
        <f t="shared" si="871"/>
        <v>#REF!</v>
      </c>
      <c r="DI172" s="118" t="e">
        <f>DF184/(DF160+DF184)</f>
        <v>#REF!</v>
      </c>
      <c r="DJ172" s="118" t="e">
        <f t="shared" ref="DJ172:DO172" si="872">DI184/(DI160+DI184)</f>
        <v>#REF!</v>
      </c>
      <c r="DK172" s="118" t="e">
        <f t="shared" si="872"/>
        <v>#REF!</v>
      </c>
      <c r="DL172" s="118" t="e">
        <f t="shared" si="872"/>
        <v>#REF!</v>
      </c>
      <c r="DM172" s="118" t="e">
        <f t="shared" si="872"/>
        <v>#REF!</v>
      </c>
      <c r="DN172" s="118" t="e">
        <f t="shared" si="872"/>
        <v>#REF!</v>
      </c>
      <c r="DO172" s="118" t="e">
        <f t="shared" si="872"/>
        <v>#REF!</v>
      </c>
      <c r="DP172" s="118" t="e">
        <f>DM184/(DM160+DM184)</f>
        <v>#REF!</v>
      </c>
      <c r="DQ172" s="118" t="e">
        <f>DP184/(DP160+DP184)</f>
        <v>#REF!</v>
      </c>
      <c r="DR172" s="118" t="e">
        <f>DQ184/(DQ160+DQ184)</f>
        <v>#REF!</v>
      </c>
      <c r="DS172" s="118" t="e">
        <f>DR184/(DR160+DR184)</f>
        <v>#REF!</v>
      </c>
    </row>
    <row r="173" spans="1:123" s="21" customFormat="1" x14ac:dyDescent="0.3">
      <c r="A173" s="21" t="s">
        <v>107</v>
      </c>
      <c r="B173" s="203"/>
      <c r="C173" s="22"/>
      <c r="D173" s="22"/>
      <c r="E173" s="22"/>
      <c r="H173" s="134">
        <f t="shared" ref="H173:N173" si="873">+H45+H160</f>
        <v>5965639.7952443669</v>
      </c>
      <c r="I173" s="134">
        <f t="shared" si="873"/>
        <v>5929097.3740266552</v>
      </c>
      <c r="J173" s="134">
        <f t="shared" si="873"/>
        <v>5976376.5046035917</v>
      </c>
      <c r="K173" s="134">
        <f t="shared" si="873"/>
        <v>5971025.0465554716</v>
      </c>
      <c r="L173" s="134">
        <f t="shared" si="873"/>
        <v>5970785.8060061568</v>
      </c>
      <c r="M173" s="134">
        <f t="shared" si="873"/>
        <v>5974082.0629940582</v>
      </c>
      <c r="N173" s="134">
        <f t="shared" si="873"/>
        <v>5992531.5082369177</v>
      </c>
      <c r="O173" s="134">
        <f>+O45+O56+O51</f>
        <v>5956773.6611117162</v>
      </c>
      <c r="P173" s="134">
        <f>+P45+P160+P66+P56</f>
        <v>6189064.1167955277</v>
      </c>
      <c r="Q173" s="134">
        <f>+Q45+Q160+Q66+Q56</f>
        <v>6193895.1594698783</v>
      </c>
      <c r="R173" s="134"/>
      <c r="S173" s="134"/>
      <c r="T173" s="134">
        <f>+T45+T160+T56+T66+T76</f>
        <v>6393159.4612921048</v>
      </c>
      <c r="U173" s="134"/>
      <c r="V173" s="134">
        <f>+V45+V160</f>
        <v>6376758.2486580182</v>
      </c>
      <c r="W173" s="134">
        <f>+W45+W160</f>
        <v>6371541.9723069286</v>
      </c>
      <c r="X173" s="134">
        <f>+X45+X160+X56</f>
        <v>6806145.9319187263</v>
      </c>
      <c r="Y173" s="134">
        <f>+Y45+Y160+Y56</f>
        <v>6813342.8755435981</v>
      </c>
      <c r="Z173" s="134"/>
      <c r="AA173" s="134">
        <f t="shared" ref="AA173:AF173" si="874">+AA45+AA160+AA56+AA66</f>
        <v>6930857.6121588117</v>
      </c>
      <c r="AB173" s="134">
        <f t="shared" si="874"/>
        <v>6982662.483363118</v>
      </c>
      <c r="AC173" s="134">
        <f t="shared" si="874"/>
        <v>6982093.4052628707</v>
      </c>
      <c r="AD173" s="134">
        <f t="shared" si="874"/>
        <v>6931447.1259270683</v>
      </c>
      <c r="AE173" s="134">
        <f t="shared" si="874"/>
        <v>6882289.4668766102</v>
      </c>
      <c r="AF173" s="134">
        <f t="shared" si="874"/>
        <v>6874999.3880582098</v>
      </c>
      <c r="AG173" s="134">
        <f>+AG45+AG160+AG56+AG66+AG76</f>
        <v>7021171.0823420957</v>
      </c>
      <c r="AH173" s="134">
        <f>+AH45+AH160+AH56+AH66+AH76+AH137+AH86</f>
        <v>7137165.1240525655</v>
      </c>
      <c r="AI173" s="134">
        <f>+AI45+AI160+AI56+AI66+AI76+AI137+AI86+AI96</f>
        <v>7234010.3276153943</v>
      </c>
      <c r="AJ173" s="134">
        <f>+AJ45+AJ160+AJ56+AJ66+AJ76+AJ137+AJ86+AJ96</f>
        <v>7253203.5848488854</v>
      </c>
      <c r="AK173" s="134">
        <f>+AK45+AK160+AK56+AK66+AK76+AK137+AK86+AK96</f>
        <v>7311267.3034955254</v>
      </c>
      <c r="AL173" s="134">
        <f>+AL45+AL160+AL56+AL66+AL76+AL137+AL86+AL96</f>
        <v>7300300.9463951578</v>
      </c>
      <c r="AM173" s="134">
        <f>+AM45+AM160+AM56+AM66+AM76+AM137+AM86+AM96+AM106</f>
        <v>7351042.5374129955</v>
      </c>
      <c r="AN173" s="134">
        <f>+AN45+AN160+AN56+AN66+AN76+AN137+AN86+AN96+AN106</f>
        <v>7388610.9168213932</v>
      </c>
      <c r="AO173" s="134">
        <f>+AO45+AO160+AO56+AO66+AO76+AO137+AO86+AO96+AO106</f>
        <v>7408509.2047918905</v>
      </c>
      <c r="AP173" s="134">
        <f>+AP45+AP160+AP56+AP66+AP76+AP137+AP86+AP96+AP106+AP116</f>
        <v>7426241.6717223395</v>
      </c>
      <c r="AQ173" s="134">
        <f t="shared" ref="AQ173:AV173" si="875">+AQ45+AQ160+AQ56+AQ66+AQ76+AQ137+AQ86+AQ96+AQ106+AQ116+AQ126</f>
        <v>7668417.3732951367</v>
      </c>
      <c r="AR173" s="134">
        <f t="shared" si="875"/>
        <v>7649128.9235220822</v>
      </c>
      <c r="AS173" s="134">
        <f t="shared" si="875"/>
        <v>7649755.1855897615</v>
      </c>
      <c r="AT173" s="134">
        <f t="shared" si="875"/>
        <v>7612106.965993234</v>
      </c>
      <c r="AU173" s="134">
        <f t="shared" si="875"/>
        <v>7589355.9462186797</v>
      </c>
      <c r="AV173" s="134">
        <f t="shared" si="875"/>
        <v>7571103.3257557359</v>
      </c>
      <c r="AW173" s="134">
        <f t="shared" ref="AW173:AX173" si="876">+AW45+AW160+AW56+AW66+AW76+AW137+AW86+AW96+AW106+AW116+AW126</f>
        <v>7555571.9813642176</v>
      </c>
      <c r="AX173" s="134">
        <f t="shared" si="876"/>
        <v>7832768.3076394033</v>
      </c>
      <c r="AY173" s="134">
        <f t="shared" ref="AY173:BD173" si="877">+AY45+AY160+AY56+AY66+AY76+AY137+AY86+AY96+AY106+AY116+AY126+AY148</f>
        <v>7886916.2043783469</v>
      </c>
      <c r="AZ173" s="134">
        <f t="shared" si="877"/>
        <v>7897173.5643447954</v>
      </c>
      <c r="BA173" s="134">
        <f t="shared" si="877"/>
        <v>7932767.3964535575</v>
      </c>
      <c r="BB173" s="134">
        <f t="shared" si="877"/>
        <v>7947336.8636108497</v>
      </c>
      <c r="BC173" s="134">
        <f t="shared" si="877"/>
        <v>7916532.7131697927</v>
      </c>
      <c r="BD173" s="134">
        <f t="shared" si="877"/>
        <v>7948230.7625496611</v>
      </c>
    </row>
    <row r="174" spans="1:123" s="21" customFormat="1" x14ac:dyDescent="0.3">
      <c r="A174" s="21" t="s">
        <v>108</v>
      </c>
      <c r="B174" s="203"/>
      <c r="C174" s="22"/>
      <c r="D174" s="22"/>
      <c r="E174" s="22"/>
      <c r="H174" s="135">
        <v>5965660.6973564196</v>
      </c>
      <c r="I174" s="134">
        <v>5929094.4773564199</v>
      </c>
      <c r="J174" s="134">
        <v>5976381.3700000001</v>
      </c>
      <c r="K174" s="134">
        <v>5974084.0300000003</v>
      </c>
      <c r="L174" s="134">
        <v>5929097.4773564199</v>
      </c>
      <c r="M174" s="134">
        <v>5974084.0300000003</v>
      </c>
      <c r="N174" s="134">
        <v>5992525.6299999999</v>
      </c>
      <c r="O174" s="134">
        <v>5956946.1659616688</v>
      </c>
      <c r="P174" s="134">
        <v>6189055.0800000001</v>
      </c>
      <c r="Q174" s="134">
        <f>Q258</f>
        <v>6193894.8600000013</v>
      </c>
      <c r="R174" s="134"/>
      <c r="S174" s="134"/>
      <c r="T174" s="134">
        <f t="shared" ref="T174:AH174" si="878">T258</f>
        <v>6393170.1200000001</v>
      </c>
      <c r="U174" s="134">
        <f t="shared" si="878"/>
        <v>0</v>
      </c>
      <c r="V174" s="134">
        <f t="shared" si="878"/>
        <v>6376751.5833888166</v>
      </c>
      <c r="W174" s="134">
        <f t="shared" si="878"/>
        <v>6371540.7389013572</v>
      </c>
      <c r="X174" s="134">
        <f t="shared" si="878"/>
        <v>6806150.7389013572</v>
      </c>
      <c r="Y174" s="134">
        <f t="shared" si="878"/>
        <v>6813395.1789013576</v>
      </c>
      <c r="Z174" s="134">
        <f t="shared" si="878"/>
        <v>0</v>
      </c>
      <c r="AA174" s="134">
        <f t="shared" si="878"/>
        <v>6930900.6047730185</v>
      </c>
      <c r="AB174" s="134">
        <f t="shared" si="878"/>
        <v>6982665.0747730182</v>
      </c>
      <c r="AC174" s="134">
        <f t="shared" si="878"/>
        <v>6982096.2347730184</v>
      </c>
      <c r="AD174" s="134">
        <f t="shared" si="878"/>
        <v>6931450.4112948226</v>
      </c>
      <c r="AE174" s="134">
        <f t="shared" si="878"/>
        <v>6882293.4412948219</v>
      </c>
      <c r="AF174" s="134">
        <f t="shared" si="878"/>
        <v>6875009.8212948218</v>
      </c>
      <c r="AG174" s="134">
        <f t="shared" si="878"/>
        <v>7021181.3812948214</v>
      </c>
      <c r="AH174" s="134">
        <f t="shared" si="878"/>
        <v>7137169.9712948222</v>
      </c>
      <c r="AI174" s="134">
        <f t="shared" ref="AI174:AP174" si="879">AI258</f>
        <v>7234003.7912948225</v>
      </c>
      <c r="AJ174" s="134">
        <f t="shared" si="879"/>
        <v>7253197.7312948219</v>
      </c>
      <c r="AK174" s="134">
        <f t="shared" si="879"/>
        <v>7311261.691294821</v>
      </c>
      <c r="AL174" s="134">
        <f t="shared" si="879"/>
        <v>7300295.7812948218</v>
      </c>
      <c r="AM174" s="134">
        <f t="shared" si="879"/>
        <v>7351037.2512948215</v>
      </c>
      <c r="AN174" s="134">
        <f t="shared" si="879"/>
        <v>7388606.0512948204</v>
      </c>
      <c r="AO174" s="134">
        <f t="shared" si="879"/>
        <v>7408503.8312948206</v>
      </c>
      <c r="AP174" s="134">
        <f t="shared" si="879"/>
        <v>7426235.9299999997</v>
      </c>
      <c r="AQ174" s="134">
        <f t="shared" ref="AQ174:AV174" si="880">AQ258</f>
        <v>7668410.3912948202</v>
      </c>
      <c r="AR174" s="134">
        <f t="shared" si="880"/>
        <v>7649103.4312948221</v>
      </c>
      <c r="AS174" s="134">
        <f t="shared" si="880"/>
        <v>7649726.0012948196</v>
      </c>
      <c r="AT174" s="134">
        <f t="shared" si="880"/>
        <v>7612078.0279139923</v>
      </c>
      <c r="AU174" s="134">
        <f t="shared" si="880"/>
        <v>7589326.1379139926</v>
      </c>
      <c r="AV174" s="134">
        <f t="shared" si="880"/>
        <v>7571073.7279139925</v>
      </c>
      <c r="AW174" s="134">
        <f t="shared" ref="AW174:AX174" si="881">AW258</f>
        <v>7555542.6179139921</v>
      </c>
      <c r="AX174" s="134">
        <f t="shared" si="881"/>
        <v>7832739.2779139942</v>
      </c>
      <c r="AY174" s="134">
        <f t="shared" ref="AY174:BH174" si="882">AY258</f>
        <v>7886887.0679139942</v>
      </c>
      <c r="AZ174" s="134">
        <f t="shared" ref="AZ174:BA174" si="883">AZ258</f>
        <v>7897144.6379139936</v>
      </c>
      <c r="BA174" s="134">
        <f t="shared" si="883"/>
        <v>7932738.6779139927</v>
      </c>
      <c r="BB174" s="134">
        <f t="shared" ref="BB174:BC174" si="884">BB258</f>
        <v>7947308.3312948197</v>
      </c>
      <c r="BC174" s="134">
        <f t="shared" si="884"/>
        <v>7916504.86129482</v>
      </c>
      <c r="BD174" s="134">
        <f t="shared" ref="BD174" si="885">BD258</f>
        <v>7948203.1412948202</v>
      </c>
      <c r="BE174" s="134">
        <f t="shared" si="882"/>
        <v>0</v>
      </c>
      <c r="BF174" s="134">
        <f t="shared" si="882"/>
        <v>0</v>
      </c>
      <c r="BG174" s="134">
        <f t="shared" si="882"/>
        <v>0</v>
      </c>
      <c r="BH174" s="134">
        <f t="shared" si="882"/>
        <v>0</v>
      </c>
    </row>
    <row r="175" spans="1:123" s="21" customFormat="1" x14ac:dyDescent="0.3">
      <c r="B175" s="203"/>
      <c r="C175" s="22"/>
      <c r="D175" s="22"/>
      <c r="E175" s="22"/>
      <c r="H175" s="136">
        <f>H173/H174-1</f>
        <v>-3.5037379954028225E-6</v>
      </c>
      <c r="I175" s="136">
        <f>I173/I174-1</f>
        <v>4.8855187695373559E-7</v>
      </c>
      <c r="J175" s="136">
        <f t="shared" ref="J175:X175" si="886">J173/J174-1</f>
        <v>-8.1410407182236355E-7</v>
      </c>
      <c r="K175" s="136">
        <f t="shared" si="886"/>
        <v>-5.1204225269807502E-4</v>
      </c>
      <c r="L175" s="136">
        <f t="shared" si="886"/>
        <v>7.0311423971265441E-3</v>
      </c>
      <c r="M175" s="136">
        <f t="shared" si="886"/>
        <v>-3.2925649051662731E-7</v>
      </c>
      <c r="N175" s="136">
        <f t="shared" si="886"/>
        <v>9.8092812295114129E-7</v>
      </c>
      <c r="O175" s="136">
        <f t="shared" si="886"/>
        <v>-2.8958604819773193E-5</v>
      </c>
      <c r="P175" s="136">
        <f t="shared" si="886"/>
        <v>1.460125238939014E-6</v>
      </c>
      <c r="Q175" s="136">
        <f t="shared" ref="Q175" si="887">Q173/Q174-1</f>
        <v>4.8349202419473158E-8</v>
      </c>
      <c r="R175" s="136"/>
      <c r="S175" s="136"/>
      <c r="T175" s="136">
        <f t="shared" si="886"/>
        <v>-1.6672022948860388E-6</v>
      </c>
      <c r="U175" s="136"/>
      <c r="V175" s="136">
        <f>V173/V174-1</f>
        <v>1.0452452341436214E-6</v>
      </c>
      <c r="W175" s="136">
        <f>W173/W174-1</f>
        <v>1.9358042613326631E-7</v>
      </c>
      <c r="X175" s="136">
        <f t="shared" si="886"/>
        <v>-7.0627037440651463E-7</v>
      </c>
      <c r="Y175" s="136">
        <f t="shared" ref="Y175:AA175" si="888">Y173/Y174-1</f>
        <v>-7.6765483854046579E-6</v>
      </c>
      <c r="Z175" s="136"/>
      <c r="AA175" s="136">
        <f t="shared" si="888"/>
        <v>-6.2030343036534319E-6</v>
      </c>
      <c r="AB175" s="136">
        <f t="shared" ref="AB175:AC175" si="889">AB173/AB174-1</f>
        <v>-3.7112046369358609E-7</v>
      </c>
      <c r="AC175" s="136">
        <f t="shared" si="889"/>
        <v>-4.0525224120901981E-7</v>
      </c>
      <c r="AD175" s="136">
        <f t="shared" ref="AD175:AG175" si="890">AD173/AD174-1</f>
        <v>-4.7397983959918122E-7</v>
      </c>
      <c r="AE175" s="136">
        <f t="shared" si="890"/>
        <v>-5.7748456172568297E-7</v>
      </c>
      <c r="AF175" s="136">
        <f t="shared" si="890"/>
        <v>-1.5175595211580628E-6</v>
      </c>
      <c r="AG175" s="136">
        <f t="shared" si="890"/>
        <v>-1.4668404313411543E-6</v>
      </c>
      <c r="AH175" s="136">
        <f t="shared" ref="AH175:AI175" si="891">AH173/AH174-1</f>
        <v>-6.7915466162027371E-7</v>
      </c>
      <c r="AI175" s="136">
        <f t="shared" si="891"/>
        <v>9.0355503812311611E-7</v>
      </c>
      <c r="AJ175" s="136">
        <f t="shared" ref="AJ175:AK175" si="892">AJ173/AJ174-1</f>
        <v>8.0703081328792337E-7</v>
      </c>
      <c r="AK175" s="136">
        <f t="shared" si="892"/>
        <v>7.6761042633322063E-7</v>
      </c>
      <c r="AL175" s="136">
        <f t="shared" ref="AL175:AM175" si="893">AL173/AL174-1</f>
        <v>7.075193240169142E-7</v>
      </c>
      <c r="AM175" s="136">
        <f t="shared" si="893"/>
        <v>7.190982704852189E-7</v>
      </c>
      <c r="AN175" s="136">
        <f t="shared" ref="AN175:AO175" si="894">AN173/AN174-1</f>
        <v>6.5851752539813901E-7</v>
      </c>
      <c r="AO175" s="136">
        <f t="shared" si="894"/>
        <v>7.2531474537562701E-7</v>
      </c>
      <c r="AP175" s="136">
        <f t="shared" ref="AP175:AQ175" si="895">AP173/AP174-1</f>
        <v>7.7316724023113181E-7</v>
      </c>
      <c r="AQ175" s="136">
        <f t="shared" si="895"/>
        <v>9.1048860983988789E-7</v>
      </c>
      <c r="AR175" s="136">
        <f t="shared" ref="AR175:AS175" si="896">AR173/AR174-1</f>
        <v>3.3327078772238394E-6</v>
      </c>
      <c r="AS175" s="136">
        <f t="shared" si="896"/>
        <v>3.8150771592970756E-6</v>
      </c>
      <c r="AT175" s="136">
        <f t="shared" ref="AT175:AU175" si="897">AT173/AT174-1</f>
        <v>3.801600447994602E-6</v>
      </c>
      <c r="AU175" s="136">
        <f t="shared" si="897"/>
        <v>3.9276615795280634E-6</v>
      </c>
      <c r="AV175" s="136">
        <f t="shared" ref="AV175" si="898">AV173/AV174-1</f>
        <v>3.9093321246852497E-6</v>
      </c>
      <c r="AW175" s="136">
        <f t="shared" ref="AW175:AY175" si="899">AW173/AW174-1</f>
        <v>3.8863456550686237E-6</v>
      </c>
      <c r="AX175" s="136">
        <f t="shared" si="899"/>
        <v>3.7062034594637083E-6</v>
      </c>
      <c r="AY175" s="136">
        <f t="shared" si="899"/>
        <v>3.6942920700333559E-6</v>
      </c>
      <c r="AZ175" s="136">
        <f t="shared" ref="AZ175:BA175" si="900">AZ173/AZ174-1</f>
        <v>3.662897430478651E-6</v>
      </c>
      <c r="BA175" s="136">
        <f t="shared" si="900"/>
        <v>3.6202553406194937E-6</v>
      </c>
      <c r="BB175" s="136">
        <f t="shared" ref="BB175:BC175" si="901">BB173/BB174-1</f>
        <v>3.5901861159537418E-6</v>
      </c>
      <c r="BC175" s="136">
        <f t="shared" si="901"/>
        <v>3.5182034825442798E-6</v>
      </c>
      <c r="BD175" s="136">
        <f t="shared" ref="BD175" si="902">BD173/BD174-1</f>
        <v>3.4751571329483255E-6</v>
      </c>
    </row>
    <row r="176" spans="1:123" x14ac:dyDescent="0.3">
      <c r="H176" s="133"/>
      <c r="I176" s="133">
        <f>+I173-I174</f>
        <v>2.8966702353209257</v>
      </c>
      <c r="J176" s="133">
        <f>+J173-J174</f>
        <v>-4.8653964083641768</v>
      </c>
      <c r="K176" s="133">
        <f t="shared" ref="K176:T176" si="903">+K173-K174</f>
        <v>-3058.9834445286542</v>
      </c>
      <c r="L176" s="133">
        <f t="shared" si="903"/>
        <v>41688.328649736941</v>
      </c>
      <c r="M176" s="133">
        <f t="shared" si="903"/>
        <v>-1.96700594201684</v>
      </c>
      <c r="N176" s="133">
        <f t="shared" si="903"/>
        <v>5.8782369177788496</v>
      </c>
      <c r="O176" s="133">
        <f t="shared" si="903"/>
        <v>-172.5048499526456</v>
      </c>
      <c r="P176" s="133">
        <f t="shared" si="903"/>
        <v>9.0367955276742578</v>
      </c>
      <c r="Q176" s="133">
        <f t="shared" si="903"/>
        <v>0.29946987703442574</v>
      </c>
      <c r="R176" s="133"/>
      <c r="S176" s="133"/>
      <c r="T176" s="133">
        <f t="shared" si="903"/>
        <v>-10.658707895316184</v>
      </c>
      <c r="U176" s="133"/>
      <c r="V176" s="133">
        <f>+V173-V174</f>
        <v>6.6652692016214132</v>
      </c>
      <c r="W176" s="133">
        <f>+W173-W174</f>
        <v>1.2334055714309216</v>
      </c>
      <c r="X176" s="133">
        <f>+X173-X174</f>
        <v>-4.8069826308637857</v>
      </c>
      <c r="Y176" s="133">
        <f>+Y173-Y174</f>
        <v>-52.303357759490609</v>
      </c>
      <c r="Z176" s="133"/>
      <c r="AA176" s="133">
        <f t="shared" ref="AA176:AG176" si="904">+AA173-AA174</f>
        <v>-42.992614206857979</v>
      </c>
      <c r="AB176" s="133">
        <f t="shared" si="904"/>
        <v>-2.5914099002256989</v>
      </c>
      <c r="AC176" s="133">
        <f t="shared" si="904"/>
        <v>-2.8295101476833224</v>
      </c>
      <c r="AD176" s="133">
        <f t="shared" si="904"/>
        <v>-3.2853677542880177</v>
      </c>
      <c r="AE176" s="133">
        <f t="shared" si="904"/>
        <v>-3.9744182117283344</v>
      </c>
      <c r="AF176" s="133">
        <f t="shared" si="904"/>
        <v>-10.433236612007022</v>
      </c>
      <c r="AG176" s="133">
        <f t="shared" si="904"/>
        <v>-10.298952725715935</v>
      </c>
      <c r="AH176" s="133">
        <f t="shared" ref="AH176:AI176" si="905">+AH173-AH174</f>
        <v>-4.8472422566264868</v>
      </c>
      <c r="AI176" s="133">
        <f t="shared" si="905"/>
        <v>6.5363205717876554</v>
      </c>
      <c r="AJ176" s="133">
        <f t="shared" ref="AJ176:AK176" si="906">+AJ173-AJ174</f>
        <v>5.8535540634766221</v>
      </c>
      <c r="AK176" s="133">
        <f t="shared" si="906"/>
        <v>5.6122007044032216</v>
      </c>
      <c r="AL176" s="133">
        <f t="shared" ref="AL176:AM176" si="907">+AL173-AL174</f>
        <v>5.1651003360748291</v>
      </c>
      <c r="AM176" s="133">
        <f t="shared" si="907"/>
        <v>5.2861181739717722</v>
      </c>
      <c r="AN176" s="133">
        <f t="shared" ref="AN176:AO176" si="908">+AN173-AN174</f>
        <v>4.8655265728011727</v>
      </c>
      <c r="AO176" s="133">
        <f t="shared" si="908"/>
        <v>5.3734970698133111</v>
      </c>
      <c r="AP176" s="133">
        <f t="shared" ref="AP176:AQ176" si="909">+AP173-AP174</f>
        <v>5.7417223397642374</v>
      </c>
      <c r="AQ176" s="133">
        <f t="shared" si="909"/>
        <v>6.9820003164932132</v>
      </c>
      <c r="AR176" s="133">
        <f t="shared" ref="AR176:AS176" si="910">+AR173-AR174</f>
        <v>25.492227260023355</v>
      </c>
      <c r="AS176" s="133">
        <f t="shared" si="910"/>
        <v>29.184294941835105</v>
      </c>
      <c r="AT176" s="133">
        <f t="shared" ref="AT176:AU176" si="911">+AT173-AT174</f>
        <v>28.938079241663218</v>
      </c>
      <c r="AU176" s="133">
        <f t="shared" si="911"/>
        <v>29.808304687030613</v>
      </c>
      <c r="AV176" s="133">
        <f t="shared" ref="AV176" si="912">+AV173-AV174</f>
        <v>29.597841743379831</v>
      </c>
      <c r="AW176" s="133">
        <f t="shared" ref="AW176:AX176" si="913">+AW173-AW174</f>
        <v>29.363450225442648</v>
      </c>
      <c r="AX176" s="133">
        <f t="shared" si="913"/>
        <v>29.029725409112871</v>
      </c>
      <c r="AY176" s="133">
        <f t="shared" ref="AY176:AZ176" si="914">+AY173-AY174</f>
        <v>29.136464352719486</v>
      </c>
      <c r="AZ176" s="133">
        <f t="shared" si="914"/>
        <v>28.926430801860988</v>
      </c>
      <c r="BA176" s="133">
        <f t="shared" ref="BA176:BB176" si="915">+BA173-BA174</f>
        <v>28.718539564870298</v>
      </c>
      <c r="BB176" s="133">
        <f t="shared" si="915"/>
        <v>28.53231603000313</v>
      </c>
      <c r="BC176" s="133">
        <f t="shared" ref="BC176:BD176" si="916">+BC173-BC174</f>
        <v>27.851874972693622</v>
      </c>
      <c r="BD176" s="133">
        <f t="shared" si="916"/>
        <v>27.621254840865731</v>
      </c>
    </row>
    <row r="177" spans="1:123" hidden="1" x14ac:dyDescent="0.3"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  <c r="AB177" s="133"/>
      <c r="AC177" s="133"/>
      <c r="AD177" s="133"/>
      <c r="AM177" s="117">
        <f>IF(AM176&gt;100,ROUND((AM176-100)*0.2,3),0)</f>
        <v>0</v>
      </c>
      <c r="AN177" s="117">
        <f>IF(AN176&gt;100,ROUND((AN176-100)*0.2,3),0)</f>
        <v>0</v>
      </c>
      <c r="AQ177" s="133"/>
    </row>
    <row r="178" spans="1:123" hidden="1" x14ac:dyDescent="0.3"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  <c r="AB178" s="133"/>
      <c r="AC178" s="133"/>
      <c r="AD178" s="133"/>
      <c r="AM178" s="166">
        <f>AM176-AM177</f>
        <v>5.2861181739717722</v>
      </c>
      <c r="AN178" s="166">
        <f>AN176-AN177</f>
        <v>4.8655265728011727</v>
      </c>
      <c r="AQ178" s="133"/>
    </row>
    <row r="179" spans="1:123" hidden="1" x14ac:dyDescent="0.3">
      <c r="A179" t="s">
        <v>109</v>
      </c>
      <c r="B179" s="104">
        <v>1500</v>
      </c>
      <c r="C179" s="105"/>
      <c r="H179" s="111"/>
      <c r="K179" s="111"/>
      <c r="L179" s="111">
        <f>IF(L31*L172&gt;0,L31*20%*L172,0)</f>
        <v>0</v>
      </c>
      <c r="M179" s="111">
        <f>IF(M31*M172&gt;0,M31*20%*M172,0)</f>
        <v>0</v>
      </c>
      <c r="N179" s="111">
        <f t="shared" ref="N179:T179" si="917">+N29*N172</f>
        <v>150514.74448838126</v>
      </c>
      <c r="O179" s="111">
        <f t="shared" si="917"/>
        <v>3059604.4154991801</v>
      </c>
      <c r="P179" s="111">
        <f t="shared" si="917"/>
        <v>5836897.3288469873</v>
      </c>
      <c r="Q179" s="111">
        <f t="shared" si="917"/>
        <v>6002552.3307277244</v>
      </c>
      <c r="R179" s="111">
        <f t="shared" si="917"/>
        <v>0</v>
      </c>
      <c r="S179" s="111">
        <f t="shared" si="917"/>
        <v>0</v>
      </c>
      <c r="T179" s="111">
        <f t="shared" si="917"/>
        <v>6394269.3424868472</v>
      </c>
      <c r="U179" s="111"/>
      <c r="V179" s="111">
        <f>+V29*V172</f>
        <v>0</v>
      </c>
      <c r="W179" s="111">
        <f>+W29*W172</f>
        <v>1145096.9633631099</v>
      </c>
      <c r="X179" s="111">
        <f>+X29*X172</f>
        <v>5879660.9295758773</v>
      </c>
      <c r="Y179" s="111">
        <f>+Y29*Y172</f>
        <v>6605830.8413046394</v>
      </c>
      <c r="Z179" s="111"/>
      <c r="AA179" s="111">
        <f t="shared" ref="AA179:AL179" si="918">+AA29*AA172</f>
        <v>6742708.0584972836</v>
      </c>
      <c r="AB179" s="111">
        <f t="shared" si="918"/>
        <v>0</v>
      </c>
      <c r="AC179" s="111">
        <f t="shared" si="918"/>
        <v>6794944.6600733856</v>
      </c>
      <c r="AD179" s="111">
        <f t="shared" si="918"/>
        <v>1158088.1184855171</v>
      </c>
      <c r="AE179" s="111">
        <f t="shared" si="918"/>
        <v>6700122.797787453</v>
      </c>
      <c r="AF179" s="111">
        <f t="shared" si="918"/>
        <v>6134962.0684792111</v>
      </c>
      <c r="AG179" s="111">
        <f t="shared" si="918"/>
        <v>6828319.9780452773</v>
      </c>
      <c r="AH179" s="111">
        <f t="shared" si="918"/>
        <v>6950388.2704952871</v>
      </c>
      <c r="AI179" s="111">
        <f t="shared" si="918"/>
        <v>7047519.9117442425</v>
      </c>
      <c r="AJ179" s="111">
        <f t="shared" si="918"/>
        <v>7069253.5157209672</v>
      </c>
      <c r="AK179" s="111">
        <f t="shared" si="918"/>
        <v>7125461.1244263193</v>
      </c>
      <c r="AL179" s="111">
        <f t="shared" si="918"/>
        <v>7121213.897851795</v>
      </c>
      <c r="AM179" s="99">
        <f>IF(AM176&lt;100,0,(AM176-100)*20%*500)</f>
        <v>0</v>
      </c>
      <c r="AN179" s="99">
        <f>IF(AN176&lt;100,0,(AN176-100)*20%*500)</f>
        <v>0</v>
      </c>
      <c r="AO179" s="111">
        <f t="shared" ref="AO179:AX179" si="919">+AO29*AO172</f>
        <v>0</v>
      </c>
      <c r="AP179" s="111">
        <f t="shared" si="919"/>
        <v>1278206.5529022466</v>
      </c>
      <c r="AQ179" s="111">
        <f t="shared" si="919"/>
        <v>6709357.5174898272</v>
      </c>
      <c r="AR179" s="111">
        <f t="shared" si="919"/>
        <v>7442305.8701052358</v>
      </c>
      <c r="AS179" s="111">
        <f t="shared" si="919"/>
        <v>7463475.5963976821</v>
      </c>
      <c r="AT179" s="111">
        <f t="shared" ref="AT179" si="920">+AT29*AT172</f>
        <v>7426458.2314174734</v>
      </c>
      <c r="AU179" s="111">
        <f t="shared" si="919"/>
        <v>7403665.1842837231</v>
      </c>
      <c r="AV179" s="111">
        <f t="shared" ref="AV179" si="921">+AV29*AV172</f>
        <v>7385881.3000055198</v>
      </c>
      <c r="AW179" s="111">
        <f t="shared" si="919"/>
        <v>7647070.6147095459</v>
      </c>
      <c r="AX179" s="111">
        <f t="shared" si="919"/>
        <v>7697151.6508416589</v>
      </c>
      <c r="AY179" s="111">
        <f t="shared" ref="AY179:CB179" si="922">+AY29*AY172</f>
        <v>7701690.0401509125</v>
      </c>
      <c r="AZ179" s="111">
        <f t="shared" si="922"/>
        <v>7711877.8193444218</v>
      </c>
      <c r="BA179" s="111">
        <f t="shared" si="922"/>
        <v>7746888.2102673762</v>
      </c>
      <c r="BB179" s="111">
        <f t="shared" si="922"/>
        <v>7761618.1042771563</v>
      </c>
      <c r="BC179" s="111">
        <f t="shared" si="922"/>
        <v>7731547.6472159186</v>
      </c>
      <c r="BD179" s="111">
        <f t="shared" ref="BD179" si="923">+BD29*BD172</f>
        <v>7761914.7072338881</v>
      </c>
      <c r="BE179" s="111" t="e">
        <f t="shared" si="922"/>
        <v>#REF!</v>
      </c>
      <c r="BF179" s="111" t="e">
        <f t="shared" si="922"/>
        <v>#REF!</v>
      </c>
      <c r="BG179" s="111" t="e">
        <f t="shared" si="922"/>
        <v>#REF!</v>
      </c>
      <c r="BH179" s="111" t="e">
        <f t="shared" si="922"/>
        <v>#REF!</v>
      </c>
      <c r="BI179" s="111" t="e">
        <f t="shared" si="922"/>
        <v>#REF!</v>
      </c>
      <c r="BJ179" s="111" t="e">
        <f t="shared" si="922"/>
        <v>#REF!</v>
      </c>
      <c r="BK179" s="111" t="e">
        <f t="shared" si="922"/>
        <v>#REF!</v>
      </c>
      <c r="BL179" s="111" t="e">
        <f t="shared" si="922"/>
        <v>#REF!</v>
      </c>
      <c r="BM179" s="111" t="e">
        <f t="shared" si="922"/>
        <v>#REF!</v>
      </c>
      <c r="BN179" s="111" t="e">
        <f t="shared" si="922"/>
        <v>#REF!</v>
      </c>
      <c r="BO179" s="111" t="e">
        <f t="shared" si="922"/>
        <v>#REF!</v>
      </c>
      <c r="BP179" s="111" t="e">
        <f t="shared" si="922"/>
        <v>#REF!</v>
      </c>
      <c r="BQ179" s="111" t="e">
        <f t="shared" si="922"/>
        <v>#REF!</v>
      </c>
      <c r="BR179" s="111" t="e">
        <f t="shared" si="922"/>
        <v>#REF!</v>
      </c>
      <c r="BS179" s="111" t="e">
        <f t="shared" si="922"/>
        <v>#REF!</v>
      </c>
      <c r="BT179" s="111" t="e">
        <f t="shared" si="922"/>
        <v>#REF!</v>
      </c>
      <c r="BU179" s="111" t="e">
        <f t="shared" si="922"/>
        <v>#REF!</v>
      </c>
      <c r="BV179" s="111" t="e">
        <f t="shared" si="922"/>
        <v>#REF!</v>
      </c>
      <c r="BW179" s="111" t="e">
        <f t="shared" si="922"/>
        <v>#REF!</v>
      </c>
      <c r="BX179" s="111" t="e">
        <f t="shared" si="922"/>
        <v>#REF!</v>
      </c>
      <c r="BY179" s="111" t="e">
        <f t="shared" si="922"/>
        <v>#REF!</v>
      </c>
      <c r="BZ179" s="111" t="e">
        <f t="shared" si="922"/>
        <v>#REF!</v>
      </c>
      <c r="CA179" s="111" t="e">
        <f t="shared" si="922"/>
        <v>#REF!</v>
      </c>
      <c r="CB179" s="111" t="e">
        <f t="shared" si="922"/>
        <v>#REF!</v>
      </c>
      <c r="CC179" s="111" t="e">
        <f t="shared" ref="CC179:DH179" si="924">+CC29*CC172</f>
        <v>#REF!</v>
      </c>
      <c r="CD179" s="111" t="e">
        <f t="shared" si="924"/>
        <v>#REF!</v>
      </c>
      <c r="CE179" s="111" t="e">
        <f t="shared" si="924"/>
        <v>#REF!</v>
      </c>
      <c r="CF179" s="111" t="e">
        <f t="shared" si="924"/>
        <v>#REF!</v>
      </c>
      <c r="CG179" s="111" t="e">
        <f t="shared" si="924"/>
        <v>#REF!</v>
      </c>
      <c r="CH179" s="111" t="e">
        <f t="shared" si="924"/>
        <v>#REF!</v>
      </c>
      <c r="CI179" s="111" t="e">
        <f t="shared" si="924"/>
        <v>#REF!</v>
      </c>
      <c r="CJ179" s="111" t="e">
        <f t="shared" si="924"/>
        <v>#REF!</v>
      </c>
      <c r="CK179" s="111" t="e">
        <f t="shared" si="924"/>
        <v>#REF!</v>
      </c>
      <c r="CL179" s="111" t="e">
        <f t="shared" si="924"/>
        <v>#REF!</v>
      </c>
      <c r="CM179" s="111" t="e">
        <f t="shared" si="924"/>
        <v>#REF!</v>
      </c>
      <c r="CN179" s="111" t="e">
        <f t="shared" si="924"/>
        <v>#REF!</v>
      </c>
      <c r="CO179" s="111" t="e">
        <f t="shared" si="924"/>
        <v>#REF!</v>
      </c>
      <c r="CP179" s="111" t="e">
        <f t="shared" si="924"/>
        <v>#REF!</v>
      </c>
      <c r="CQ179" s="111" t="e">
        <f t="shared" si="924"/>
        <v>#REF!</v>
      </c>
      <c r="CR179" s="111" t="e">
        <f t="shared" si="924"/>
        <v>#REF!</v>
      </c>
      <c r="CS179" s="111" t="e">
        <f t="shared" si="924"/>
        <v>#REF!</v>
      </c>
      <c r="CT179" s="111" t="e">
        <f t="shared" si="924"/>
        <v>#REF!</v>
      </c>
      <c r="CU179" s="111" t="e">
        <f t="shared" si="924"/>
        <v>#REF!</v>
      </c>
      <c r="CV179" s="111" t="e">
        <f t="shared" si="924"/>
        <v>#REF!</v>
      </c>
      <c r="CW179" s="111" t="e">
        <f t="shared" si="924"/>
        <v>#REF!</v>
      </c>
      <c r="CX179" s="111" t="e">
        <f t="shared" si="924"/>
        <v>#REF!</v>
      </c>
      <c r="CY179" s="111" t="e">
        <f t="shared" si="924"/>
        <v>#REF!</v>
      </c>
      <c r="CZ179" s="111" t="e">
        <f t="shared" si="924"/>
        <v>#REF!</v>
      </c>
      <c r="DA179" s="111" t="e">
        <f t="shared" si="924"/>
        <v>#REF!</v>
      </c>
      <c r="DB179" s="111" t="e">
        <f t="shared" si="924"/>
        <v>#REF!</v>
      </c>
      <c r="DC179" s="111" t="e">
        <f t="shared" si="924"/>
        <v>#REF!</v>
      </c>
      <c r="DD179" s="111" t="e">
        <f t="shared" si="924"/>
        <v>#REF!</v>
      </c>
      <c r="DE179" s="111" t="e">
        <f t="shared" si="924"/>
        <v>#REF!</v>
      </c>
      <c r="DF179" s="111" t="e">
        <f t="shared" si="924"/>
        <v>#REF!</v>
      </c>
      <c r="DG179" s="111" t="e">
        <f t="shared" si="924"/>
        <v>#REF!</v>
      </c>
      <c r="DH179" s="111" t="e">
        <f t="shared" si="924"/>
        <v>#REF!</v>
      </c>
      <c r="DI179" s="111" t="e">
        <f t="shared" ref="DI179:DS179" si="925">+DI29*DI172</f>
        <v>#REF!</v>
      </c>
      <c r="DJ179" s="111" t="e">
        <f t="shared" si="925"/>
        <v>#REF!</v>
      </c>
      <c r="DK179" s="111" t="e">
        <f t="shared" si="925"/>
        <v>#REF!</v>
      </c>
      <c r="DL179" s="111" t="e">
        <f t="shared" si="925"/>
        <v>#REF!</v>
      </c>
      <c r="DM179" s="111" t="e">
        <f t="shared" si="925"/>
        <v>#REF!</v>
      </c>
      <c r="DN179" s="111" t="e">
        <f t="shared" si="925"/>
        <v>#REF!</v>
      </c>
      <c r="DO179" s="111" t="e">
        <f t="shared" si="925"/>
        <v>#REF!</v>
      </c>
      <c r="DP179" s="111" t="e">
        <f t="shared" si="925"/>
        <v>#REF!</v>
      </c>
      <c r="DQ179" s="111" t="e">
        <f t="shared" si="925"/>
        <v>#REF!</v>
      </c>
      <c r="DR179" s="111" t="e">
        <f t="shared" si="925"/>
        <v>#REF!</v>
      </c>
      <c r="DS179" s="111" t="e">
        <f t="shared" si="925"/>
        <v>#REF!</v>
      </c>
    </row>
    <row r="180" spans="1:123" hidden="1" x14ac:dyDescent="0.3">
      <c r="B180" s="104"/>
      <c r="H180" s="111"/>
      <c r="N180" s="111">
        <f t="shared" ref="N180:T180" si="926">TRUNC((N29*N172)/$B$179,3)</f>
        <v>100.343</v>
      </c>
      <c r="O180" s="111">
        <f t="shared" si="926"/>
        <v>2039.7360000000001</v>
      </c>
      <c r="P180" s="111">
        <f t="shared" si="926"/>
        <v>3891.2640000000001</v>
      </c>
      <c r="Q180" s="111">
        <f t="shared" si="926"/>
        <v>4001.701</v>
      </c>
      <c r="R180" s="111">
        <f t="shared" si="926"/>
        <v>0</v>
      </c>
      <c r="S180" s="111">
        <f t="shared" si="926"/>
        <v>0</v>
      </c>
      <c r="T180" s="111">
        <f t="shared" si="926"/>
        <v>4262.8459999999995</v>
      </c>
      <c r="U180" s="111"/>
      <c r="V180" s="111">
        <f>TRUNC((V29*V172)/$B$179,3)</f>
        <v>0</v>
      </c>
      <c r="W180" s="111">
        <f>TRUNC((W29*W172)/$B$179,3)</f>
        <v>763.39700000000005</v>
      </c>
      <c r="X180" s="111">
        <f>TRUNC((X29*X172)/$B$179,3)</f>
        <v>3919.7730000000001</v>
      </c>
      <c r="Y180" s="111">
        <f>TRUNC((Y29*Y172)/$B$179,3)</f>
        <v>4403.8869999999997</v>
      </c>
      <c r="Z180" s="111"/>
      <c r="AA180" s="111">
        <f t="shared" ref="AA180:AL180" si="927">TRUNC((AA29*AA172)/$B$179,3)</f>
        <v>4495.1379999999999</v>
      </c>
      <c r="AB180" s="111">
        <f t="shared" si="927"/>
        <v>0</v>
      </c>
      <c r="AC180" s="111">
        <f t="shared" si="927"/>
        <v>4529.9629999999997</v>
      </c>
      <c r="AD180" s="111">
        <f t="shared" si="927"/>
        <v>772.05799999999999</v>
      </c>
      <c r="AE180" s="111">
        <f t="shared" si="927"/>
        <v>4466.7479999999996</v>
      </c>
      <c r="AF180" s="111">
        <f t="shared" si="927"/>
        <v>4089.9740000000002</v>
      </c>
      <c r="AG180" s="111">
        <f t="shared" si="927"/>
        <v>4552.2129999999997</v>
      </c>
      <c r="AH180" s="111">
        <f t="shared" si="927"/>
        <v>4633.5919999999996</v>
      </c>
      <c r="AI180" s="111">
        <f t="shared" si="927"/>
        <v>4698.3459999999995</v>
      </c>
      <c r="AJ180" s="111">
        <f t="shared" si="927"/>
        <v>4712.835</v>
      </c>
      <c r="AK180" s="111">
        <f t="shared" si="927"/>
        <v>4750.3069999999998</v>
      </c>
      <c r="AL180" s="111">
        <f t="shared" si="927"/>
        <v>4747.4750000000004</v>
      </c>
      <c r="AM180" s="125">
        <f>+AM175-AM179</f>
        <v>7.190982704852189E-7</v>
      </c>
      <c r="AN180" s="125">
        <f>+AN175-AN179</f>
        <v>6.5851752539813901E-7</v>
      </c>
      <c r="AO180" s="111">
        <f t="shared" ref="AO180:AX180" si="928">TRUNC((AO29*AO172)/$B$179,3)</f>
        <v>0</v>
      </c>
      <c r="AP180" s="111">
        <f t="shared" si="928"/>
        <v>852.13699999999994</v>
      </c>
      <c r="AQ180" s="111">
        <f t="shared" si="928"/>
        <v>4472.9049999999997</v>
      </c>
      <c r="AR180" s="111">
        <f t="shared" si="928"/>
        <v>4961.5370000000003</v>
      </c>
      <c r="AS180" s="111">
        <f t="shared" si="928"/>
        <v>4975.6499999999996</v>
      </c>
      <c r="AT180" s="111">
        <f t="shared" ref="AT180" si="929">TRUNC((AT29*AT172)/$B$179,3)</f>
        <v>4950.9719999999998</v>
      </c>
      <c r="AU180" s="111">
        <f t="shared" si="928"/>
        <v>4935.7759999999998</v>
      </c>
      <c r="AV180" s="111">
        <f t="shared" ref="AV180" si="930">TRUNC((AV29*AV172)/$B$179,3)</f>
        <v>4923.92</v>
      </c>
      <c r="AW180" s="111">
        <f t="shared" si="928"/>
        <v>5098.0469999999996</v>
      </c>
      <c r="AX180" s="111">
        <f t="shared" si="928"/>
        <v>5131.4340000000002</v>
      </c>
      <c r="AY180" s="111">
        <f t="shared" ref="AY180:CB180" si="931">TRUNC((AY29*AY172)/$B$179,3)</f>
        <v>5134.46</v>
      </c>
      <c r="AZ180" s="111">
        <f t="shared" si="931"/>
        <v>5141.2510000000002</v>
      </c>
      <c r="BA180" s="111">
        <f t="shared" si="931"/>
        <v>5164.5919999999996</v>
      </c>
      <c r="BB180" s="111">
        <f t="shared" si="931"/>
        <v>5174.4120000000003</v>
      </c>
      <c r="BC180" s="111">
        <f t="shared" si="931"/>
        <v>5154.3649999999998</v>
      </c>
      <c r="BD180" s="111">
        <f t="shared" ref="BD180" si="932">TRUNC((BD29*BD172)/$B$179,3)</f>
        <v>5174.6090000000004</v>
      </c>
      <c r="BE180" s="111" t="e">
        <f t="shared" si="931"/>
        <v>#REF!</v>
      </c>
      <c r="BF180" s="111" t="e">
        <f t="shared" si="931"/>
        <v>#REF!</v>
      </c>
      <c r="BG180" s="111" t="e">
        <f t="shared" si="931"/>
        <v>#REF!</v>
      </c>
      <c r="BH180" s="111" t="e">
        <f t="shared" si="931"/>
        <v>#REF!</v>
      </c>
      <c r="BI180" s="111" t="e">
        <f t="shared" si="931"/>
        <v>#REF!</v>
      </c>
      <c r="BJ180" s="111" t="e">
        <f t="shared" si="931"/>
        <v>#REF!</v>
      </c>
      <c r="BK180" s="111" t="e">
        <f t="shared" si="931"/>
        <v>#REF!</v>
      </c>
      <c r="BL180" s="111" t="e">
        <f t="shared" si="931"/>
        <v>#REF!</v>
      </c>
      <c r="BM180" s="111" t="e">
        <f t="shared" si="931"/>
        <v>#REF!</v>
      </c>
      <c r="BN180" s="111" t="e">
        <f t="shared" si="931"/>
        <v>#REF!</v>
      </c>
      <c r="BO180" s="111" t="e">
        <f t="shared" si="931"/>
        <v>#REF!</v>
      </c>
      <c r="BP180" s="111" t="e">
        <f t="shared" si="931"/>
        <v>#REF!</v>
      </c>
      <c r="BQ180" s="111" t="e">
        <f t="shared" si="931"/>
        <v>#REF!</v>
      </c>
      <c r="BR180" s="111" t="e">
        <f t="shared" si="931"/>
        <v>#REF!</v>
      </c>
      <c r="BS180" s="111" t="e">
        <f t="shared" si="931"/>
        <v>#REF!</v>
      </c>
      <c r="BT180" s="111" t="e">
        <f t="shared" si="931"/>
        <v>#REF!</v>
      </c>
      <c r="BU180" s="111" t="e">
        <f t="shared" si="931"/>
        <v>#REF!</v>
      </c>
      <c r="BV180" s="111" t="e">
        <f t="shared" si="931"/>
        <v>#REF!</v>
      </c>
      <c r="BW180" s="111" t="e">
        <f t="shared" si="931"/>
        <v>#REF!</v>
      </c>
      <c r="BX180" s="111" t="e">
        <f t="shared" si="931"/>
        <v>#REF!</v>
      </c>
      <c r="BY180" s="111" t="e">
        <f t="shared" si="931"/>
        <v>#REF!</v>
      </c>
      <c r="BZ180" s="111" t="e">
        <f t="shared" si="931"/>
        <v>#REF!</v>
      </c>
      <c r="CA180" s="111" t="e">
        <f t="shared" si="931"/>
        <v>#REF!</v>
      </c>
      <c r="CB180" s="111" t="e">
        <f t="shared" si="931"/>
        <v>#REF!</v>
      </c>
      <c r="CC180" s="111" t="e">
        <f t="shared" ref="CC180:DH180" si="933">TRUNC((CC29*CC172)/$B$179,3)</f>
        <v>#REF!</v>
      </c>
      <c r="CD180" s="111" t="e">
        <f t="shared" si="933"/>
        <v>#REF!</v>
      </c>
      <c r="CE180" s="111" t="e">
        <f t="shared" si="933"/>
        <v>#REF!</v>
      </c>
      <c r="CF180" s="111" t="e">
        <f t="shared" si="933"/>
        <v>#REF!</v>
      </c>
      <c r="CG180" s="111" t="e">
        <f t="shared" si="933"/>
        <v>#REF!</v>
      </c>
      <c r="CH180" s="111" t="e">
        <f t="shared" si="933"/>
        <v>#REF!</v>
      </c>
      <c r="CI180" s="111" t="e">
        <f t="shared" si="933"/>
        <v>#REF!</v>
      </c>
      <c r="CJ180" s="111" t="e">
        <f t="shared" si="933"/>
        <v>#REF!</v>
      </c>
      <c r="CK180" s="111" t="e">
        <f t="shared" si="933"/>
        <v>#REF!</v>
      </c>
      <c r="CL180" s="111" t="e">
        <f t="shared" si="933"/>
        <v>#REF!</v>
      </c>
      <c r="CM180" s="111" t="e">
        <f t="shared" si="933"/>
        <v>#REF!</v>
      </c>
      <c r="CN180" s="111" t="e">
        <f t="shared" si="933"/>
        <v>#REF!</v>
      </c>
      <c r="CO180" s="111" t="e">
        <f t="shared" si="933"/>
        <v>#REF!</v>
      </c>
      <c r="CP180" s="111" t="e">
        <f t="shared" si="933"/>
        <v>#REF!</v>
      </c>
      <c r="CQ180" s="111" t="e">
        <f t="shared" si="933"/>
        <v>#REF!</v>
      </c>
      <c r="CR180" s="111" t="e">
        <f t="shared" si="933"/>
        <v>#REF!</v>
      </c>
      <c r="CS180" s="111" t="e">
        <f t="shared" si="933"/>
        <v>#REF!</v>
      </c>
      <c r="CT180" s="111" t="e">
        <f t="shared" si="933"/>
        <v>#REF!</v>
      </c>
      <c r="CU180" s="111" t="e">
        <f t="shared" si="933"/>
        <v>#REF!</v>
      </c>
      <c r="CV180" s="111" t="e">
        <f t="shared" si="933"/>
        <v>#REF!</v>
      </c>
      <c r="CW180" s="111" t="e">
        <f t="shared" si="933"/>
        <v>#REF!</v>
      </c>
      <c r="CX180" s="111" t="e">
        <f t="shared" si="933"/>
        <v>#REF!</v>
      </c>
      <c r="CY180" s="111" t="e">
        <f t="shared" si="933"/>
        <v>#REF!</v>
      </c>
      <c r="CZ180" s="111" t="e">
        <f t="shared" si="933"/>
        <v>#REF!</v>
      </c>
      <c r="DA180" s="111" t="e">
        <f t="shared" si="933"/>
        <v>#REF!</v>
      </c>
      <c r="DB180" s="111" t="e">
        <f t="shared" si="933"/>
        <v>#REF!</v>
      </c>
      <c r="DC180" s="111" t="e">
        <f t="shared" si="933"/>
        <v>#REF!</v>
      </c>
      <c r="DD180" s="111" t="e">
        <f t="shared" si="933"/>
        <v>#REF!</v>
      </c>
      <c r="DE180" s="111" t="e">
        <f t="shared" si="933"/>
        <v>#REF!</v>
      </c>
      <c r="DF180" s="111" t="e">
        <f t="shared" si="933"/>
        <v>#REF!</v>
      </c>
      <c r="DG180" s="111" t="e">
        <f t="shared" si="933"/>
        <v>#REF!</v>
      </c>
      <c r="DH180" s="111" t="e">
        <f t="shared" si="933"/>
        <v>#REF!</v>
      </c>
      <c r="DI180" s="111" t="e">
        <f t="shared" ref="DI180:DS180" si="934">TRUNC((DI29*DI172)/$B$179,3)</f>
        <v>#REF!</v>
      </c>
      <c r="DJ180" s="111" t="e">
        <f t="shared" si="934"/>
        <v>#REF!</v>
      </c>
      <c r="DK180" s="111" t="e">
        <f t="shared" si="934"/>
        <v>#REF!</v>
      </c>
      <c r="DL180" s="111" t="e">
        <f t="shared" si="934"/>
        <v>#REF!</v>
      </c>
      <c r="DM180" s="111" t="e">
        <f t="shared" si="934"/>
        <v>#REF!</v>
      </c>
      <c r="DN180" s="111" t="e">
        <f t="shared" si="934"/>
        <v>#REF!</v>
      </c>
      <c r="DO180" s="111" t="e">
        <f t="shared" si="934"/>
        <v>#REF!</v>
      </c>
      <c r="DP180" s="111" t="e">
        <f t="shared" si="934"/>
        <v>#REF!</v>
      </c>
      <c r="DQ180" s="111" t="e">
        <f t="shared" si="934"/>
        <v>#REF!</v>
      </c>
      <c r="DR180" s="111" t="e">
        <f t="shared" si="934"/>
        <v>#REF!</v>
      </c>
      <c r="DS180" s="111" t="e">
        <f t="shared" si="934"/>
        <v>#REF!</v>
      </c>
    </row>
    <row r="181" spans="1:123" hidden="1" x14ac:dyDescent="0.3">
      <c r="B181" s="104"/>
      <c r="H181" s="117"/>
      <c r="N181" s="117">
        <f t="shared" ref="N181:AL181" si="935">ROUND((N180-100)*0.2,3)</f>
        <v>6.9000000000000006E-2</v>
      </c>
      <c r="O181" s="117">
        <f t="shared" si="935"/>
        <v>387.947</v>
      </c>
      <c r="P181" s="117">
        <f t="shared" si="935"/>
        <v>758.25300000000004</v>
      </c>
      <c r="Q181" s="117">
        <f t="shared" si="935"/>
        <v>780.34</v>
      </c>
      <c r="R181" s="117">
        <f t="shared" si="935"/>
        <v>-20</v>
      </c>
      <c r="S181" s="117">
        <f t="shared" si="935"/>
        <v>-20</v>
      </c>
      <c r="T181" s="117">
        <f t="shared" si="935"/>
        <v>832.56899999999996</v>
      </c>
      <c r="U181" s="117"/>
      <c r="V181" s="117">
        <f t="shared" si="935"/>
        <v>-20</v>
      </c>
      <c r="W181" s="117">
        <f t="shared" si="935"/>
        <v>132.679</v>
      </c>
      <c r="X181" s="117">
        <f t="shared" si="935"/>
        <v>763.95500000000004</v>
      </c>
      <c r="Y181" s="117">
        <f t="shared" si="935"/>
        <v>860.77700000000004</v>
      </c>
      <c r="Z181" s="117"/>
      <c r="AA181" s="117">
        <f t="shared" si="935"/>
        <v>879.02800000000002</v>
      </c>
      <c r="AB181" s="117">
        <f t="shared" si="935"/>
        <v>-20</v>
      </c>
      <c r="AC181" s="117">
        <f t="shared" si="935"/>
        <v>885.99300000000005</v>
      </c>
      <c r="AD181" s="117">
        <f t="shared" ref="AD181" si="936">ROUND((AD180-100)*0.2,3)</f>
        <v>134.41200000000001</v>
      </c>
      <c r="AE181" s="117">
        <f t="shared" si="935"/>
        <v>873.35</v>
      </c>
      <c r="AF181" s="117">
        <f t="shared" si="935"/>
        <v>797.995</v>
      </c>
      <c r="AG181" s="117">
        <f t="shared" si="935"/>
        <v>890.44299999999998</v>
      </c>
      <c r="AH181" s="117">
        <f t="shared" si="935"/>
        <v>906.71799999999996</v>
      </c>
      <c r="AI181" s="117">
        <f t="shared" si="935"/>
        <v>919.66899999999998</v>
      </c>
      <c r="AJ181" s="117">
        <f t="shared" si="935"/>
        <v>922.56700000000001</v>
      </c>
      <c r="AK181" s="117">
        <f t="shared" si="935"/>
        <v>930.06100000000004</v>
      </c>
      <c r="AL181" s="117">
        <f t="shared" si="935"/>
        <v>929.495</v>
      </c>
      <c r="AO181" s="117">
        <f t="shared" ref="AO181:BL181" si="937">ROUND((AO180-100)*0.2,3)</f>
        <v>-20</v>
      </c>
      <c r="AP181" s="117">
        <f t="shared" si="937"/>
        <v>150.42699999999999</v>
      </c>
      <c r="AQ181" s="117">
        <f t="shared" ref="AQ181" si="938">ROUND((AQ180-100)*0.2,3)</f>
        <v>874.58100000000002</v>
      </c>
      <c r="AR181" s="117">
        <f t="shared" si="937"/>
        <v>972.30700000000002</v>
      </c>
      <c r="AS181" s="117">
        <f t="shared" si="937"/>
        <v>975.13</v>
      </c>
      <c r="AT181" s="117">
        <f t="shared" ref="AT181" si="939">ROUND((AT180-100)*0.2,3)</f>
        <v>970.19399999999996</v>
      </c>
      <c r="AU181" s="117">
        <f t="shared" si="937"/>
        <v>967.15499999999997</v>
      </c>
      <c r="AV181" s="117">
        <f t="shared" ref="AV181" si="940">ROUND((AV180-100)*0.2,3)</f>
        <v>964.78399999999999</v>
      </c>
      <c r="AW181" s="117">
        <f t="shared" si="937"/>
        <v>999.60900000000004</v>
      </c>
      <c r="AX181" s="117">
        <f t="shared" si="937"/>
        <v>1006.287</v>
      </c>
      <c r="AY181" s="117">
        <f t="shared" si="937"/>
        <v>1006.8920000000001</v>
      </c>
      <c r="AZ181" s="117">
        <f t="shared" si="937"/>
        <v>1008.25</v>
      </c>
      <c r="BA181" s="117">
        <f t="shared" si="937"/>
        <v>1012.918</v>
      </c>
      <c r="BB181" s="117">
        <f t="shared" si="937"/>
        <v>1014.8819999999999</v>
      </c>
      <c r="BC181" s="117">
        <f t="shared" si="937"/>
        <v>1010.873</v>
      </c>
      <c r="BD181" s="117">
        <f t="shared" ref="BD181" si="941">ROUND((BD180-100)*0.2,3)</f>
        <v>1014.922</v>
      </c>
      <c r="BE181" s="117" t="e">
        <f t="shared" si="937"/>
        <v>#REF!</v>
      </c>
      <c r="BF181" s="117" t="e">
        <f t="shared" si="937"/>
        <v>#REF!</v>
      </c>
      <c r="BG181" s="117" t="e">
        <f t="shared" si="937"/>
        <v>#REF!</v>
      </c>
      <c r="BH181" s="117" t="e">
        <f t="shared" si="937"/>
        <v>#REF!</v>
      </c>
      <c r="BI181" s="117" t="e">
        <f t="shared" si="937"/>
        <v>#REF!</v>
      </c>
      <c r="BJ181" s="117" t="e">
        <f t="shared" si="937"/>
        <v>#REF!</v>
      </c>
      <c r="BK181" s="117" t="e">
        <f t="shared" si="937"/>
        <v>#REF!</v>
      </c>
      <c r="BL181" s="117" t="e">
        <f t="shared" si="937"/>
        <v>#REF!</v>
      </c>
      <c r="BM181" s="117" t="e">
        <f t="shared" ref="BM181:CR181" si="942">ROUND((BM180-100)*0.2,3)</f>
        <v>#REF!</v>
      </c>
      <c r="BN181" s="117" t="e">
        <f t="shared" si="942"/>
        <v>#REF!</v>
      </c>
      <c r="BO181" s="117" t="e">
        <f t="shared" si="942"/>
        <v>#REF!</v>
      </c>
      <c r="BP181" s="117" t="e">
        <f t="shared" si="942"/>
        <v>#REF!</v>
      </c>
      <c r="BQ181" s="117" t="e">
        <f t="shared" si="942"/>
        <v>#REF!</v>
      </c>
      <c r="BR181" s="117" t="e">
        <f t="shared" si="942"/>
        <v>#REF!</v>
      </c>
      <c r="BS181" s="117" t="e">
        <f t="shared" si="942"/>
        <v>#REF!</v>
      </c>
      <c r="BT181" s="117" t="e">
        <f t="shared" si="942"/>
        <v>#REF!</v>
      </c>
      <c r="BU181" s="117" t="e">
        <f t="shared" si="942"/>
        <v>#REF!</v>
      </c>
      <c r="BV181" s="117" t="e">
        <f t="shared" si="942"/>
        <v>#REF!</v>
      </c>
      <c r="BW181" s="117" t="e">
        <f t="shared" si="942"/>
        <v>#REF!</v>
      </c>
      <c r="BX181" s="117" t="e">
        <f t="shared" si="942"/>
        <v>#REF!</v>
      </c>
      <c r="BY181" s="117" t="e">
        <f t="shared" si="942"/>
        <v>#REF!</v>
      </c>
      <c r="BZ181" s="117" t="e">
        <f t="shared" si="942"/>
        <v>#REF!</v>
      </c>
      <c r="CA181" s="117" t="e">
        <f t="shared" si="942"/>
        <v>#REF!</v>
      </c>
      <c r="CB181" s="117" t="e">
        <f t="shared" si="942"/>
        <v>#REF!</v>
      </c>
      <c r="CC181" s="117" t="e">
        <f t="shared" si="942"/>
        <v>#REF!</v>
      </c>
      <c r="CD181" s="117" t="e">
        <f t="shared" si="942"/>
        <v>#REF!</v>
      </c>
      <c r="CE181" s="117" t="e">
        <f t="shared" si="942"/>
        <v>#REF!</v>
      </c>
      <c r="CF181" s="117" t="e">
        <f t="shared" si="942"/>
        <v>#REF!</v>
      </c>
      <c r="CG181" s="117" t="e">
        <f t="shared" si="942"/>
        <v>#REF!</v>
      </c>
      <c r="CH181" s="117" t="e">
        <f t="shared" si="942"/>
        <v>#REF!</v>
      </c>
      <c r="CI181" s="117" t="e">
        <f t="shared" si="942"/>
        <v>#REF!</v>
      </c>
      <c r="CJ181" s="117" t="e">
        <f t="shared" si="942"/>
        <v>#REF!</v>
      </c>
      <c r="CK181" s="117" t="e">
        <f t="shared" si="942"/>
        <v>#REF!</v>
      </c>
      <c r="CL181" s="117" t="e">
        <f t="shared" si="942"/>
        <v>#REF!</v>
      </c>
      <c r="CM181" s="117" t="e">
        <f t="shared" si="942"/>
        <v>#REF!</v>
      </c>
      <c r="CN181" s="117" t="e">
        <f t="shared" si="942"/>
        <v>#REF!</v>
      </c>
      <c r="CO181" s="117" t="e">
        <f t="shared" si="942"/>
        <v>#REF!</v>
      </c>
      <c r="CP181" s="117" t="e">
        <f t="shared" si="942"/>
        <v>#REF!</v>
      </c>
      <c r="CQ181" s="117" t="e">
        <f t="shared" si="942"/>
        <v>#REF!</v>
      </c>
      <c r="CR181" s="117" t="e">
        <f t="shared" si="942"/>
        <v>#REF!</v>
      </c>
      <c r="CS181" s="117" t="e">
        <f t="shared" ref="CS181:DS181" si="943">ROUND((CS180-100)*0.2,3)</f>
        <v>#REF!</v>
      </c>
      <c r="CT181" s="117" t="e">
        <f t="shared" si="943"/>
        <v>#REF!</v>
      </c>
      <c r="CU181" s="117" t="e">
        <f t="shared" si="943"/>
        <v>#REF!</v>
      </c>
      <c r="CV181" s="117" t="e">
        <f t="shared" si="943"/>
        <v>#REF!</v>
      </c>
      <c r="CW181" s="117" t="e">
        <f t="shared" si="943"/>
        <v>#REF!</v>
      </c>
      <c r="CX181" s="117" t="e">
        <f t="shared" si="943"/>
        <v>#REF!</v>
      </c>
      <c r="CY181" s="117" t="e">
        <f t="shared" si="943"/>
        <v>#REF!</v>
      </c>
      <c r="CZ181" s="117" t="e">
        <f t="shared" si="943"/>
        <v>#REF!</v>
      </c>
      <c r="DA181" s="117" t="e">
        <f t="shared" si="943"/>
        <v>#REF!</v>
      </c>
      <c r="DB181" s="117" t="e">
        <f t="shared" si="943"/>
        <v>#REF!</v>
      </c>
      <c r="DC181" s="117" t="e">
        <f t="shared" si="943"/>
        <v>#REF!</v>
      </c>
      <c r="DD181" s="117" t="e">
        <f t="shared" si="943"/>
        <v>#REF!</v>
      </c>
      <c r="DE181" s="117" t="e">
        <f t="shared" si="943"/>
        <v>#REF!</v>
      </c>
      <c r="DF181" s="117" t="e">
        <f t="shared" si="943"/>
        <v>#REF!</v>
      </c>
      <c r="DG181" s="117" t="e">
        <f t="shared" si="943"/>
        <v>#REF!</v>
      </c>
      <c r="DH181" s="117" t="e">
        <f t="shared" si="943"/>
        <v>#REF!</v>
      </c>
      <c r="DI181" s="117" t="e">
        <f t="shared" si="943"/>
        <v>#REF!</v>
      </c>
      <c r="DJ181" s="117" t="e">
        <f t="shared" si="943"/>
        <v>#REF!</v>
      </c>
      <c r="DK181" s="117" t="e">
        <f t="shared" si="943"/>
        <v>#REF!</v>
      </c>
      <c r="DL181" s="117" t="e">
        <f t="shared" si="943"/>
        <v>#REF!</v>
      </c>
      <c r="DM181" s="117" t="e">
        <f t="shared" si="943"/>
        <v>#REF!</v>
      </c>
      <c r="DN181" s="117" t="e">
        <f t="shared" si="943"/>
        <v>#REF!</v>
      </c>
      <c r="DO181" s="117" t="e">
        <f t="shared" si="943"/>
        <v>#REF!</v>
      </c>
      <c r="DP181" s="117" t="e">
        <f t="shared" si="943"/>
        <v>#REF!</v>
      </c>
      <c r="DQ181" s="117" t="e">
        <f t="shared" si="943"/>
        <v>#REF!</v>
      </c>
      <c r="DR181" s="117" t="e">
        <f t="shared" si="943"/>
        <v>#REF!</v>
      </c>
      <c r="DS181" s="117" t="e">
        <f t="shared" si="943"/>
        <v>#REF!</v>
      </c>
    </row>
    <row r="182" spans="1:123" s="98" customFormat="1" hidden="1" x14ac:dyDescent="0.3">
      <c r="B182" s="121"/>
      <c r="C182" s="115"/>
      <c r="D182" s="115"/>
      <c r="E182" s="115"/>
      <c r="H182" s="125"/>
      <c r="N182" s="125">
        <f t="shared" ref="N182:AL182" si="944">N180-N181</f>
        <v>100.274</v>
      </c>
      <c r="O182" s="125">
        <f t="shared" si="944"/>
        <v>1651.7890000000002</v>
      </c>
      <c r="P182" s="125">
        <f t="shared" si="944"/>
        <v>3133.011</v>
      </c>
      <c r="Q182" s="125">
        <f t="shared" si="944"/>
        <v>3221.3609999999999</v>
      </c>
      <c r="R182" s="125">
        <f t="shared" si="944"/>
        <v>20</v>
      </c>
      <c r="S182" s="125">
        <f t="shared" si="944"/>
        <v>20</v>
      </c>
      <c r="T182" s="125">
        <f t="shared" si="944"/>
        <v>3430.2769999999996</v>
      </c>
      <c r="U182" s="125"/>
      <c r="V182" s="125">
        <f t="shared" si="944"/>
        <v>20</v>
      </c>
      <c r="W182" s="125">
        <f t="shared" si="944"/>
        <v>630.71800000000007</v>
      </c>
      <c r="X182" s="125">
        <f t="shared" si="944"/>
        <v>3155.8180000000002</v>
      </c>
      <c r="Y182" s="125">
        <f t="shared" si="944"/>
        <v>3543.1099999999997</v>
      </c>
      <c r="Z182" s="125"/>
      <c r="AA182" s="125">
        <f t="shared" si="944"/>
        <v>3616.1099999999997</v>
      </c>
      <c r="AB182" s="125">
        <f t="shared" si="944"/>
        <v>20</v>
      </c>
      <c r="AC182" s="125">
        <f t="shared" si="944"/>
        <v>3643.97</v>
      </c>
      <c r="AD182" s="125">
        <f t="shared" ref="AD182" si="945">AD180-AD181</f>
        <v>637.64599999999996</v>
      </c>
      <c r="AE182" s="125">
        <f t="shared" si="944"/>
        <v>3593.3979999999997</v>
      </c>
      <c r="AF182" s="125">
        <f t="shared" si="944"/>
        <v>3291.9790000000003</v>
      </c>
      <c r="AG182" s="125">
        <f t="shared" si="944"/>
        <v>3661.7699999999995</v>
      </c>
      <c r="AH182" s="125">
        <f t="shared" si="944"/>
        <v>3726.8739999999998</v>
      </c>
      <c r="AI182" s="125">
        <f t="shared" si="944"/>
        <v>3778.6769999999997</v>
      </c>
      <c r="AJ182" s="125">
        <f t="shared" si="944"/>
        <v>3790.268</v>
      </c>
      <c r="AK182" s="125">
        <f t="shared" si="944"/>
        <v>3820.2459999999996</v>
      </c>
      <c r="AL182" s="125">
        <f t="shared" si="944"/>
        <v>3817.9800000000005</v>
      </c>
      <c r="AM182" s="118" t="e">
        <f t="shared" ref="AM182:AN182" si="946">AL194/(AL170+AL194)</f>
        <v>#DIV/0!</v>
      </c>
      <c r="AN182" s="118" t="e">
        <f t="shared" si="946"/>
        <v>#DIV/0!</v>
      </c>
      <c r="AO182" s="125">
        <f t="shared" ref="AO182:BL182" si="947">AO180-AO181</f>
        <v>20</v>
      </c>
      <c r="AP182" s="125">
        <f t="shared" si="947"/>
        <v>701.70999999999992</v>
      </c>
      <c r="AQ182" s="125">
        <f t="shared" ref="AQ182" si="948">AQ180-AQ181</f>
        <v>3598.3239999999996</v>
      </c>
      <c r="AR182" s="125">
        <f t="shared" si="947"/>
        <v>3989.2300000000005</v>
      </c>
      <c r="AS182" s="125">
        <f t="shared" si="947"/>
        <v>4000.5199999999995</v>
      </c>
      <c r="AT182" s="125">
        <f t="shared" ref="AT182" si="949">AT180-AT181</f>
        <v>3980.7779999999998</v>
      </c>
      <c r="AU182" s="125">
        <f t="shared" si="947"/>
        <v>3968.6210000000001</v>
      </c>
      <c r="AV182" s="125">
        <f t="shared" ref="AV182" si="950">AV180-AV181</f>
        <v>3959.136</v>
      </c>
      <c r="AW182" s="125">
        <f t="shared" si="947"/>
        <v>4098.4379999999992</v>
      </c>
      <c r="AX182" s="125">
        <f t="shared" si="947"/>
        <v>4125.1469999999999</v>
      </c>
      <c r="AY182" s="125">
        <f t="shared" si="947"/>
        <v>4127.5680000000002</v>
      </c>
      <c r="AZ182" s="125">
        <f t="shared" si="947"/>
        <v>4133.0010000000002</v>
      </c>
      <c r="BA182" s="125">
        <f t="shared" si="947"/>
        <v>4151.674</v>
      </c>
      <c r="BB182" s="125">
        <f t="shared" si="947"/>
        <v>4159.5300000000007</v>
      </c>
      <c r="BC182" s="125">
        <f t="shared" si="947"/>
        <v>4143.4920000000002</v>
      </c>
      <c r="BD182" s="125">
        <f t="shared" ref="BD182" si="951">BD180-BD181</f>
        <v>4159.6869999999999</v>
      </c>
      <c r="BE182" s="125" t="e">
        <f t="shared" si="947"/>
        <v>#REF!</v>
      </c>
      <c r="BF182" s="125" t="e">
        <f t="shared" si="947"/>
        <v>#REF!</v>
      </c>
      <c r="BG182" s="125" t="e">
        <f t="shared" si="947"/>
        <v>#REF!</v>
      </c>
      <c r="BH182" s="125" t="e">
        <f t="shared" si="947"/>
        <v>#REF!</v>
      </c>
      <c r="BI182" s="125" t="e">
        <f t="shared" si="947"/>
        <v>#REF!</v>
      </c>
      <c r="BJ182" s="125" t="e">
        <f t="shared" si="947"/>
        <v>#REF!</v>
      </c>
      <c r="BK182" s="125" t="e">
        <f t="shared" si="947"/>
        <v>#REF!</v>
      </c>
      <c r="BL182" s="125" t="e">
        <f t="shared" si="947"/>
        <v>#REF!</v>
      </c>
      <c r="BM182" s="125" t="e">
        <f t="shared" ref="BM182:CR182" si="952">BM180-BM181</f>
        <v>#REF!</v>
      </c>
      <c r="BN182" s="125" t="e">
        <f t="shared" si="952"/>
        <v>#REF!</v>
      </c>
      <c r="BO182" s="125" t="e">
        <f t="shared" si="952"/>
        <v>#REF!</v>
      </c>
      <c r="BP182" s="125" t="e">
        <f t="shared" si="952"/>
        <v>#REF!</v>
      </c>
      <c r="BQ182" s="125" t="e">
        <f t="shared" si="952"/>
        <v>#REF!</v>
      </c>
      <c r="BR182" s="125" t="e">
        <f t="shared" si="952"/>
        <v>#REF!</v>
      </c>
      <c r="BS182" s="125" t="e">
        <f t="shared" si="952"/>
        <v>#REF!</v>
      </c>
      <c r="BT182" s="125" t="e">
        <f t="shared" si="952"/>
        <v>#REF!</v>
      </c>
      <c r="BU182" s="125" t="e">
        <f t="shared" si="952"/>
        <v>#REF!</v>
      </c>
      <c r="BV182" s="125" t="e">
        <f t="shared" si="952"/>
        <v>#REF!</v>
      </c>
      <c r="BW182" s="125" t="e">
        <f t="shared" si="952"/>
        <v>#REF!</v>
      </c>
      <c r="BX182" s="125" t="e">
        <f t="shared" si="952"/>
        <v>#REF!</v>
      </c>
      <c r="BY182" s="125" t="e">
        <f t="shared" si="952"/>
        <v>#REF!</v>
      </c>
      <c r="BZ182" s="125" t="e">
        <f t="shared" si="952"/>
        <v>#REF!</v>
      </c>
      <c r="CA182" s="125" t="e">
        <f t="shared" si="952"/>
        <v>#REF!</v>
      </c>
      <c r="CB182" s="125" t="e">
        <f t="shared" si="952"/>
        <v>#REF!</v>
      </c>
      <c r="CC182" s="125" t="e">
        <f t="shared" si="952"/>
        <v>#REF!</v>
      </c>
      <c r="CD182" s="125" t="e">
        <f t="shared" si="952"/>
        <v>#REF!</v>
      </c>
      <c r="CE182" s="125" t="e">
        <f t="shared" si="952"/>
        <v>#REF!</v>
      </c>
      <c r="CF182" s="125" t="e">
        <f t="shared" si="952"/>
        <v>#REF!</v>
      </c>
      <c r="CG182" s="125" t="e">
        <f t="shared" si="952"/>
        <v>#REF!</v>
      </c>
      <c r="CH182" s="125" t="e">
        <f t="shared" si="952"/>
        <v>#REF!</v>
      </c>
      <c r="CI182" s="125" t="e">
        <f t="shared" si="952"/>
        <v>#REF!</v>
      </c>
      <c r="CJ182" s="125" t="e">
        <f t="shared" si="952"/>
        <v>#REF!</v>
      </c>
      <c r="CK182" s="125" t="e">
        <f t="shared" si="952"/>
        <v>#REF!</v>
      </c>
      <c r="CL182" s="125" t="e">
        <f t="shared" si="952"/>
        <v>#REF!</v>
      </c>
      <c r="CM182" s="125" t="e">
        <f t="shared" si="952"/>
        <v>#REF!</v>
      </c>
      <c r="CN182" s="125" t="e">
        <f t="shared" si="952"/>
        <v>#REF!</v>
      </c>
      <c r="CO182" s="125" t="e">
        <f t="shared" si="952"/>
        <v>#REF!</v>
      </c>
      <c r="CP182" s="125" t="e">
        <f t="shared" si="952"/>
        <v>#REF!</v>
      </c>
      <c r="CQ182" s="125" t="e">
        <f t="shared" si="952"/>
        <v>#REF!</v>
      </c>
      <c r="CR182" s="125" t="e">
        <f t="shared" si="952"/>
        <v>#REF!</v>
      </c>
      <c r="CS182" s="125" t="e">
        <f t="shared" ref="CS182:DS182" si="953">CS180-CS181</f>
        <v>#REF!</v>
      </c>
      <c r="CT182" s="125" t="e">
        <f t="shared" si="953"/>
        <v>#REF!</v>
      </c>
      <c r="CU182" s="125" t="e">
        <f t="shared" si="953"/>
        <v>#REF!</v>
      </c>
      <c r="CV182" s="125" t="e">
        <f t="shared" si="953"/>
        <v>#REF!</v>
      </c>
      <c r="CW182" s="125" t="e">
        <f t="shared" si="953"/>
        <v>#REF!</v>
      </c>
      <c r="CX182" s="125" t="e">
        <f t="shared" si="953"/>
        <v>#REF!</v>
      </c>
      <c r="CY182" s="125" t="e">
        <f t="shared" si="953"/>
        <v>#REF!</v>
      </c>
      <c r="CZ182" s="125" t="e">
        <f t="shared" si="953"/>
        <v>#REF!</v>
      </c>
      <c r="DA182" s="125" t="e">
        <f t="shared" si="953"/>
        <v>#REF!</v>
      </c>
      <c r="DB182" s="125" t="e">
        <f t="shared" si="953"/>
        <v>#REF!</v>
      </c>
      <c r="DC182" s="125" t="e">
        <f t="shared" si="953"/>
        <v>#REF!</v>
      </c>
      <c r="DD182" s="125" t="e">
        <f t="shared" si="953"/>
        <v>#REF!</v>
      </c>
      <c r="DE182" s="125" t="e">
        <f t="shared" si="953"/>
        <v>#REF!</v>
      </c>
      <c r="DF182" s="125" t="e">
        <f t="shared" si="953"/>
        <v>#REF!</v>
      </c>
      <c r="DG182" s="125" t="e">
        <f t="shared" si="953"/>
        <v>#REF!</v>
      </c>
      <c r="DH182" s="125" t="e">
        <f t="shared" si="953"/>
        <v>#REF!</v>
      </c>
      <c r="DI182" s="125" t="e">
        <f t="shared" si="953"/>
        <v>#REF!</v>
      </c>
      <c r="DJ182" s="125" t="e">
        <f t="shared" si="953"/>
        <v>#REF!</v>
      </c>
      <c r="DK182" s="125" t="e">
        <f t="shared" si="953"/>
        <v>#REF!</v>
      </c>
      <c r="DL182" s="125" t="e">
        <f t="shared" si="953"/>
        <v>#REF!</v>
      </c>
      <c r="DM182" s="125" t="e">
        <f t="shared" si="953"/>
        <v>#REF!</v>
      </c>
      <c r="DN182" s="125" t="e">
        <f t="shared" si="953"/>
        <v>#REF!</v>
      </c>
      <c r="DO182" s="125" t="e">
        <f t="shared" si="953"/>
        <v>#REF!</v>
      </c>
      <c r="DP182" s="125" t="e">
        <f t="shared" si="953"/>
        <v>#REF!</v>
      </c>
      <c r="DQ182" s="125" t="e">
        <f t="shared" si="953"/>
        <v>#REF!</v>
      </c>
      <c r="DR182" s="125" t="e">
        <f t="shared" si="953"/>
        <v>#REF!</v>
      </c>
      <c r="DS182" s="125" t="e">
        <f t="shared" si="953"/>
        <v>#REF!</v>
      </c>
    </row>
    <row r="183" spans="1:123" s="98" customFormat="1" hidden="1" x14ac:dyDescent="0.3">
      <c r="B183" s="121"/>
      <c r="C183" s="115"/>
      <c r="D183" s="115"/>
      <c r="E183" s="115"/>
      <c r="H183" s="125"/>
      <c r="N183" s="125">
        <f>(N179-150000)*20%</f>
        <v>102.94889767625136</v>
      </c>
      <c r="O183" s="125">
        <f>(O179-150000)*20%</f>
        <v>581920.88309983606</v>
      </c>
      <c r="P183" s="125">
        <f>(P179-150000)*20%</f>
        <v>1137379.4657693976</v>
      </c>
      <c r="Q183" s="125">
        <f>(Q179-150000)*20%</f>
        <v>1170510.466145545</v>
      </c>
      <c r="R183" s="125">
        <f>(R179-150000)*20%</f>
        <v>-30000</v>
      </c>
      <c r="S183" s="125">
        <f t="shared" ref="S183:Y183" si="954">(S179-150000)*20%</f>
        <v>-30000</v>
      </c>
      <c r="T183" s="125">
        <f t="shared" si="954"/>
        <v>1248853.8684973696</v>
      </c>
      <c r="U183" s="125"/>
      <c r="V183" s="125">
        <f t="shared" si="954"/>
        <v>-30000</v>
      </c>
      <c r="W183" s="125">
        <f t="shared" si="954"/>
        <v>199019.39267262199</v>
      </c>
      <c r="X183" s="125">
        <f t="shared" si="954"/>
        <v>1145932.1859151756</v>
      </c>
      <c r="Y183" s="125">
        <f t="shared" si="954"/>
        <v>1291166.168260928</v>
      </c>
      <c r="Z183" s="125"/>
      <c r="AA183" s="125">
        <f t="shared" ref="AA183:AC183" si="955">(AA179-150000)*20%</f>
        <v>1318541.6116994568</v>
      </c>
      <c r="AB183" s="125">
        <f t="shared" si="955"/>
        <v>-30000</v>
      </c>
      <c r="AC183" s="125">
        <f t="shared" si="955"/>
        <v>1328988.9320146772</v>
      </c>
      <c r="AD183" s="125">
        <f t="shared" ref="AD183" si="956">(AD179-150000)*20%</f>
        <v>201617.62369710344</v>
      </c>
      <c r="AE183" s="125">
        <f t="shared" ref="AE183:CD183" si="957">(AE179-150000)*20%</f>
        <v>1310024.5595574907</v>
      </c>
      <c r="AF183" s="125">
        <f t="shared" si="957"/>
        <v>1196992.4136958423</v>
      </c>
      <c r="AG183" s="125">
        <f t="shared" si="957"/>
        <v>1335663.9956090555</v>
      </c>
      <c r="AH183" s="125">
        <f t="shared" si="957"/>
        <v>1360077.6540990574</v>
      </c>
      <c r="AI183" s="125">
        <f t="shared" si="957"/>
        <v>1379503.9823488486</v>
      </c>
      <c r="AJ183" s="125">
        <f t="shared" si="957"/>
        <v>1383850.7031441936</v>
      </c>
      <c r="AK183" s="125">
        <f t="shared" si="957"/>
        <v>1395092.2248852639</v>
      </c>
      <c r="AL183" s="125">
        <f t="shared" si="957"/>
        <v>1394242.779570359</v>
      </c>
      <c r="AM183" s="134">
        <f>+AM45+AM170+AM56+AM66+AM76+AM158+AM86+AM96</f>
        <v>7144845.9239943977</v>
      </c>
      <c r="AN183" s="134">
        <f>+AN45+AN170+AN56+AN66+AN76+AN158+AN86+AN96</f>
        <v>7181703.8135926258</v>
      </c>
      <c r="AO183" s="125">
        <f t="shared" si="957"/>
        <v>-30000</v>
      </c>
      <c r="AP183" s="125">
        <f t="shared" si="957"/>
        <v>225641.31058044932</v>
      </c>
      <c r="AQ183" s="125">
        <f t="shared" ref="AQ183" si="958">(AQ179-150000)*20%</f>
        <v>1311871.5034979656</v>
      </c>
      <c r="AR183" s="125">
        <f t="shared" si="957"/>
        <v>1458461.1740210473</v>
      </c>
      <c r="AS183" s="125">
        <f t="shared" si="957"/>
        <v>1462695.1192795364</v>
      </c>
      <c r="AT183" s="125">
        <f t="shared" ref="AT183" si="959">(AT179-150000)*20%</f>
        <v>1455291.6462834948</v>
      </c>
      <c r="AU183" s="125">
        <f t="shared" si="957"/>
        <v>1450733.0368567447</v>
      </c>
      <c r="AV183" s="125">
        <f t="shared" ref="AV183" si="960">(AV179-150000)*20%</f>
        <v>1447176.2600011041</v>
      </c>
      <c r="AW183" s="125">
        <f t="shared" si="957"/>
        <v>1499414.1229419094</v>
      </c>
      <c r="AX183" s="125">
        <f t="shared" si="957"/>
        <v>1509430.330168332</v>
      </c>
      <c r="AY183" s="125">
        <f t="shared" si="957"/>
        <v>1510338.0080301827</v>
      </c>
      <c r="AZ183" s="125">
        <f t="shared" si="957"/>
        <v>1512375.5638688845</v>
      </c>
      <c r="BA183" s="125">
        <f t="shared" si="957"/>
        <v>1519377.6420534754</v>
      </c>
      <c r="BB183" s="125">
        <f t="shared" si="957"/>
        <v>1522323.6208554313</v>
      </c>
      <c r="BC183" s="125">
        <f t="shared" si="957"/>
        <v>1516309.5294431839</v>
      </c>
      <c r="BD183" s="125">
        <f t="shared" ref="BD183" si="961">(BD179-150000)*20%</f>
        <v>1522382.9414467777</v>
      </c>
      <c r="BE183" s="125" t="e">
        <f t="shared" si="957"/>
        <v>#REF!</v>
      </c>
      <c r="BF183" s="125" t="e">
        <f t="shared" si="957"/>
        <v>#REF!</v>
      </c>
      <c r="BG183" s="125" t="e">
        <f t="shared" si="957"/>
        <v>#REF!</v>
      </c>
      <c r="BH183" s="125" t="e">
        <f t="shared" si="957"/>
        <v>#REF!</v>
      </c>
      <c r="BI183" s="125" t="e">
        <f t="shared" si="957"/>
        <v>#REF!</v>
      </c>
      <c r="BJ183" s="125" t="e">
        <f t="shared" si="957"/>
        <v>#REF!</v>
      </c>
      <c r="BK183" s="125" t="e">
        <f t="shared" si="957"/>
        <v>#REF!</v>
      </c>
      <c r="BL183" s="125" t="e">
        <f t="shared" si="957"/>
        <v>#REF!</v>
      </c>
      <c r="BM183" s="125" t="e">
        <f t="shared" si="957"/>
        <v>#REF!</v>
      </c>
      <c r="BN183" s="125" t="e">
        <f t="shared" si="957"/>
        <v>#REF!</v>
      </c>
      <c r="BO183" s="125" t="e">
        <f t="shared" si="957"/>
        <v>#REF!</v>
      </c>
      <c r="BP183" s="125" t="e">
        <f t="shared" si="957"/>
        <v>#REF!</v>
      </c>
      <c r="BQ183" s="125" t="e">
        <f t="shared" si="957"/>
        <v>#REF!</v>
      </c>
      <c r="BR183" s="125" t="e">
        <f t="shared" si="957"/>
        <v>#REF!</v>
      </c>
      <c r="BS183" s="125" t="e">
        <f t="shared" si="957"/>
        <v>#REF!</v>
      </c>
      <c r="BT183" s="125" t="e">
        <f t="shared" si="957"/>
        <v>#REF!</v>
      </c>
      <c r="BU183" s="125" t="e">
        <f t="shared" si="957"/>
        <v>#REF!</v>
      </c>
      <c r="BV183" s="125" t="e">
        <f t="shared" si="957"/>
        <v>#REF!</v>
      </c>
      <c r="BW183" s="125" t="e">
        <f t="shared" si="957"/>
        <v>#REF!</v>
      </c>
      <c r="BX183" s="125" t="e">
        <f t="shared" si="957"/>
        <v>#REF!</v>
      </c>
      <c r="BY183" s="125" t="e">
        <f t="shared" si="957"/>
        <v>#REF!</v>
      </c>
      <c r="BZ183" s="125" t="e">
        <f t="shared" si="957"/>
        <v>#REF!</v>
      </c>
      <c r="CA183" s="125" t="e">
        <f t="shared" si="957"/>
        <v>#REF!</v>
      </c>
      <c r="CB183" s="125" t="e">
        <f t="shared" si="957"/>
        <v>#REF!</v>
      </c>
      <c r="CC183" s="125" t="e">
        <f t="shared" si="957"/>
        <v>#REF!</v>
      </c>
      <c r="CD183" s="125" t="e">
        <f t="shared" si="957"/>
        <v>#REF!</v>
      </c>
      <c r="CE183" s="125" t="e">
        <f t="shared" ref="CE183:DS183" si="962">(CE179-150000)*20%</f>
        <v>#REF!</v>
      </c>
      <c r="CF183" s="125" t="e">
        <f t="shared" si="962"/>
        <v>#REF!</v>
      </c>
      <c r="CG183" s="125" t="e">
        <f t="shared" si="962"/>
        <v>#REF!</v>
      </c>
      <c r="CH183" s="125" t="e">
        <f t="shared" si="962"/>
        <v>#REF!</v>
      </c>
      <c r="CI183" s="125" t="e">
        <f t="shared" si="962"/>
        <v>#REF!</v>
      </c>
      <c r="CJ183" s="125" t="e">
        <f t="shared" si="962"/>
        <v>#REF!</v>
      </c>
      <c r="CK183" s="125" t="e">
        <f t="shared" si="962"/>
        <v>#REF!</v>
      </c>
      <c r="CL183" s="125" t="e">
        <f t="shared" si="962"/>
        <v>#REF!</v>
      </c>
      <c r="CM183" s="125" t="e">
        <f t="shared" si="962"/>
        <v>#REF!</v>
      </c>
      <c r="CN183" s="125" t="e">
        <f t="shared" si="962"/>
        <v>#REF!</v>
      </c>
      <c r="CO183" s="125" t="e">
        <f t="shared" si="962"/>
        <v>#REF!</v>
      </c>
      <c r="CP183" s="125" t="e">
        <f t="shared" si="962"/>
        <v>#REF!</v>
      </c>
      <c r="CQ183" s="125" t="e">
        <f t="shared" si="962"/>
        <v>#REF!</v>
      </c>
      <c r="CR183" s="125" t="e">
        <f t="shared" si="962"/>
        <v>#REF!</v>
      </c>
      <c r="CS183" s="125" t="e">
        <f t="shared" si="962"/>
        <v>#REF!</v>
      </c>
      <c r="CT183" s="125" t="e">
        <f t="shared" si="962"/>
        <v>#REF!</v>
      </c>
      <c r="CU183" s="125" t="e">
        <f t="shared" si="962"/>
        <v>#REF!</v>
      </c>
      <c r="CV183" s="125" t="e">
        <f t="shared" si="962"/>
        <v>#REF!</v>
      </c>
      <c r="CW183" s="125" t="e">
        <f t="shared" si="962"/>
        <v>#REF!</v>
      </c>
      <c r="CX183" s="125" t="e">
        <f t="shared" si="962"/>
        <v>#REF!</v>
      </c>
      <c r="CY183" s="125" t="e">
        <f t="shared" si="962"/>
        <v>#REF!</v>
      </c>
      <c r="CZ183" s="125" t="e">
        <f t="shared" si="962"/>
        <v>#REF!</v>
      </c>
      <c r="DA183" s="125" t="e">
        <f t="shared" si="962"/>
        <v>#REF!</v>
      </c>
      <c r="DB183" s="125" t="e">
        <f t="shared" si="962"/>
        <v>#REF!</v>
      </c>
      <c r="DC183" s="125" t="e">
        <f t="shared" si="962"/>
        <v>#REF!</v>
      </c>
      <c r="DD183" s="125" t="e">
        <f t="shared" si="962"/>
        <v>#REF!</v>
      </c>
      <c r="DE183" s="125" t="e">
        <f t="shared" si="962"/>
        <v>#REF!</v>
      </c>
      <c r="DF183" s="125" t="e">
        <f t="shared" si="962"/>
        <v>#REF!</v>
      </c>
      <c r="DG183" s="125" t="e">
        <f t="shared" si="962"/>
        <v>#REF!</v>
      </c>
      <c r="DH183" s="125" t="e">
        <f t="shared" si="962"/>
        <v>#REF!</v>
      </c>
      <c r="DI183" s="125" t="e">
        <f t="shared" si="962"/>
        <v>#REF!</v>
      </c>
      <c r="DJ183" s="125" t="e">
        <f t="shared" si="962"/>
        <v>#REF!</v>
      </c>
      <c r="DK183" s="125" t="e">
        <f t="shared" si="962"/>
        <v>#REF!</v>
      </c>
      <c r="DL183" s="125" t="e">
        <f t="shared" si="962"/>
        <v>#REF!</v>
      </c>
      <c r="DM183" s="125" t="e">
        <f t="shared" si="962"/>
        <v>#REF!</v>
      </c>
      <c r="DN183" s="125" t="e">
        <f t="shared" si="962"/>
        <v>#REF!</v>
      </c>
      <c r="DO183" s="125" t="e">
        <f t="shared" si="962"/>
        <v>#REF!</v>
      </c>
      <c r="DP183" s="125" t="e">
        <f t="shared" si="962"/>
        <v>#REF!</v>
      </c>
      <c r="DQ183" s="125" t="e">
        <f t="shared" si="962"/>
        <v>#REF!</v>
      </c>
      <c r="DR183" s="125" t="e">
        <f t="shared" si="962"/>
        <v>#REF!</v>
      </c>
      <c r="DS183" s="125" t="e">
        <f t="shared" si="962"/>
        <v>#REF!</v>
      </c>
    </row>
    <row r="184" spans="1:123" s="98" customFormat="1" hidden="1" x14ac:dyDescent="0.3">
      <c r="B184" s="121"/>
      <c r="C184" s="115"/>
      <c r="D184" s="115"/>
      <c r="E184" s="115"/>
      <c r="H184" s="125"/>
      <c r="N184" s="125">
        <f t="shared" ref="N184:AL184" si="963">N179-N183</f>
        <v>150411.79559070501</v>
      </c>
      <c r="O184" s="125">
        <f t="shared" si="963"/>
        <v>2477683.5323993443</v>
      </c>
      <c r="P184" s="125">
        <f t="shared" si="963"/>
        <v>4699517.8630775902</v>
      </c>
      <c r="Q184" s="125">
        <f t="shared" si="963"/>
        <v>4832041.8645821791</v>
      </c>
      <c r="R184" s="125">
        <f t="shared" si="963"/>
        <v>30000</v>
      </c>
      <c r="S184" s="125">
        <f t="shared" si="963"/>
        <v>30000</v>
      </c>
      <c r="T184" s="125">
        <f t="shared" si="963"/>
        <v>5145415.4739894774</v>
      </c>
      <c r="U184" s="125"/>
      <c r="V184" s="125">
        <f t="shared" si="963"/>
        <v>30000</v>
      </c>
      <c r="W184" s="125">
        <f t="shared" si="963"/>
        <v>946077.57069048786</v>
      </c>
      <c r="X184" s="125">
        <f t="shared" si="963"/>
        <v>4733728.7436607014</v>
      </c>
      <c r="Y184" s="125">
        <f t="shared" si="963"/>
        <v>5314664.6730437111</v>
      </c>
      <c r="Z184" s="125"/>
      <c r="AA184" s="125">
        <f t="shared" si="963"/>
        <v>5424166.4467978273</v>
      </c>
      <c r="AB184" s="125">
        <f t="shared" si="963"/>
        <v>30000</v>
      </c>
      <c r="AC184" s="125">
        <f t="shared" si="963"/>
        <v>5465955.7280587088</v>
      </c>
      <c r="AD184" s="125">
        <f t="shared" ref="AD184" si="964">AD179-AD183</f>
        <v>956470.49478841363</v>
      </c>
      <c r="AE184" s="125">
        <f t="shared" si="963"/>
        <v>5390098.2382299621</v>
      </c>
      <c r="AF184" s="125">
        <f t="shared" si="963"/>
        <v>4937969.654783369</v>
      </c>
      <c r="AG184" s="125">
        <f t="shared" si="963"/>
        <v>5492655.982436222</v>
      </c>
      <c r="AH184" s="125">
        <f t="shared" si="963"/>
        <v>5590310.6163962297</v>
      </c>
      <c r="AI184" s="125">
        <f t="shared" si="963"/>
        <v>5668015.9293953944</v>
      </c>
      <c r="AJ184" s="125">
        <f t="shared" si="963"/>
        <v>5685402.8125767736</v>
      </c>
      <c r="AK184" s="125">
        <f t="shared" si="963"/>
        <v>5730368.8995410558</v>
      </c>
      <c r="AL184" s="125">
        <f t="shared" si="963"/>
        <v>5726971.1182814362</v>
      </c>
      <c r="AM184" s="134">
        <f>AM268</f>
        <v>0</v>
      </c>
      <c r="AN184" s="134">
        <f>AN268</f>
        <v>0</v>
      </c>
      <c r="AO184" s="125">
        <f t="shared" ref="AO184:BL184" si="965">AO179-AO183</f>
        <v>30000</v>
      </c>
      <c r="AP184" s="125">
        <f t="shared" si="965"/>
        <v>1052565.2423217972</v>
      </c>
      <c r="AQ184" s="125">
        <f t="shared" ref="AQ184" si="966">AQ179-AQ183</f>
        <v>5397486.0139918616</v>
      </c>
      <c r="AR184" s="125">
        <f t="shared" si="965"/>
        <v>5983844.6960841883</v>
      </c>
      <c r="AS184" s="125">
        <f t="shared" si="965"/>
        <v>6000780.4771181457</v>
      </c>
      <c r="AT184" s="125">
        <f t="shared" ref="AT184" si="967">AT179-AT183</f>
        <v>5971166.5851339791</v>
      </c>
      <c r="AU184" s="125">
        <f t="shared" si="965"/>
        <v>5952932.1474269787</v>
      </c>
      <c r="AV184" s="125">
        <f t="shared" ref="AV184" si="968">AV179-AV183</f>
        <v>5938705.0400044154</v>
      </c>
      <c r="AW184" s="125">
        <f t="shared" si="965"/>
        <v>6147656.4917676365</v>
      </c>
      <c r="AX184" s="125">
        <f t="shared" si="965"/>
        <v>6187721.320673327</v>
      </c>
      <c r="AY184" s="125">
        <f t="shared" si="965"/>
        <v>6191352.0321207298</v>
      </c>
      <c r="AZ184" s="125">
        <f t="shared" si="965"/>
        <v>6199502.2554755379</v>
      </c>
      <c r="BA184" s="125">
        <f t="shared" si="965"/>
        <v>6227510.5682139006</v>
      </c>
      <c r="BB184" s="125">
        <f t="shared" si="965"/>
        <v>6239294.4834217252</v>
      </c>
      <c r="BC184" s="125">
        <f t="shared" si="965"/>
        <v>6215238.1177727347</v>
      </c>
      <c r="BD184" s="125">
        <f t="shared" ref="BD184" si="969">BD179-BD183</f>
        <v>6239531.7657871107</v>
      </c>
      <c r="BE184" s="125" t="e">
        <f t="shared" si="965"/>
        <v>#REF!</v>
      </c>
      <c r="BF184" s="125" t="e">
        <f t="shared" si="965"/>
        <v>#REF!</v>
      </c>
      <c r="BG184" s="125" t="e">
        <f t="shared" si="965"/>
        <v>#REF!</v>
      </c>
      <c r="BH184" s="125" t="e">
        <f t="shared" si="965"/>
        <v>#REF!</v>
      </c>
      <c r="BI184" s="125" t="e">
        <f t="shared" si="965"/>
        <v>#REF!</v>
      </c>
      <c r="BJ184" s="125" t="e">
        <f t="shared" si="965"/>
        <v>#REF!</v>
      </c>
      <c r="BK184" s="125" t="e">
        <f t="shared" si="965"/>
        <v>#REF!</v>
      </c>
      <c r="BL184" s="125" t="e">
        <f t="shared" si="965"/>
        <v>#REF!</v>
      </c>
      <c r="BM184" s="125" t="e">
        <f t="shared" ref="BM184:CR184" si="970">BM179-BM183</f>
        <v>#REF!</v>
      </c>
      <c r="BN184" s="125" t="e">
        <f t="shared" si="970"/>
        <v>#REF!</v>
      </c>
      <c r="BO184" s="125" t="e">
        <f t="shared" si="970"/>
        <v>#REF!</v>
      </c>
      <c r="BP184" s="125" t="e">
        <f t="shared" si="970"/>
        <v>#REF!</v>
      </c>
      <c r="BQ184" s="125" t="e">
        <f t="shared" si="970"/>
        <v>#REF!</v>
      </c>
      <c r="BR184" s="125" t="e">
        <f t="shared" si="970"/>
        <v>#REF!</v>
      </c>
      <c r="BS184" s="125" t="e">
        <f t="shared" si="970"/>
        <v>#REF!</v>
      </c>
      <c r="BT184" s="125" t="e">
        <f t="shared" si="970"/>
        <v>#REF!</v>
      </c>
      <c r="BU184" s="125" t="e">
        <f t="shared" si="970"/>
        <v>#REF!</v>
      </c>
      <c r="BV184" s="125" t="e">
        <f t="shared" si="970"/>
        <v>#REF!</v>
      </c>
      <c r="BW184" s="125" t="e">
        <f t="shared" si="970"/>
        <v>#REF!</v>
      </c>
      <c r="BX184" s="125" t="e">
        <f t="shared" si="970"/>
        <v>#REF!</v>
      </c>
      <c r="BY184" s="125" t="e">
        <f t="shared" si="970"/>
        <v>#REF!</v>
      </c>
      <c r="BZ184" s="125" t="e">
        <f t="shared" si="970"/>
        <v>#REF!</v>
      </c>
      <c r="CA184" s="125" t="e">
        <f t="shared" si="970"/>
        <v>#REF!</v>
      </c>
      <c r="CB184" s="125" t="e">
        <f t="shared" si="970"/>
        <v>#REF!</v>
      </c>
      <c r="CC184" s="125" t="e">
        <f t="shared" si="970"/>
        <v>#REF!</v>
      </c>
      <c r="CD184" s="125" t="e">
        <f t="shared" si="970"/>
        <v>#REF!</v>
      </c>
      <c r="CE184" s="125" t="e">
        <f t="shared" si="970"/>
        <v>#REF!</v>
      </c>
      <c r="CF184" s="125" t="e">
        <f t="shared" si="970"/>
        <v>#REF!</v>
      </c>
      <c r="CG184" s="125" t="e">
        <f t="shared" si="970"/>
        <v>#REF!</v>
      </c>
      <c r="CH184" s="125" t="e">
        <f t="shared" si="970"/>
        <v>#REF!</v>
      </c>
      <c r="CI184" s="125" t="e">
        <f t="shared" si="970"/>
        <v>#REF!</v>
      </c>
      <c r="CJ184" s="125" t="e">
        <f t="shared" si="970"/>
        <v>#REF!</v>
      </c>
      <c r="CK184" s="125" t="e">
        <f t="shared" si="970"/>
        <v>#REF!</v>
      </c>
      <c r="CL184" s="125" t="e">
        <f t="shared" si="970"/>
        <v>#REF!</v>
      </c>
      <c r="CM184" s="125" t="e">
        <f t="shared" si="970"/>
        <v>#REF!</v>
      </c>
      <c r="CN184" s="125" t="e">
        <f t="shared" si="970"/>
        <v>#REF!</v>
      </c>
      <c r="CO184" s="125" t="e">
        <f t="shared" si="970"/>
        <v>#REF!</v>
      </c>
      <c r="CP184" s="125" t="e">
        <f t="shared" si="970"/>
        <v>#REF!</v>
      </c>
      <c r="CQ184" s="125" t="e">
        <f t="shared" si="970"/>
        <v>#REF!</v>
      </c>
      <c r="CR184" s="125" t="e">
        <f t="shared" si="970"/>
        <v>#REF!</v>
      </c>
      <c r="CS184" s="125" t="e">
        <f t="shared" ref="CS184:DS184" si="971">CS179-CS183</f>
        <v>#REF!</v>
      </c>
      <c r="CT184" s="125" t="e">
        <f t="shared" si="971"/>
        <v>#REF!</v>
      </c>
      <c r="CU184" s="125" t="e">
        <f t="shared" si="971"/>
        <v>#REF!</v>
      </c>
      <c r="CV184" s="125" t="e">
        <f t="shared" si="971"/>
        <v>#REF!</v>
      </c>
      <c r="CW184" s="125" t="e">
        <f t="shared" si="971"/>
        <v>#REF!</v>
      </c>
      <c r="CX184" s="125" t="e">
        <f t="shared" si="971"/>
        <v>#REF!</v>
      </c>
      <c r="CY184" s="125" t="e">
        <f t="shared" si="971"/>
        <v>#REF!</v>
      </c>
      <c r="CZ184" s="125" t="e">
        <f t="shared" si="971"/>
        <v>#REF!</v>
      </c>
      <c r="DA184" s="125" t="e">
        <f t="shared" si="971"/>
        <v>#REF!</v>
      </c>
      <c r="DB184" s="125" t="e">
        <f t="shared" si="971"/>
        <v>#REF!</v>
      </c>
      <c r="DC184" s="125" t="e">
        <f t="shared" si="971"/>
        <v>#REF!</v>
      </c>
      <c r="DD184" s="125" t="e">
        <f t="shared" si="971"/>
        <v>#REF!</v>
      </c>
      <c r="DE184" s="125" t="e">
        <f t="shared" si="971"/>
        <v>#REF!</v>
      </c>
      <c r="DF184" s="125" t="e">
        <f t="shared" si="971"/>
        <v>#REF!</v>
      </c>
      <c r="DG184" s="125" t="e">
        <f t="shared" si="971"/>
        <v>#REF!</v>
      </c>
      <c r="DH184" s="125" t="e">
        <f t="shared" si="971"/>
        <v>#REF!</v>
      </c>
      <c r="DI184" s="125" t="e">
        <f t="shared" si="971"/>
        <v>#REF!</v>
      </c>
      <c r="DJ184" s="125" t="e">
        <f t="shared" si="971"/>
        <v>#REF!</v>
      </c>
      <c r="DK184" s="125" t="e">
        <f t="shared" si="971"/>
        <v>#REF!</v>
      </c>
      <c r="DL184" s="125" t="e">
        <f t="shared" si="971"/>
        <v>#REF!</v>
      </c>
      <c r="DM184" s="125" t="e">
        <f t="shared" si="971"/>
        <v>#REF!</v>
      </c>
      <c r="DN184" s="125" t="e">
        <f t="shared" si="971"/>
        <v>#REF!</v>
      </c>
      <c r="DO184" s="125" t="e">
        <f t="shared" si="971"/>
        <v>#REF!</v>
      </c>
      <c r="DP184" s="125" t="e">
        <f t="shared" si="971"/>
        <v>#REF!</v>
      </c>
      <c r="DQ184" s="125" t="e">
        <f t="shared" si="971"/>
        <v>#REF!</v>
      </c>
      <c r="DR184" s="125" t="e">
        <f t="shared" si="971"/>
        <v>#REF!</v>
      </c>
      <c r="DS184" s="125" t="e">
        <f t="shared" si="971"/>
        <v>#REF!</v>
      </c>
    </row>
    <row r="185" spans="1:123" hidden="1" x14ac:dyDescent="0.3">
      <c r="N185" s="111"/>
      <c r="AM185" s="136" t="e">
        <f t="shared" ref="AM185:AN185" si="972">AM183/AM184-1</f>
        <v>#DIV/0!</v>
      </c>
      <c r="AN185" s="136" t="e">
        <f t="shared" si="972"/>
        <v>#DIV/0!</v>
      </c>
    </row>
    <row r="186" spans="1:123" s="90" customFormat="1" hidden="1" x14ac:dyDescent="0.3">
      <c r="A186" s="90" t="s">
        <v>110</v>
      </c>
      <c r="B186" s="91"/>
      <c r="C186" s="73"/>
      <c r="D186" s="73"/>
      <c r="E186" s="73"/>
      <c r="H186" s="119">
        <f t="shared" ref="H186:M186" si="973">+H153+H179</f>
        <v>150001.83497994251</v>
      </c>
      <c r="I186" s="119">
        <f t="shared" si="973"/>
        <v>150001.467983954</v>
      </c>
      <c r="J186" s="119">
        <f t="shared" si="973"/>
        <v>149115.32391166914</v>
      </c>
      <c r="K186" s="119">
        <f t="shared" si="973"/>
        <v>149465.87111405923</v>
      </c>
      <c r="L186" s="119">
        <f t="shared" si="973"/>
        <v>149505.01323360502</v>
      </c>
      <c r="M186" s="119">
        <f t="shared" si="973"/>
        <v>149465.87111405923</v>
      </c>
      <c r="N186" s="119">
        <f>+N159+N183</f>
        <v>102.94889767625136</v>
      </c>
      <c r="O186" s="119">
        <f t="shared" ref="O186:AL186" si="974">+O159+O183</f>
        <v>581920.88309983606</v>
      </c>
      <c r="P186" s="119">
        <f t="shared" si="974"/>
        <v>1137379.4657693976</v>
      </c>
      <c r="Q186" s="119">
        <f t="shared" si="974"/>
        <v>1170510.466145545</v>
      </c>
      <c r="R186" s="119">
        <f t="shared" si="974"/>
        <v>-30000</v>
      </c>
      <c r="S186" s="119">
        <f t="shared" si="974"/>
        <v>-30000</v>
      </c>
      <c r="T186" s="119">
        <f t="shared" si="974"/>
        <v>1248853.8684973696</v>
      </c>
      <c r="U186" s="119"/>
      <c r="V186" s="119">
        <f>+V159+V183</f>
        <v>-30000</v>
      </c>
      <c r="W186" s="119">
        <f t="shared" si="974"/>
        <v>199019.39267262199</v>
      </c>
      <c r="X186" s="119">
        <f t="shared" si="974"/>
        <v>1145932.1859151756</v>
      </c>
      <c r="Y186" s="119">
        <f t="shared" si="974"/>
        <v>1291166.168260928</v>
      </c>
      <c r="Z186" s="119"/>
      <c r="AA186" s="119">
        <f t="shared" si="974"/>
        <v>1318541.6116994568</v>
      </c>
      <c r="AB186" s="119">
        <f t="shared" si="974"/>
        <v>-30000</v>
      </c>
      <c r="AC186" s="119">
        <f t="shared" si="974"/>
        <v>1328988.9320146772</v>
      </c>
      <c r="AD186" s="119">
        <f t="shared" ref="AD186" si="975">+AD159+AD183</f>
        <v>201617.62369710344</v>
      </c>
      <c r="AE186" s="119">
        <f t="shared" si="974"/>
        <v>1310024.5595574907</v>
      </c>
      <c r="AF186" s="119">
        <f t="shared" si="974"/>
        <v>1196992.4136958423</v>
      </c>
      <c r="AG186" s="119">
        <f t="shared" si="974"/>
        <v>1335663.9956090555</v>
      </c>
      <c r="AH186" s="119">
        <f t="shared" si="974"/>
        <v>1360077.6540990574</v>
      </c>
      <c r="AI186" s="119">
        <f t="shared" si="974"/>
        <v>1379503.9823488486</v>
      </c>
      <c r="AJ186" s="119">
        <f t="shared" si="974"/>
        <v>1383850.7031441936</v>
      </c>
      <c r="AK186" s="119">
        <f t="shared" si="974"/>
        <v>1395092.2248852639</v>
      </c>
      <c r="AL186" s="119">
        <f t="shared" si="974"/>
        <v>1394242.779570359</v>
      </c>
      <c r="AM186" s="133">
        <f t="shared" ref="AM186:AN186" si="976">+AM183-AM184</f>
        <v>7144845.9239943977</v>
      </c>
      <c r="AN186" s="133">
        <f t="shared" si="976"/>
        <v>7181703.8135926258</v>
      </c>
      <c r="AQ186" s="119">
        <f>+AQ159+AQ183</f>
        <v>1311933.0034979656</v>
      </c>
    </row>
    <row r="187" spans="1:123" hidden="1" x14ac:dyDescent="0.3"/>
    <row r="188" spans="1:123" s="112" customFormat="1" hidden="1" x14ac:dyDescent="0.3">
      <c r="A188" s="112" t="s">
        <v>107</v>
      </c>
      <c r="B188" s="113"/>
      <c r="C188" s="114"/>
      <c r="D188" s="114"/>
      <c r="E188" s="114"/>
      <c r="H188" s="116">
        <f t="shared" ref="H188:M188" si="977">+H29-H153</f>
        <v>5815877.3359180549</v>
      </c>
      <c r="I188" s="116">
        <f t="shared" si="977"/>
        <v>5779333.4493136629</v>
      </c>
      <c r="J188" s="116">
        <f t="shared" si="977"/>
        <v>5827500.6526140627</v>
      </c>
      <c r="K188" s="116">
        <f t="shared" si="977"/>
        <v>5822276.985586497</v>
      </c>
      <c r="L188" s="116">
        <f t="shared" si="977"/>
        <v>3813393.4463770068</v>
      </c>
      <c r="M188" s="116">
        <f t="shared" si="977"/>
        <v>5825334.3694829345</v>
      </c>
      <c r="N188" s="116">
        <f t="shared" ref="N188:T188" si="978">+N29-N186</f>
        <v>5992668.6810982665</v>
      </c>
      <c r="O188" s="116">
        <f t="shared" si="978"/>
        <v>5525022.6521909731</v>
      </c>
      <c r="P188" s="116">
        <f t="shared" si="978"/>
        <v>5051923.9530340005</v>
      </c>
      <c r="Q188" s="116">
        <f t="shared" si="978"/>
        <v>5023633.0860179346</v>
      </c>
      <c r="R188" s="116">
        <f t="shared" si="978"/>
        <v>30000</v>
      </c>
      <c r="S188" s="116">
        <f t="shared" si="978"/>
        <v>30000</v>
      </c>
      <c r="T188" s="116">
        <f t="shared" si="978"/>
        <v>5145415.4739894774</v>
      </c>
      <c r="U188" s="116"/>
      <c r="V188" s="116">
        <f>+V29-V186</f>
        <v>6407014.0650354503</v>
      </c>
      <c r="W188" s="116">
        <f>+W29-W186</f>
        <v>6639433.5065770671</v>
      </c>
      <c r="X188" s="116">
        <f>+X29-X186</f>
        <v>5660487.3411580045</v>
      </c>
      <c r="Y188" s="116">
        <f>+Y29-Y186</f>
        <v>5522504.1072731325</v>
      </c>
      <c r="Z188" s="116"/>
      <c r="AA188" s="116">
        <f>+AA29-AA186</f>
        <v>5613152.2221392803</v>
      </c>
      <c r="AB188" s="116">
        <f>+AB29-AB186</f>
        <v>7012943.3049327228</v>
      </c>
      <c r="AC188" s="116">
        <f>+AC29-AC186</f>
        <v>5653385.2733410001</v>
      </c>
      <c r="AD188" s="116">
        <f>+AD29-AD186</f>
        <v>6730386.9857235448</v>
      </c>
      <c r="AQ188" s="116">
        <f>+AQ29-AQ186</f>
        <v>6356854.8484286638</v>
      </c>
    </row>
    <row r="189" spans="1:123" s="112" customFormat="1" hidden="1" x14ac:dyDescent="0.3">
      <c r="B189" s="113"/>
      <c r="C189" s="114"/>
      <c r="D189" s="114"/>
      <c r="E189" s="114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  <c r="AA189" s="116"/>
      <c r="AB189" s="116"/>
      <c r="AC189" s="116"/>
      <c r="AD189" s="116"/>
      <c r="AQ189" s="116"/>
    </row>
    <row r="190" spans="1:123" s="112" customFormat="1" hidden="1" x14ac:dyDescent="0.3">
      <c r="B190" s="113"/>
      <c r="C190" s="114"/>
      <c r="D190" s="114"/>
      <c r="E190" s="114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  <c r="AB190" s="116"/>
      <c r="AC190" s="116"/>
      <c r="AD190" s="116"/>
      <c r="AQ190" s="116"/>
    </row>
    <row r="191" spans="1:123" hidden="1" x14ac:dyDescent="0.3">
      <c r="A191" s="79" t="s">
        <v>106</v>
      </c>
      <c r="H191" s="117">
        <f>ROUND(H188/H30*100,3)</f>
        <v>97.486999999999995</v>
      </c>
      <c r="I191" s="117">
        <f>ROUND(I188/I30*100,3)</f>
        <v>96.876999999999995</v>
      </c>
      <c r="J191" s="117">
        <f>ROUND(J188/J30*100,3)</f>
        <v>98.286000000000001</v>
      </c>
      <c r="K191" s="117">
        <f>ROUND(K188/K30*100,3)</f>
        <v>97.421999999999997</v>
      </c>
      <c r="L191" s="117">
        <f>ROUND(L188*L152/B153,3)</f>
        <v>63.581000000000003</v>
      </c>
      <c r="M191" s="117">
        <f>ROUND(M188/M30*100,3)</f>
        <v>97.472999999999999</v>
      </c>
      <c r="O191" s="117">
        <v>100.828</v>
      </c>
      <c r="P191" s="117">
        <v>100.521</v>
      </c>
      <c r="Q191">
        <v>100.62</v>
      </c>
      <c r="V191">
        <v>100.66</v>
      </c>
      <c r="W191">
        <v>100.52200000000001</v>
      </c>
      <c r="AQ191">
        <v>100.66</v>
      </c>
    </row>
    <row r="192" spans="1:123" hidden="1" x14ac:dyDescent="0.3">
      <c r="A192" s="79"/>
      <c r="H192">
        <v>100.2</v>
      </c>
      <c r="I192">
        <v>99.95</v>
      </c>
      <c r="J192">
        <v>100.06</v>
      </c>
      <c r="K192">
        <v>100.28400000000001</v>
      </c>
    </row>
    <row r="193" spans="1:43" hidden="1" x14ac:dyDescent="0.3">
      <c r="A193" s="79" t="s">
        <v>109</v>
      </c>
      <c r="N193" s="120"/>
      <c r="O193">
        <v>100.64400000000001</v>
      </c>
      <c r="P193">
        <v>100.374</v>
      </c>
      <c r="Q193">
        <v>100.503</v>
      </c>
      <c r="V193">
        <v>100.58499999999999</v>
      </c>
      <c r="W193">
        <v>100.462</v>
      </c>
      <c r="AQ193">
        <v>100.58499999999999</v>
      </c>
    </row>
    <row r="194" spans="1:43" hidden="1" x14ac:dyDescent="0.3">
      <c r="A194" s="79"/>
      <c r="N194" s="120"/>
    </row>
    <row r="195" spans="1:43" hidden="1" x14ac:dyDescent="0.3">
      <c r="A195" t="s">
        <v>111</v>
      </c>
      <c r="O195" s="64">
        <v>3982463.34</v>
      </c>
      <c r="P195" s="64">
        <v>3970390.22</v>
      </c>
      <c r="Q195" s="64">
        <v>3974380.32</v>
      </c>
      <c r="V195" s="64">
        <v>3976020.57</v>
      </c>
      <c r="W195" s="64">
        <v>3970579.95</v>
      </c>
      <c r="AQ195" s="64">
        <v>3976020.57</v>
      </c>
    </row>
    <row r="196" spans="1:43" hidden="1" x14ac:dyDescent="0.3"/>
    <row r="197" spans="1:43" hidden="1" x14ac:dyDescent="0.3">
      <c r="L197" s="117"/>
    </row>
    <row r="198" spans="1:43" hidden="1" x14ac:dyDescent="0.3">
      <c r="A198" t="s">
        <v>109</v>
      </c>
    </row>
    <row r="199" spans="1:43" hidden="1" x14ac:dyDescent="0.3"/>
    <row r="200" spans="1:43" hidden="1" x14ac:dyDescent="0.3"/>
    <row r="201" spans="1:43" hidden="1" x14ac:dyDescent="0.3">
      <c r="H201" t="s">
        <v>112</v>
      </c>
    </row>
    <row r="202" spans="1:43" hidden="1" x14ac:dyDescent="0.3"/>
    <row r="203" spans="1:43" hidden="1" x14ac:dyDescent="0.3"/>
    <row r="204" spans="1:43" hidden="1" x14ac:dyDescent="0.3"/>
    <row r="205" spans="1:43" hidden="1" x14ac:dyDescent="0.3"/>
    <row r="206" spans="1:43" hidden="1" x14ac:dyDescent="0.3"/>
    <row r="207" spans="1:43" hidden="1" x14ac:dyDescent="0.3"/>
    <row r="208" spans="1:43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7" spans="1:56" x14ac:dyDescent="0.3">
      <c r="A227" s="127" t="s">
        <v>99</v>
      </c>
      <c r="H227">
        <v>5815658.8067820966</v>
      </c>
      <c r="I227" s="151">
        <v>5779979.3515418647</v>
      </c>
      <c r="J227">
        <v>5826915.4226753237</v>
      </c>
      <c r="M227">
        <v>5824502.7752320934</v>
      </c>
      <c r="N227" s="152">
        <v>5842717.3879944198</v>
      </c>
      <c r="O227" s="151">
        <v>5832525.3026854806</v>
      </c>
      <c r="P227">
        <v>5849675.826393256</v>
      </c>
      <c r="Q227">
        <v>5854440.3905075742</v>
      </c>
      <c r="T227" s="151">
        <v>5836528.0383465206</v>
      </c>
      <c r="U227" s="151"/>
      <c r="V227">
        <v>99.763999999999996</v>
      </c>
      <c r="W227">
        <v>99.731999999999999</v>
      </c>
      <c r="X227" s="149">
        <v>99.625</v>
      </c>
      <c r="Y227">
        <v>99.626999999999995</v>
      </c>
      <c r="AA227">
        <v>99.647000000000006</v>
      </c>
      <c r="AB227">
        <v>100.05</v>
      </c>
      <c r="AC227">
        <v>100.017</v>
      </c>
      <c r="AD227">
        <v>99.811000000000007</v>
      </c>
      <c r="AE227">
        <v>99.466999999999999</v>
      </c>
      <c r="AF227">
        <v>99.298000000000002</v>
      </c>
      <c r="AG227">
        <v>98.804000000000002</v>
      </c>
      <c r="AH227">
        <v>99.027000000000001</v>
      </c>
      <c r="AI227">
        <v>99.028999999999996</v>
      </c>
      <c r="AJ227">
        <v>99.209000000000003</v>
      </c>
      <c r="AK227">
        <v>99.736999999999995</v>
      </c>
      <c r="AL227">
        <v>99.888000000000005</v>
      </c>
      <c r="AM227">
        <v>100.017</v>
      </c>
      <c r="AN227">
        <v>100.367</v>
      </c>
      <c r="AO227">
        <v>100.599</v>
      </c>
      <c r="AP227">
        <v>100.699</v>
      </c>
      <c r="AQ227">
        <v>100.55800000000001</v>
      </c>
      <c r="AR227">
        <v>100.512</v>
      </c>
      <c r="AS227">
        <v>100.61799999999999</v>
      </c>
      <c r="AT227">
        <v>100.49</v>
      </c>
      <c r="AU227">
        <v>100.172</v>
      </c>
      <c r="AV227">
        <v>99.802999999999997</v>
      </c>
      <c r="AW227">
        <v>99.805999999999997</v>
      </c>
      <c r="AX227">
        <v>99.840999999999994</v>
      </c>
      <c r="AY227">
        <v>99.799000000000007</v>
      </c>
      <c r="AZ227">
        <v>99.77</v>
      </c>
      <c r="BA227">
        <v>99.941000000000003</v>
      </c>
      <c r="BB227">
        <v>100.142</v>
      </c>
      <c r="BC227">
        <v>99.712000000000003</v>
      </c>
      <c r="BD227">
        <v>100.075</v>
      </c>
    </row>
    <row r="228" spans="1:56" x14ac:dyDescent="0.3">
      <c r="A228" t="s">
        <v>103</v>
      </c>
      <c r="H228" s="148">
        <v>99.997</v>
      </c>
      <c r="I228" s="148">
        <v>99.831000000000003</v>
      </c>
      <c r="J228">
        <v>100.05500000000001</v>
      </c>
      <c r="M228">
        <v>100.10899999999999</v>
      </c>
      <c r="N228">
        <v>100.253</v>
      </c>
      <c r="O228">
        <v>100.107</v>
      </c>
      <c r="P228" s="149">
        <v>100.372</v>
      </c>
      <c r="Q228" s="149">
        <v>100.306</v>
      </c>
      <c r="R228" s="152"/>
      <c r="T228" s="149">
        <v>99.988</v>
      </c>
      <c r="U228" s="149"/>
      <c r="V228" s="151"/>
      <c r="X228" s="149"/>
    </row>
    <row r="229" spans="1:56" x14ac:dyDescent="0.3">
      <c r="A229" s="147"/>
      <c r="H229" s="148"/>
      <c r="I229" s="148"/>
      <c r="O229" s="151">
        <v>124420.86327618819</v>
      </c>
      <c r="P229">
        <v>124786.73374773726</v>
      </c>
      <c r="Q229" s="152">
        <v>124888.37514844959</v>
      </c>
      <c r="T229" s="151">
        <v>124506.26938569591</v>
      </c>
      <c r="U229" s="151"/>
      <c r="X229" s="149">
        <v>99.623999999999995</v>
      </c>
      <c r="Y229">
        <v>99.626000000000005</v>
      </c>
      <c r="AA229">
        <v>99.644999999999996</v>
      </c>
      <c r="AB229">
        <v>100.04900000000001</v>
      </c>
      <c r="AC229">
        <v>100.015</v>
      </c>
      <c r="AD229">
        <v>99.81</v>
      </c>
      <c r="AE229">
        <v>99.465000000000003</v>
      </c>
      <c r="AF229">
        <v>99.296000000000006</v>
      </c>
      <c r="AG229">
        <v>98.802000000000007</v>
      </c>
      <c r="AH229">
        <v>99.025999999999996</v>
      </c>
      <c r="AI229">
        <v>99.028000000000006</v>
      </c>
      <c r="AJ229">
        <v>99.207999999999998</v>
      </c>
      <c r="AK229">
        <v>99.736000000000004</v>
      </c>
      <c r="AL229">
        <v>99.887</v>
      </c>
      <c r="AM229">
        <v>100.015</v>
      </c>
      <c r="AN229">
        <v>100.366</v>
      </c>
      <c r="AO229">
        <v>100.598</v>
      </c>
      <c r="AP229">
        <v>100.69799999999999</v>
      </c>
      <c r="AQ229">
        <v>100.55800000000001</v>
      </c>
      <c r="AR229">
        <v>100.512</v>
      </c>
      <c r="AS229">
        <v>0</v>
      </c>
      <c r="AX229">
        <v>99.84</v>
      </c>
      <c r="AY229">
        <v>99.798000000000002</v>
      </c>
      <c r="AZ229">
        <v>99.769000000000005</v>
      </c>
      <c r="BA229">
        <v>99.94</v>
      </c>
      <c r="BB229">
        <v>100.142</v>
      </c>
      <c r="BC229">
        <v>99.710999999999999</v>
      </c>
      <c r="BD229">
        <v>100.075</v>
      </c>
    </row>
    <row r="230" spans="1:56" x14ac:dyDescent="0.3">
      <c r="A230" t="s">
        <v>113</v>
      </c>
      <c r="O230">
        <v>100.107</v>
      </c>
      <c r="P230" s="149">
        <v>100.372</v>
      </c>
      <c r="Q230" s="149">
        <v>100.306</v>
      </c>
      <c r="T230" s="149">
        <v>99.988</v>
      </c>
      <c r="U230" s="149"/>
      <c r="V230" s="151"/>
      <c r="X230" s="149"/>
    </row>
    <row r="231" spans="1:56" x14ac:dyDescent="0.3">
      <c r="P231">
        <v>64592.596914467904</v>
      </c>
      <c r="Q231">
        <v>64645.204344274549</v>
      </c>
      <c r="T231" s="151">
        <v>64447.417982423998</v>
      </c>
      <c r="U231" s="151"/>
      <c r="X231" s="149"/>
      <c r="AA231">
        <v>99.646000000000001</v>
      </c>
      <c r="AB231">
        <v>100.04900000000001</v>
      </c>
      <c r="AC231">
        <v>100.01600000000001</v>
      </c>
      <c r="AD231">
        <v>99.81</v>
      </c>
      <c r="AE231">
        <v>99.465999999999994</v>
      </c>
      <c r="AF231">
        <v>99.296999999999997</v>
      </c>
      <c r="AG231">
        <v>98.802999999999997</v>
      </c>
      <c r="AH231">
        <v>99.027000000000001</v>
      </c>
      <c r="AI231">
        <v>99.028999999999996</v>
      </c>
      <c r="AJ231">
        <v>99.209000000000003</v>
      </c>
      <c r="AK231">
        <v>99.736999999999995</v>
      </c>
      <c r="AL231">
        <v>99.888000000000005</v>
      </c>
      <c r="AM231">
        <v>100.01600000000001</v>
      </c>
      <c r="AN231">
        <v>100.367</v>
      </c>
      <c r="AO231">
        <v>100.599</v>
      </c>
      <c r="AP231">
        <v>100.699</v>
      </c>
      <c r="AQ231">
        <v>100.55800000000001</v>
      </c>
      <c r="AR231">
        <v>100.512</v>
      </c>
      <c r="AS231">
        <v>0</v>
      </c>
    </row>
    <row r="232" spans="1:56" x14ac:dyDescent="0.3">
      <c r="A232" t="s">
        <v>114</v>
      </c>
      <c r="P232" s="149">
        <v>100.372</v>
      </c>
      <c r="Q232" s="149">
        <v>100.306</v>
      </c>
      <c r="T232" s="149">
        <v>99.988</v>
      </c>
      <c r="U232" s="149"/>
      <c r="V232" s="151"/>
      <c r="X232" s="149"/>
    </row>
    <row r="233" spans="1:56" x14ac:dyDescent="0.3">
      <c r="P233" s="149"/>
      <c r="Q233" s="149"/>
      <c r="T233" s="151">
        <v>218212.11602069798</v>
      </c>
      <c r="U233" s="151"/>
      <c r="X233" s="149"/>
      <c r="AG233">
        <v>98.802999999999997</v>
      </c>
      <c r="AH233">
        <v>99.027000000000001</v>
      </c>
      <c r="AI233">
        <v>99.028999999999996</v>
      </c>
      <c r="AJ233">
        <v>99.209000000000003</v>
      </c>
      <c r="AK233">
        <v>99.736999999999995</v>
      </c>
      <c r="AL233">
        <v>99.888000000000005</v>
      </c>
      <c r="AM233">
        <v>100.01600000000001</v>
      </c>
      <c r="AN233">
        <v>100.366</v>
      </c>
      <c r="AO233">
        <v>100.599</v>
      </c>
      <c r="AP233">
        <v>100.699</v>
      </c>
      <c r="AQ233">
        <v>100.55800000000001</v>
      </c>
      <c r="AR233">
        <v>100.512</v>
      </c>
      <c r="AS233">
        <v>0</v>
      </c>
    </row>
    <row r="234" spans="1:56" x14ac:dyDescent="0.3">
      <c r="A234" t="s">
        <v>115</v>
      </c>
      <c r="P234" s="150"/>
      <c r="Q234" s="150"/>
      <c r="T234" s="149">
        <v>99.988</v>
      </c>
      <c r="U234" s="149"/>
    </row>
    <row r="235" spans="1:56" x14ac:dyDescent="0.3">
      <c r="P235" s="149"/>
      <c r="Q235" s="149"/>
      <c r="T235" s="149"/>
      <c r="U235" s="149"/>
      <c r="AH235">
        <v>99.027000000000001</v>
      </c>
      <c r="AI235">
        <v>99.028999999999996</v>
      </c>
      <c r="AJ235">
        <v>99.209000000000003</v>
      </c>
      <c r="AK235">
        <v>99.736999999999995</v>
      </c>
      <c r="AL235">
        <v>99.888000000000005</v>
      </c>
      <c r="AM235">
        <v>100.01600000000001</v>
      </c>
      <c r="AN235">
        <v>100.367</v>
      </c>
      <c r="AO235">
        <v>100.599</v>
      </c>
      <c r="AP235">
        <v>100.699</v>
      </c>
      <c r="AQ235">
        <v>100.55800000000001</v>
      </c>
      <c r="AR235">
        <v>100.512</v>
      </c>
      <c r="AS235">
        <v>0</v>
      </c>
    </row>
    <row r="236" spans="1:56" x14ac:dyDescent="0.3">
      <c r="T236" s="150"/>
      <c r="U236" s="150"/>
    </row>
    <row r="237" spans="1:56" x14ac:dyDescent="0.3">
      <c r="T237" s="149"/>
      <c r="U237" s="149"/>
      <c r="AI237">
        <v>98.92</v>
      </c>
      <c r="AJ237">
        <v>99.207999999999998</v>
      </c>
      <c r="AK237">
        <v>99.736000000000004</v>
      </c>
      <c r="AL237">
        <v>99.887</v>
      </c>
      <c r="AM237">
        <v>100.01600000000001</v>
      </c>
      <c r="AN237">
        <v>100.366</v>
      </c>
      <c r="AO237">
        <v>100.599</v>
      </c>
      <c r="AP237">
        <v>100.69799999999999</v>
      </c>
      <c r="AQ237">
        <v>100.55800000000001</v>
      </c>
      <c r="AR237">
        <v>100.512</v>
      </c>
      <c r="AS237">
        <v>0</v>
      </c>
    </row>
    <row r="238" spans="1:56" x14ac:dyDescent="0.3">
      <c r="T238" s="149"/>
      <c r="U238" s="149"/>
    </row>
    <row r="239" spans="1:56" x14ac:dyDescent="0.3">
      <c r="T239" s="149"/>
      <c r="U239" s="149"/>
      <c r="AM239">
        <v>100.017</v>
      </c>
      <c r="AN239">
        <v>100.367</v>
      </c>
      <c r="AO239">
        <v>100.6</v>
      </c>
      <c r="AP239">
        <v>100.7</v>
      </c>
      <c r="AQ239">
        <v>100.55800000000001</v>
      </c>
      <c r="AR239">
        <v>100.512</v>
      </c>
      <c r="AS239">
        <v>0</v>
      </c>
    </row>
    <row r="240" spans="1:56" x14ac:dyDescent="0.3">
      <c r="T240" s="149"/>
      <c r="U240" s="149"/>
    </row>
    <row r="241" spans="1:56" x14ac:dyDescent="0.3">
      <c r="T241" s="149"/>
      <c r="U241" s="149"/>
      <c r="AP241">
        <v>100.69799999999999</v>
      </c>
      <c r="AQ241">
        <v>100.55800000000001</v>
      </c>
      <c r="AR241">
        <v>100.512</v>
      </c>
      <c r="AS241">
        <v>0</v>
      </c>
    </row>
    <row r="242" spans="1:56" x14ac:dyDescent="0.3">
      <c r="T242" s="149"/>
      <c r="U242" s="149"/>
    </row>
    <row r="243" spans="1:56" x14ac:dyDescent="0.3">
      <c r="T243" s="149"/>
      <c r="U243" s="149"/>
      <c r="AQ243">
        <v>100.55800000000001</v>
      </c>
      <c r="AR243">
        <v>100.512</v>
      </c>
      <c r="AS243">
        <v>0</v>
      </c>
    </row>
    <row r="244" spans="1:56" x14ac:dyDescent="0.3">
      <c r="T244" s="149"/>
      <c r="U244" s="149"/>
    </row>
    <row r="245" spans="1:56" x14ac:dyDescent="0.3">
      <c r="T245" s="149"/>
      <c r="U245" s="149"/>
    </row>
    <row r="248" spans="1:56" x14ac:dyDescent="0.3">
      <c r="AH248">
        <v>100.21899999999999</v>
      </c>
      <c r="AI248">
        <v>100.235</v>
      </c>
      <c r="AJ248">
        <v>100.425</v>
      </c>
      <c r="AK248">
        <v>100.968</v>
      </c>
      <c r="AL248">
        <v>101.124</v>
      </c>
      <c r="AM248">
        <v>101.26900000000001</v>
      </c>
      <c r="AN248">
        <v>101.636</v>
      </c>
      <c r="AO248">
        <v>101.875</v>
      </c>
      <c r="AP248">
        <v>101.97199999999999</v>
      </c>
      <c r="AQ248">
        <v>101.827</v>
      </c>
      <c r="AR248">
        <v>101.776</v>
      </c>
      <c r="AS248">
        <v>101.886</v>
      </c>
      <c r="AT248">
        <v>101.714</v>
      </c>
      <c r="AU248">
        <v>101.387</v>
      </c>
      <c r="AV248">
        <v>101.02</v>
      </c>
      <c r="AW248">
        <v>101.02200000000001</v>
      </c>
      <c r="AX248">
        <v>101.053</v>
      </c>
      <c r="AY248">
        <v>101.012</v>
      </c>
      <c r="AZ248">
        <v>101.001</v>
      </c>
      <c r="BA248">
        <v>101.181</v>
      </c>
      <c r="BB248">
        <v>101.387</v>
      </c>
      <c r="BC248">
        <v>100.955</v>
      </c>
      <c r="BD248">
        <v>101.32599999999999</v>
      </c>
    </row>
    <row r="250" spans="1:56" x14ac:dyDescent="0.3">
      <c r="AY250">
        <v>101.012</v>
      </c>
      <c r="AZ250">
        <v>101.001</v>
      </c>
      <c r="BA250">
        <v>101.181</v>
      </c>
      <c r="BB250">
        <v>101.387</v>
      </c>
      <c r="BC250">
        <v>100.955</v>
      </c>
      <c r="BD250">
        <v>101.325</v>
      </c>
    </row>
    <row r="255" spans="1:56" x14ac:dyDescent="0.3">
      <c r="A255" s="127" t="s">
        <v>105</v>
      </c>
      <c r="H255">
        <v>150001.89057432319</v>
      </c>
      <c r="I255" s="151">
        <v>149115.12581455507</v>
      </c>
      <c r="J255">
        <v>149465.94468109656</v>
      </c>
      <c r="M255" s="151">
        <v>149581.25476790647</v>
      </c>
      <c r="N255" s="152">
        <v>149808.24200557993</v>
      </c>
      <c r="O255" s="151">
        <v>149590.93403833071</v>
      </c>
      <c r="P255" s="149">
        <v>149999.92294453862</v>
      </c>
      <c r="Q255">
        <v>149920.88999970214</v>
      </c>
      <c r="T255" s="151">
        <v>149476.27826466199</v>
      </c>
      <c r="U255" s="151"/>
    </row>
    <row r="256" spans="1:56" x14ac:dyDescent="0.3">
      <c r="A256" t="s">
        <v>106</v>
      </c>
      <c r="H256" s="148">
        <v>100.001</v>
      </c>
      <c r="I256" s="148">
        <v>99.41</v>
      </c>
      <c r="J256">
        <v>99.643000000000001</v>
      </c>
      <c r="M256">
        <v>99.72</v>
      </c>
      <c r="N256">
        <v>99.872</v>
      </c>
      <c r="O256">
        <v>99.727000000000004</v>
      </c>
      <c r="P256" s="149">
        <v>99.998999999999995</v>
      </c>
      <c r="Q256" s="149">
        <v>99.947000000000003</v>
      </c>
      <c r="T256" s="149">
        <v>99.65</v>
      </c>
      <c r="U256" s="149"/>
      <c r="V256">
        <v>99.438999999999993</v>
      </c>
      <c r="W256">
        <v>99.415000000000006</v>
      </c>
      <c r="X256" s="149">
        <v>99.292000000000002</v>
      </c>
      <c r="Y256">
        <v>99.307000000000002</v>
      </c>
      <c r="AA256">
        <v>99.337999999999994</v>
      </c>
      <c r="AB256">
        <v>99.745000000000005</v>
      </c>
      <c r="AC256">
        <v>99.713999999999999</v>
      </c>
      <c r="AD256">
        <v>99.525000000000006</v>
      </c>
      <c r="AE256">
        <v>99.206999999999994</v>
      </c>
      <c r="AF256">
        <v>99.043000000000006</v>
      </c>
      <c r="AG256">
        <v>98.552999999999997</v>
      </c>
      <c r="AH256">
        <v>98.772999999999996</v>
      </c>
      <c r="AI256">
        <v>98.793000000000006</v>
      </c>
      <c r="AJ256">
        <v>98.992000000000004</v>
      </c>
      <c r="AK256">
        <v>99.531999999999996</v>
      </c>
      <c r="AL256">
        <v>99.694000000000003</v>
      </c>
      <c r="AM256">
        <v>99.840999999999994</v>
      </c>
      <c r="AN256">
        <v>100.172</v>
      </c>
      <c r="AO256">
        <v>100.32899999999999</v>
      </c>
      <c r="AP256">
        <v>100.343</v>
      </c>
      <c r="AQ256">
        <v>100.163</v>
      </c>
      <c r="AR256">
        <v>100.09399999999999</v>
      </c>
      <c r="AS256">
        <v>100.172</v>
      </c>
      <c r="AT256">
        <v>100.005</v>
      </c>
      <c r="AU256">
        <v>99.688000000000002</v>
      </c>
      <c r="AV256">
        <v>99.331000000000003</v>
      </c>
      <c r="AW256">
        <v>99.337000000000003</v>
      </c>
      <c r="AX256">
        <v>99.38</v>
      </c>
      <c r="AY256">
        <v>99.343999999999994</v>
      </c>
      <c r="AZ256">
        <v>99.337000000000003</v>
      </c>
      <c r="BA256">
        <v>99.518000000000001</v>
      </c>
      <c r="BB256">
        <v>100.035</v>
      </c>
      <c r="BC256">
        <v>99.63</v>
      </c>
      <c r="BD256">
        <v>100</v>
      </c>
    </row>
    <row r="258" spans="1:56" x14ac:dyDescent="0.3">
      <c r="A258" t="s">
        <v>116</v>
      </c>
      <c r="H258">
        <v>5965660.6973564196</v>
      </c>
      <c r="I258">
        <v>5929094.4773564199</v>
      </c>
      <c r="J258">
        <v>5976381.3673564205</v>
      </c>
      <c r="M258">
        <v>5974084.0300000003</v>
      </c>
      <c r="N258">
        <v>5992525.6299999999</v>
      </c>
      <c r="O258">
        <v>6106537.0999999996</v>
      </c>
      <c r="P258">
        <v>6189055.0800000001</v>
      </c>
      <c r="Q258">
        <v>6193894.8600000013</v>
      </c>
      <c r="T258">
        <v>6393170.1200000001</v>
      </c>
      <c r="V258">
        <v>6376751.5833888166</v>
      </c>
      <c r="W258">
        <v>6371540.7389013572</v>
      </c>
      <c r="X258">
        <v>6806150.7389013572</v>
      </c>
      <c r="Y258">
        <v>6813395.1789013576</v>
      </c>
      <c r="AA258">
        <v>6930900.6047730185</v>
      </c>
      <c r="AB258">
        <v>6982665.0747730182</v>
      </c>
      <c r="AC258">
        <v>6982096.2347730184</v>
      </c>
      <c r="AD258">
        <v>6931450.4112948226</v>
      </c>
      <c r="AE258">
        <v>6882293.4412948219</v>
      </c>
      <c r="AF258">
        <v>6875009.8212948218</v>
      </c>
      <c r="AG258">
        <v>7021181.3812948214</v>
      </c>
      <c r="AH258">
        <v>7137169.9712948222</v>
      </c>
      <c r="AI258">
        <v>7234003.7912948225</v>
      </c>
      <c r="AJ258">
        <v>7253197.7312948219</v>
      </c>
      <c r="AK258">
        <v>7311261.691294821</v>
      </c>
      <c r="AL258">
        <v>7300295.7812948218</v>
      </c>
      <c r="AM258">
        <v>7351037.2512948215</v>
      </c>
      <c r="AN258">
        <v>7388606.0512948204</v>
      </c>
      <c r="AO258">
        <v>7408503.8312948206</v>
      </c>
      <c r="AP258" s="64">
        <v>7426235.9299999997</v>
      </c>
      <c r="AQ258">
        <v>7668410.3912948202</v>
      </c>
      <c r="AR258">
        <v>7649103.4312948221</v>
      </c>
      <c r="AS258">
        <v>7649726.0012948196</v>
      </c>
      <c r="AT258">
        <v>7612078.0279139923</v>
      </c>
      <c r="AU258">
        <v>7589326.1379139926</v>
      </c>
      <c r="AV258">
        <v>7571073.7279139925</v>
      </c>
      <c r="AW258">
        <v>7555542.6179139921</v>
      </c>
      <c r="AX258">
        <v>7832739.2779139942</v>
      </c>
      <c r="AY258">
        <v>7886887.0679139942</v>
      </c>
      <c r="AZ258">
        <v>7897144.6379139936</v>
      </c>
      <c r="BA258">
        <v>7932738.6779139927</v>
      </c>
      <c r="BB258">
        <v>7947308.3312948197</v>
      </c>
      <c r="BC258">
        <v>7916504.86129482</v>
      </c>
      <c r="BD258">
        <v>7948203.1412948202</v>
      </c>
    </row>
  </sheetData>
  <mergeCells count="5">
    <mergeCell ref="A30:G30"/>
    <mergeCell ref="A24:G24"/>
    <mergeCell ref="A26:G26"/>
    <mergeCell ref="B5:B6"/>
    <mergeCell ref="B8:B14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FF00"/>
  </sheetPr>
  <dimension ref="A1:CE300"/>
  <sheetViews>
    <sheetView tabSelected="1" zoomScale="98" zoomScaleNormal="98" workbookViewId="0">
      <pane xSplit="2" ySplit="1" topLeftCell="X282" activePane="bottomRight" state="frozen"/>
      <selection pane="topRight" activeCell="B1" sqref="B1"/>
      <selection pane="bottomLeft" activeCell="A2" sqref="A2"/>
      <selection pane="bottomRight" activeCell="AF289" sqref="AF289"/>
    </sheetView>
  </sheetViews>
  <sheetFormatPr defaultRowHeight="14.4" x14ac:dyDescent="0.3"/>
  <cols>
    <col min="1" max="1" width="13.33203125" customWidth="1"/>
    <col min="2" max="2" width="13.44140625" style="211" bestFit="1" customWidth="1"/>
    <col min="3" max="3" width="18.44140625" customWidth="1"/>
    <col min="4" max="4" width="11.44140625" style="194" customWidth="1"/>
    <col min="5" max="5" width="17.33203125" style="43" customWidth="1"/>
    <col min="6" max="6" width="9.44140625" customWidth="1"/>
    <col min="7" max="9" width="10.44140625" customWidth="1"/>
    <col min="10" max="10" width="8.44140625" style="186" customWidth="1"/>
    <col min="11" max="11" width="18.44140625" customWidth="1"/>
    <col min="12" max="12" width="10.44140625" style="194" customWidth="1"/>
    <col min="13" max="13" width="15.6640625" style="43" customWidth="1"/>
    <col min="14" max="14" width="11.33203125" bestFit="1" customWidth="1"/>
    <col min="15" max="17" width="10.44140625" customWidth="1"/>
    <col min="18" max="18" width="2" style="186" customWidth="1"/>
    <col min="19" max="19" width="13.33203125" customWidth="1"/>
    <col min="20" max="20" width="13.44140625" style="211" bestFit="1" customWidth="1"/>
    <col min="21" max="21" width="18.44140625" customWidth="1"/>
    <col min="22" max="22" width="10.44140625" style="194" customWidth="1"/>
    <col min="23" max="23" width="16.44140625" style="43" bestFit="1" customWidth="1"/>
    <col min="24" max="24" width="9.44140625" customWidth="1"/>
    <col min="25" max="27" width="10.44140625" customWidth="1"/>
    <col min="28" max="28" width="2.5546875" style="186" customWidth="1"/>
    <col min="29" max="29" width="17.44140625" style="43" customWidth="1"/>
    <col min="30" max="30" width="15.44140625" customWidth="1"/>
    <col min="31" max="31" width="24" customWidth="1"/>
    <col min="32" max="32" width="16.44140625" bestFit="1" customWidth="1"/>
    <col min="36" max="36" width="8.44140625" bestFit="1" customWidth="1"/>
  </cols>
  <sheetData>
    <row r="1" spans="1:83" s="15" customFormat="1" ht="47.85" customHeight="1" x14ac:dyDescent="0.3">
      <c r="B1" s="210"/>
      <c r="C1" s="168" t="s">
        <v>117</v>
      </c>
      <c r="D1" s="198" t="s">
        <v>118</v>
      </c>
      <c r="E1" s="195"/>
      <c r="F1" s="79" t="s">
        <v>119</v>
      </c>
      <c r="G1" s="79" t="s">
        <v>120</v>
      </c>
      <c r="H1" s="79" t="s">
        <v>121</v>
      </c>
      <c r="I1" s="79" t="s">
        <v>122</v>
      </c>
      <c r="J1" s="185"/>
      <c r="K1" s="168" t="s">
        <v>123</v>
      </c>
      <c r="L1" s="198" t="s">
        <v>118</v>
      </c>
      <c r="M1" s="195"/>
      <c r="N1" s="79" t="s">
        <v>119</v>
      </c>
      <c r="O1" s="79" t="s">
        <v>120</v>
      </c>
      <c r="P1" s="79" t="s">
        <v>121</v>
      </c>
      <c r="Q1" s="79" t="s">
        <v>122</v>
      </c>
      <c r="R1" s="185"/>
      <c r="T1" s="210"/>
      <c r="U1" s="168" t="s">
        <v>124</v>
      </c>
      <c r="V1" s="198" t="s">
        <v>118</v>
      </c>
      <c r="W1" s="195"/>
      <c r="X1" s="79" t="s">
        <v>119</v>
      </c>
      <c r="Y1" s="79" t="s">
        <v>120</v>
      </c>
      <c r="Z1" s="79" t="s">
        <v>121</v>
      </c>
      <c r="AA1" s="79" t="s">
        <v>122</v>
      </c>
      <c r="AB1" s="189"/>
      <c r="AC1" s="169" t="s">
        <v>116</v>
      </c>
      <c r="AE1" s="168" t="s">
        <v>125</v>
      </c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</row>
    <row r="2" spans="1:83" x14ac:dyDescent="0.3">
      <c r="B2" s="207">
        <v>43299</v>
      </c>
      <c r="C2" s="148">
        <v>99.997</v>
      </c>
      <c r="D2" s="194">
        <f>C2/100-1</f>
        <v>-2.9999999999974492E-5</v>
      </c>
      <c r="H2" s="184">
        <f>MAX($C$2:C2)</f>
        <v>99.997</v>
      </c>
      <c r="K2" s="148"/>
      <c r="P2" s="184">
        <f>MAX($K$2:K2)</f>
        <v>0</v>
      </c>
      <c r="T2" s="207">
        <v>43299</v>
      </c>
      <c r="U2" s="148">
        <v>100.001</v>
      </c>
      <c r="V2" s="194">
        <f>U2/100-1</f>
        <v>1.0000000000065512E-5</v>
      </c>
      <c r="Z2" s="184">
        <f>MAX($U$2:U2)</f>
        <v>100.001</v>
      </c>
      <c r="AC2" s="43">
        <v>5965660.6973564196</v>
      </c>
    </row>
    <row r="3" spans="1:83" x14ac:dyDescent="0.3">
      <c r="A3" s="118"/>
      <c r="B3" s="207">
        <v>43300</v>
      </c>
      <c r="C3" s="148">
        <v>99.831000000000003</v>
      </c>
      <c r="D3" s="118">
        <f>C3/C2-1</f>
        <v>-1.6600498014940346E-3</v>
      </c>
      <c r="F3" s="118"/>
      <c r="G3" s="118"/>
      <c r="H3" s="184">
        <f>MAX($C$2:C3)</f>
        <v>99.997</v>
      </c>
      <c r="I3" s="118">
        <f>C3/H2-1</f>
        <v>-1.6600498014940346E-3</v>
      </c>
      <c r="J3" s="187"/>
      <c r="K3" s="148"/>
      <c r="L3" s="118"/>
      <c r="N3" s="118"/>
      <c r="O3" s="118"/>
      <c r="P3" s="184">
        <f>MAX($K$2:K3)</f>
        <v>0</v>
      </c>
      <c r="Q3" s="118"/>
      <c r="R3" s="187"/>
      <c r="S3" s="118"/>
      <c r="T3" s="207">
        <v>43300</v>
      </c>
      <c r="U3" s="148">
        <v>99.41</v>
      </c>
      <c r="V3" s="118">
        <f>U3/U2-1</f>
        <v>-5.9099409005910486E-3</v>
      </c>
      <c r="X3" s="118"/>
      <c r="Y3" s="118"/>
      <c r="Z3" s="184">
        <f>MAX($U$2:U3)</f>
        <v>100.001</v>
      </c>
      <c r="AA3" s="118">
        <f>U3/Z2-1</f>
        <v>-5.9099409005910486E-3</v>
      </c>
      <c r="AB3" s="187"/>
      <c r="AC3" s="43">
        <v>5929094.4773564199</v>
      </c>
      <c r="AE3" s="101" t="s">
        <v>126</v>
      </c>
      <c r="AJ3" s="160"/>
    </row>
    <row r="4" spans="1:83" x14ac:dyDescent="0.3">
      <c r="A4" s="118"/>
      <c r="B4" s="207">
        <v>43301</v>
      </c>
      <c r="C4">
        <v>100.05500000000001</v>
      </c>
      <c r="D4" s="118">
        <f t="shared" ref="D4:D67" si="0">C4/C3-1</f>
        <v>2.2437920084943386E-3</v>
      </c>
      <c r="F4" s="118"/>
      <c r="G4" s="118"/>
      <c r="H4" s="184">
        <f>MAX($C$2:C4)</f>
        <v>100.05500000000001</v>
      </c>
      <c r="I4" s="118">
        <f t="shared" ref="I4:I67" si="1">C4/H3-1</f>
        <v>5.8001740052215922E-4</v>
      </c>
      <c r="J4" s="187"/>
      <c r="L4" s="118"/>
      <c r="N4" s="118"/>
      <c r="O4" s="118"/>
      <c r="P4" s="184">
        <f>MAX($K$2:K4)</f>
        <v>0</v>
      </c>
      <c r="Q4" s="118"/>
      <c r="R4" s="187"/>
      <c r="S4" s="118"/>
      <c r="T4" s="207">
        <v>43301</v>
      </c>
      <c r="U4">
        <v>99.643000000000001</v>
      </c>
      <c r="V4" s="118">
        <f t="shared" ref="V4:V67" si="2">U4/U3-1</f>
        <v>2.3438285886732135E-3</v>
      </c>
      <c r="X4" s="118"/>
      <c r="Y4" s="118"/>
      <c r="Z4" s="184">
        <f>MAX($U$2:U4)</f>
        <v>100.001</v>
      </c>
      <c r="AA4" s="118">
        <f t="shared" ref="AA4:AA67" si="3">U4/Z3-1</f>
        <v>-3.579964200357999E-3</v>
      </c>
      <c r="AB4" s="187"/>
      <c r="AC4" s="43">
        <v>5976381.3673564205</v>
      </c>
      <c r="AE4" t="s">
        <v>127</v>
      </c>
      <c r="AF4" s="118">
        <f>VLOOKUP(MAX($B$2:$B$320),$B$2:$C$320,2,FALSE)/100-1</f>
        <v>-9.3899999999998984E-3</v>
      </c>
      <c r="AJ4" s="160"/>
    </row>
    <row r="5" spans="1:83" x14ac:dyDescent="0.3">
      <c r="A5" s="118"/>
      <c r="B5" s="207">
        <v>43304</v>
      </c>
      <c r="C5">
        <v>100.10899999999999</v>
      </c>
      <c r="D5" s="118">
        <f t="shared" si="0"/>
        <v>5.3970316326013013E-4</v>
      </c>
      <c r="F5" s="118"/>
      <c r="G5" s="118"/>
      <c r="H5" s="184">
        <f>MAX($C$2:C5)</f>
        <v>100.10899999999999</v>
      </c>
      <c r="I5" s="118">
        <f t="shared" si="1"/>
        <v>5.3970316326013013E-4</v>
      </c>
      <c r="J5" s="187"/>
      <c r="L5" s="118"/>
      <c r="N5" s="118"/>
      <c r="O5" s="118"/>
      <c r="P5" s="184">
        <f>MAX($K$2:K5)</f>
        <v>0</v>
      </c>
      <c r="Q5" s="118"/>
      <c r="R5" s="187"/>
      <c r="S5" s="118"/>
      <c r="T5" s="207">
        <v>43304</v>
      </c>
      <c r="U5">
        <v>99.72</v>
      </c>
      <c r="V5" s="118">
        <f t="shared" si="2"/>
        <v>7.7275874873294903E-4</v>
      </c>
      <c r="X5" s="118"/>
      <c r="Y5" s="118"/>
      <c r="Z5" s="184">
        <f>MAX($U$2:U5)</f>
        <v>100.001</v>
      </c>
      <c r="AA5" s="118">
        <f t="shared" si="3"/>
        <v>-2.8099719002810941E-3</v>
      </c>
      <c r="AB5" s="187"/>
      <c r="AC5" s="43">
        <v>5974084.0300000003</v>
      </c>
      <c r="AE5" t="s">
        <v>128</v>
      </c>
      <c r="AF5" s="118">
        <f>VLOOKUP(MAX($B$2:$B$320),$B$2:$L$320,10,FALSE)/100-1</f>
        <v>1.2249999999999872E-2</v>
      </c>
      <c r="AJ5" s="160"/>
    </row>
    <row r="6" spans="1:83" x14ac:dyDescent="0.3">
      <c r="A6" s="118"/>
      <c r="B6" s="207">
        <v>43305</v>
      </c>
      <c r="C6">
        <v>100.253</v>
      </c>
      <c r="D6" s="118">
        <f t="shared" si="0"/>
        <v>1.4384321090012975E-3</v>
      </c>
      <c r="F6" s="118"/>
      <c r="G6" s="118"/>
      <c r="H6" s="184">
        <f>MAX($C$2:C6)</f>
        <v>100.253</v>
      </c>
      <c r="I6" s="118">
        <f t="shared" si="1"/>
        <v>1.4384321090012975E-3</v>
      </c>
      <c r="J6" s="187"/>
      <c r="L6" s="118"/>
      <c r="N6" s="118"/>
      <c r="O6" s="118"/>
      <c r="P6" s="184">
        <f>MAX($K$2:K6)</f>
        <v>0</v>
      </c>
      <c r="Q6" s="118"/>
      <c r="R6" s="187"/>
      <c r="S6" s="118"/>
      <c r="T6" s="207">
        <v>43305</v>
      </c>
      <c r="U6">
        <v>99.872</v>
      </c>
      <c r="V6" s="118">
        <f t="shared" si="2"/>
        <v>1.524267950260727E-3</v>
      </c>
      <c r="X6" s="118"/>
      <c r="Y6" s="118"/>
      <c r="Z6" s="184">
        <f>MAX($U$2:U6)</f>
        <v>100.001</v>
      </c>
      <c r="AA6" s="118">
        <f t="shared" si="3"/>
        <v>-1.2899871001290641E-3</v>
      </c>
      <c r="AB6" s="187"/>
      <c r="AC6" s="43">
        <v>5992525.6299999999</v>
      </c>
      <c r="AE6" t="s">
        <v>129</v>
      </c>
      <c r="AF6" s="118"/>
      <c r="AJ6" s="160"/>
    </row>
    <row r="7" spans="1:83" x14ac:dyDescent="0.3">
      <c r="A7" s="118"/>
      <c r="B7" s="207">
        <v>43306</v>
      </c>
      <c r="C7">
        <v>100.107</v>
      </c>
      <c r="D7" s="118">
        <f t="shared" si="0"/>
        <v>-1.4563155217299784E-3</v>
      </c>
      <c r="F7" s="118"/>
      <c r="G7" s="118"/>
      <c r="H7" s="184">
        <f>MAX($C$2:C7)</f>
        <v>100.253</v>
      </c>
      <c r="I7" s="118">
        <f t="shared" si="1"/>
        <v>-1.4563155217299784E-3</v>
      </c>
      <c r="J7" s="187"/>
      <c r="L7" s="118"/>
      <c r="N7" s="118"/>
      <c r="O7" s="118"/>
      <c r="P7" s="184">
        <f>MAX($K$2:K7)</f>
        <v>0</v>
      </c>
      <c r="Q7" s="118"/>
      <c r="R7" s="187"/>
      <c r="S7" s="118"/>
      <c r="T7" s="207">
        <v>43306</v>
      </c>
      <c r="U7">
        <v>99.727000000000004</v>
      </c>
      <c r="V7" s="118">
        <f t="shared" si="2"/>
        <v>-1.4518583787247463E-3</v>
      </c>
      <c r="X7" s="118"/>
      <c r="Y7" s="118"/>
      <c r="Z7" s="184">
        <f>MAX($U$2:U7)</f>
        <v>100.001</v>
      </c>
      <c r="AA7" s="118">
        <f t="shared" si="3"/>
        <v>-2.7399726002740321E-3</v>
      </c>
      <c r="AB7" s="187"/>
      <c r="AC7" s="43">
        <v>6106537.0999999996</v>
      </c>
      <c r="AE7" t="s">
        <v>130</v>
      </c>
      <c r="AF7" s="118">
        <f>VLOOKUP(MAX($B$2:$B$320),$B$1:$V$319,18,FALSE)/100-1</f>
        <v>-1</v>
      </c>
      <c r="AJ7" s="160"/>
    </row>
    <row r="8" spans="1:83" x14ac:dyDescent="0.3">
      <c r="A8" s="118"/>
      <c r="B8" s="207">
        <v>43307</v>
      </c>
      <c r="C8" s="149">
        <v>100.372</v>
      </c>
      <c r="D8" s="118">
        <f t="shared" si="0"/>
        <v>2.6471675307420117E-3</v>
      </c>
      <c r="F8" s="118"/>
      <c r="G8" s="118"/>
      <c r="H8" s="184">
        <f>MAX($C$2:C8)</f>
        <v>100.372</v>
      </c>
      <c r="I8" s="118">
        <f t="shared" si="1"/>
        <v>1.1869968978484025E-3</v>
      </c>
      <c r="J8" s="187"/>
      <c r="K8" s="149"/>
      <c r="L8" s="118"/>
      <c r="N8" s="118"/>
      <c r="O8" s="118"/>
      <c r="P8" s="184">
        <f>MAX($K$2:K8)</f>
        <v>0</v>
      </c>
      <c r="Q8" s="118"/>
      <c r="R8" s="187"/>
      <c r="S8" s="118"/>
      <c r="T8" s="207">
        <v>43307</v>
      </c>
      <c r="U8" s="149">
        <v>99.998999999999995</v>
      </c>
      <c r="V8" s="118">
        <f t="shared" si="2"/>
        <v>2.727445927381611E-3</v>
      </c>
      <c r="X8" s="118"/>
      <c r="Y8" s="118"/>
      <c r="Z8" s="184">
        <f>MAX($U$2:U8)</f>
        <v>100.001</v>
      </c>
      <c r="AA8" s="118">
        <f t="shared" si="3"/>
        <v>-1.9999800002112877E-5</v>
      </c>
      <c r="AB8" s="187"/>
      <c r="AC8" s="43">
        <v>6189055.0800000001</v>
      </c>
      <c r="AJ8" s="160"/>
    </row>
    <row r="9" spans="1:83" x14ac:dyDescent="0.3">
      <c r="A9" s="118"/>
      <c r="B9" s="208">
        <v>43308</v>
      </c>
      <c r="C9">
        <v>100.306</v>
      </c>
      <c r="D9" s="118">
        <f t="shared" si="0"/>
        <v>-6.5755389949395671E-4</v>
      </c>
      <c r="F9" s="118"/>
      <c r="G9" s="118"/>
      <c r="H9" s="184">
        <f>MAX($C$2:C9)</f>
        <v>100.372</v>
      </c>
      <c r="I9" s="118">
        <f t="shared" si="1"/>
        <v>-6.5755389949395671E-4</v>
      </c>
      <c r="J9" s="187"/>
      <c r="L9" s="118"/>
      <c r="N9" s="118"/>
      <c r="O9" s="118"/>
      <c r="P9" s="184">
        <f>MAX($K$2:K9)</f>
        <v>0</v>
      </c>
      <c r="Q9" s="118"/>
      <c r="R9" s="187"/>
      <c r="S9" s="118"/>
      <c r="T9" s="208">
        <v>43308</v>
      </c>
      <c r="U9">
        <v>99.947000000000003</v>
      </c>
      <c r="V9" s="118">
        <f t="shared" si="2"/>
        <v>-5.2000520005190953E-4</v>
      </c>
      <c r="X9" s="118"/>
      <c r="Y9" s="118"/>
      <c r="Z9" s="184">
        <f>MAX($U$2:U9)</f>
        <v>100.001</v>
      </c>
      <c r="AA9" s="118">
        <f t="shared" si="3"/>
        <v>-5.3999460005405009E-4</v>
      </c>
      <c r="AB9" s="187"/>
      <c r="AC9" s="43">
        <v>6193894.8600000013</v>
      </c>
      <c r="AE9" s="101" t="s">
        <v>131</v>
      </c>
      <c r="AJ9" s="160"/>
    </row>
    <row r="10" spans="1:83" x14ac:dyDescent="0.3">
      <c r="A10" s="118"/>
      <c r="B10" s="207">
        <v>43311</v>
      </c>
      <c r="C10">
        <v>99.988</v>
      </c>
      <c r="D10" s="118">
        <f t="shared" si="0"/>
        <v>-3.1702988854106495E-3</v>
      </c>
      <c r="F10" s="118"/>
      <c r="G10" s="118"/>
      <c r="H10" s="184">
        <f>MAX($C$2:C10)</f>
        <v>100.372</v>
      </c>
      <c r="I10" s="118">
        <f t="shared" si="1"/>
        <v>-3.8257681425098999E-3</v>
      </c>
      <c r="J10" s="187"/>
      <c r="L10" s="118"/>
      <c r="N10" s="118"/>
      <c r="O10" s="118"/>
      <c r="P10" s="184">
        <f>MAX($K$2:K10)</f>
        <v>0</v>
      </c>
      <c r="Q10" s="118"/>
      <c r="R10" s="187"/>
      <c r="S10" s="118"/>
      <c r="T10" s="207">
        <v>43311</v>
      </c>
      <c r="U10">
        <v>99.65</v>
      </c>
      <c r="V10" s="118">
        <f t="shared" si="2"/>
        <v>-2.9715749347153375E-3</v>
      </c>
      <c r="X10" s="118"/>
      <c r="Y10" s="118"/>
      <c r="Z10" s="184">
        <f>MAX($U$2:U10)</f>
        <v>100.001</v>
      </c>
      <c r="AA10" s="118">
        <f t="shared" si="3"/>
        <v>-3.509964900350937E-3</v>
      </c>
      <c r="AB10" s="187"/>
      <c r="AC10" s="43">
        <v>6393170.1200000001</v>
      </c>
      <c r="AE10" t="s">
        <v>127</v>
      </c>
      <c r="AF10" s="118">
        <f>STDEV(D:D)*SQRT(250)</f>
        <v>6.0943122300078249E-2</v>
      </c>
      <c r="AJ10" s="160"/>
    </row>
    <row r="11" spans="1:83" x14ac:dyDescent="0.3">
      <c r="A11" s="118"/>
      <c r="B11" s="207">
        <v>43312</v>
      </c>
      <c r="C11" s="149">
        <v>99.763999999999996</v>
      </c>
      <c r="D11" s="118">
        <f t="shared" si="0"/>
        <v>-2.2402688322599174E-3</v>
      </c>
      <c r="F11" s="118"/>
      <c r="G11" s="118">
        <f>C11/100-1</f>
        <v>-2.3600000000000287E-3</v>
      </c>
      <c r="H11" s="184">
        <f>MAX($C$2:C11)</f>
        <v>100.372</v>
      </c>
      <c r="I11" s="118">
        <f t="shared" si="1"/>
        <v>-6.0574662256406286E-3</v>
      </c>
      <c r="J11" s="187"/>
      <c r="K11" s="149"/>
      <c r="L11" s="118"/>
      <c r="N11" s="118"/>
      <c r="O11" s="118"/>
      <c r="P11" s="184">
        <f>MAX($K$2:K11)</f>
        <v>0</v>
      </c>
      <c r="Q11" s="118"/>
      <c r="R11" s="187"/>
      <c r="S11" s="118"/>
      <c r="T11" s="207">
        <v>43312</v>
      </c>
      <c r="U11" s="149">
        <v>99.438999999999993</v>
      </c>
      <c r="V11" s="118">
        <f t="shared" si="2"/>
        <v>-2.1174109382841033E-3</v>
      </c>
      <c r="X11" s="118"/>
      <c r="Y11" s="118">
        <f>U11/100-1</f>
        <v>-5.6100000000001149E-3</v>
      </c>
      <c r="Z11" s="184">
        <f>MAX($U$2:U11)</f>
        <v>100.001</v>
      </c>
      <c r="AA11" s="118">
        <f t="shared" si="3"/>
        <v>-5.6199438005620772E-3</v>
      </c>
      <c r="AB11" s="187"/>
      <c r="AC11" s="43">
        <v>6376751.5833888166</v>
      </c>
      <c r="AE11" t="s">
        <v>128</v>
      </c>
      <c r="AF11" s="118">
        <f>STDEV(L:L)*SQRT(250)</f>
        <v>6.2788061414913429E-2</v>
      </c>
      <c r="AJ11" s="160"/>
    </row>
    <row r="12" spans="1:83" x14ac:dyDescent="0.3">
      <c r="A12" s="118"/>
      <c r="B12" s="207">
        <v>43313</v>
      </c>
      <c r="C12">
        <v>99.731999999999999</v>
      </c>
      <c r="D12" s="118">
        <f t="shared" si="0"/>
        <v>-3.2075698648803552E-4</v>
      </c>
      <c r="F12" s="118"/>
      <c r="G12" s="118"/>
      <c r="H12" s="184">
        <f>MAX($C$2:C12)</f>
        <v>100.372</v>
      </c>
      <c r="I12" s="118">
        <f t="shared" si="1"/>
        <v>-6.3762802375164629E-3</v>
      </c>
      <c r="J12" s="187"/>
      <c r="L12" s="118"/>
      <c r="N12" s="118"/>
      <c r="O12" s="118"/>
      <c r="P12" s="184">
        <f>MAX($K$2:K12)</f>
        <v>0</v>
      </c>
      <c r="Q12" s="118"/>
      <c r="R12" s="187"/>
      <c r="S12" s="118"/>
      <c r="T12" s="207">
        <v>43313</v>
      </c>
      <c r="U12">
        <v>99.415000000000006</v>
      </c>
      <c r="V12" s="118">
        <f t="shared" si="2"/>
        <v>-2.4135399591695972E-4</v>
      </c>
      <c r="X12" s="118"/>
      <c r="Y12" s="118"/>
      <c r="Z12" s="184">
        <f>MAX($U$2:U12)</f>
        <v>100.001</v>
      </c>
      <c r="AA12" s="118">
        <f t="shared" si="3"/>
        <v>-5.8599414005859884E-3</v>
      </c>
      <c r="AB12" s="187"/>
      <c r="AC12" s="43">
        <v>6371540.7389013572</v>
      </c>
      <c r="AE12" t="s">
        <v>129</v>
      </c>
      <c r="AF12" s="118"/>
      <c r="AJ12" s="160"/>
    </row>
    <row r="13" spans="1:83" x14ac:dyDescent="0.3">
      <c r="A13" s="118"/>
      <c r="B13" s="207">
        <v>43314</v>
      </c>
      <c r="C13" s="149">
        <v>99.625</v>
      </c>
      <c r="D13" s="118">
        <f t="shared" si="0"/>
        <v>-1.072875305819565E-3</v>
      </c>
      <c r="F13" s="118"/>
      <c r="G13" s="118"/>
      <c r="H13" s="184">
        <f>MAX($C$2:C13)</f>
        <v>100.372</v>
      </c>
      <c r="I13" s="118">
        <f t="shared" si="1"/>
        <v>-7.4423145897262177E-3</v>
      </c>
      <c r="J13" s="187"/>
      <c r="K13" s="149"/>
      <c r="L13" s="118"/>
      <c r="N13" s="118"/>
      <c r="O13" s="118"/>
      <c r="P13" s="184">
        <f>MAX($K$2:K13)</f>
        <v>0</v>
      </c>
      <c r="Q13" s="118"/>
      <c r="R13" s="187"/>
      <c r="S13" s="118"/>
      <c r="T13" s="207">
        <v>43314</v>
      </c>
      <c r="U13" s="149">
        <v>99.292000000000002</v>
      </c>
      <c r="V13" s="118">
        <f t="shared" si="2"/>
        <v>-1.2372378413720853E-3</v>
      </c>
      <c r="X13" s="118"/>
      <c r="Y13" s="118"/>
      <c r="Z13" s="184">
        <f>MAX($U$2:U13)</f>
        <v>100.001</v>
      </c>
      <c r="AA13" s="118">
        <f t="shared" si="3"/>
        <v>-7.089929100709047E-3</v>
      </c>
      <c r="AB13" s="187"/>
      <c r="AC13" s="43">
        <v>6806150.7389013572</v>
      </c>
      <c r="AE13" t="s">
        <v>130</v>
      </c>
      <c r="AF13" s="118">
        <f>STDEV(V:V)*SQRT(250)</f>
        <v>5.893992293059596E-2</v>
      </c>
      <c r="AJ13" s="160"/>
    </row>
    <row r="14" spans="1:83" x14ac:dyDescent="0.3">
      <c r="A14" s="118"/>
      <c r="B14" s="208">
        <v>43315</v>
      </c>
      <c r="C14">
        <v>99.626999999999995</v>
      </c>
      <c r="D14" s="118">
        <f t="shared" si="0"/>
        <v>2.0075282308518183E-5</v>
      </c>
      <c r="F14" s="118">
        <f>C14/C9-1</f>
        <v>-6.7692859848862419E-3</v>
      </c>
      <c r="G14" s="118"/>
      <c r="H14" s="184">
        <f>MAX($C$2:C14)</f>
        <v>100.372</v>
      </c>
      <c r="I14" s="118">
        <f t="shared" si="1"/>
        <v>-7.4223887139840405E-3</v>
      </c>
      <c r="J14" s="187"/>
      <c r="L14" s="118"/>
      <c r="N14" s="118"/>
      <c r="O14" s="118"/>
      <c r="P14" s="184">
        <f>MAX($K$2:K14)</f>
        <v>0</v>
      </c>
      <c r="Q14" s="118"/>
      <c r="R14" s="187"/>
      <c r="S14" s="118"/>
      <c r="T14" s="208">
        <v>43315</v>
      </c>
      <c r="U14">
        <v>99.307000000000002</v>
      </c>
      <c r="V14" s="118">
        <f t="shared" si="2"/>
        <v>1.5106957257393638E-4</v>
      </c>
      <c r="X14" s="118">
        <f>U14/U9-1</f>
        <v>-6.4033937987133527E-3</v>
      </c>
      <c r="Y14" s="118"/>
      <c r="Z14" s="184">
        <f>MAX($U$2:U14)</f>
        <v>100.001</v>
      </c>
      <c r="AA14" s="118">
        <f t="shared" si="3"/>
        <v>-6.9399306006939776E-3</v>
      </c>
      <c r="AB14" s="187"/>
      <c r="AC14" s="43">
        <v>6813395.1789013576</v>
      </c>
      <c r="AJ14" s="160"/>
    </row>
    <row r="15" spans="1:83" x14ac:dyDescent="0.3">
      <c r="A15" s="118"/>
      <c r="B15" s="207">
        <v>43318</v>
      </c>
      <c r="C15">
        <v>99.647000000000006</v>
      </c>
      <c r="D15" s="118">
        <f t="shared" si="0"/>
        <v>2.0074879299802895E-4</v>
      </c>
      <c r="F15" s="118"/>
      <c r="G15" s="118"/>
      <c r="H15" s="184">
        <f>MAX($C$2:C15)</f>
        <v>100.372</v>
      </c>
      <c r="I15" s="118">
        <f t="shared" si="1"/>
        <v>-7.2231299565614915E-3</v>
      </c>
      <c r="J15" s="187"/>
      <c r="L15" s="118"/>
      <c r="N15" s="118"/>
      <c r="O15" s="118"/>
      <c r="P15" s="184">
        <f>MAX($K$2:K15)</f>
        <v>0</v>
      </c>
      <c r="Q15" s="118"/>
      <c r="R15" s="187"/>
      <c r="S15" s="118"/>
      <c r="T15" s="207">
        <v>43318</v>
      </c>
      <c r="U15">
        <v>99.337999999999994</v>
      </c>
      <c r="V15" s="118">
        <f t="shared" si="2"/>
        <v>3.121632916107675E-4</v>
      </c>
      <c r="X15" s="118"/>
      <c r="Y15" s="118"/>
      <c r="Z15" s="184">
        <f>MAX($U$2:U15)</f>
        <v>100.001</v>
      </c>
      <c r="AA15" s="118">
        <f t="shared" si="3"/>
        <v>-6.6299337006631154E-3</v>
      </c>
      <c r="AB15" s="187"/>
      <c r="AC15" s="43">
        <v>6930900.6047730185</v>
      </c>
      <c r="AE15" s="101" t="s">
        <v>132</v>
      </c>
      <c r="AJ15" s="160"/>
    </row>
    <row r="16" spans="1:83" x14ac:dyDescent="0.3">
      <c r="A16" s="118"/>
      <c r="B16" s="207">
        <v>43319</v>
      </c>
      <c r="C16">
        <v>100.05</v>
      </c>
      <c r="D16" s="118">
        <f t="shared" si="0"/>
        <v>4.0442762953223355E-3</v>
      </c>
      <c r="F16" s="118"/>
      <c r="G16" s="118"/>
      <c r="H16" s="184">
        <f>MAX($C$2:C16)</f>
        <v>100.372</v>
      </c>
      <c r="I16" s="118">
        <f t="shared" si="1"/>
        <v>-3.2080659945005197E-3</v>
      </c>
      <c r="J16" s="187"/>
      <c r="L16" s="118"/>
      <c r="N16" s="118"/>
      <c r="O16" s="118"/>
      <c r="P16" s="184">
        <f>MAX($K$2:K16)</f>
        <v>0</v>
      </c>
      <c r="Q16" s="118"/>
      <c r="R16" s="187"/>
      <c r="S16" s="118"/>
      <c r="T16" s="207">
        <v>43319</v>
      </c>
      <c r="U16">
        <v>99.745000000000005</v>
      </c>
      <c r="V16" s="118">
        <f t="shared" si="2"/>
        <v>4.0971229539552567E-3</v>
      </c>
      <c r="X16" s="118"/>
      <c r="Y16" s="118"/>
      <c r="Z16" s="184">
        <f>MAX($U$2:U16)</f>
        <v>100.001</v>
      </c>
      <c r="AA16" s="118">
        <f t="shared" si="3"/>
        <v>-2.5599744002560154E-3</v>
      </c>
      <c r="AB16" s="187"/>
      <c r="AC16" s="43">
        <v>6982665.0747730182</v>
      </c>
      <c r="AE16" t="s">
        <v>127</v>
      </c>
      <c r="AF16" s="118">
        <f>MIN(I:I)</f>
        <v>-5.1523364207642142E-2</v>
      </c>
      <c r="AJ16" s="160"/>
    </row>
    <row r="17" spans="1:36" x14ac:dyDescent="0.3">
      <c r="A17" s="118"/>
      <c r="B17" s="207">
        <v>43320</v>
      </c>
      <c r="C17">
        <v>100.017</v>
      </c>
      <c r="D17" s="118">
        <f t="shared" si="0"/>
        <v>-3.2983508245876259E-4</v>
      </c>
      <c r="F17" s="118"/>
      <c r="G17" s="118"/>
      <c r="H17" s="184">
        <f>MAX($C$2:C17)</f>
        <v>100.372</v>
      </c>
      <c r="I17" s="118">
        <f t="shared" si="1"/>
        <v>-3.536842944247387E-3</v>
      </c>
      <c r="J17" s="187"/>
      <c r="L17" s="118"/>
      <c r="N17" s="118"/>
      <c r="O17" s="118"/>
      <c r="P17" s="184">
        <f>MAX($K$2:K17)</f>
        <v>0</v>
      </c>
      <c r="Q17" s="118"/>
      <c r="R17" s="187"/>
      <c r="S17" s="118"/>
      <c r="T17" s="207">
        <v>43320</v>
      </c>
      <c r="U17">
        <v>99.713999999999999</v>
      </c>
      <c r="V17" s="118">
        <f t="shared" si="2"/>
        <v>-3.1079252092847121E-4</v>
      </c>
      <c r="X17" s="118"/>
      <c r="Y17" s="118"/>
      <c r="Z17" s="184">
        <f>MAX($U$2:U17)</f>
        <v>100.001</v>
      </c>
      <c r="AA17" s="118">
        <f t="shared" si="3"/>
        <v>-2.8699713002870997E-3</v>
      </c>
      <c r="AB17" s="187"/>
      <c r="AC17" s="43">
        <v>6982096.2347730184</v>
      </c>
      <c r="AE17" t="s">
        <v>128</v>
      </c>
      <c r="AF17" s="118">
        <f>MIN(Q:Q)</f>
        <v>-5.1324000509419432E-2</v>
      </c>
      <c r="AJ17" s="160"/>
    </row>
    <row r="18" spans="1:36" x14ac:dyDescent="0.3">
      <c r="A18" s="118"/>
      <c r="B18" s="208">
        <v>43322</v>
      </c>
      <c r="C18">
        <v>99.811000000000007</v>
      </c>
      <c r="D18" s="118">
        <f t="shared" si="0"/>
        <v>-2.0596498595237822E-3</v>
      </c>
      <c r="F18" s="118">
        <f>C18/C14-1</f>
        <v>1.8468888955807117E-3</v>
      </c>
      <c r="G18" s="118"/>
      <c r="H18" s="184">
        <f>MAX($C$2:C18)</f>
        <v>100.372</v>
      </c>
      <c r="I18" s="118">
        <f t="shared" si="1"/>
        <v>-5.5892081456979659E-3</v>
      </c>
      <c r="J18" s="187"/>
      <c r="L18" s="118"/>
      <c r="N18" s="118"/>
      <c r="O18" s="118"/>
      <c r="P18" s="184">
        <f>MAX($K$2:K18)</f>
        <v>0</v>
      </c>
      <c r="Q18" s="118"/>
      <c r="R18" s="187"/>
      <c r="S18" s="118"/>
      <c r="T18" s="208">
        <v>43322</v>
      </c>
      <c r="U18">
        <v>99.525000000000006</v>
      </c>
      <c r="V18" s="118">
        <f t="shared" si="2"/>
        <v>-1.8954209037848058E-3</v>
      </c>
      <c r="X18" s="118">
        <f>U18/U14-1</f>
        <v>2.1952128248763358E-3</v>
      </c>
      <c r="Y18" s="118"/>
      <c r="Z18" s="184">
        <f>MAX($U$2:U18)</f>
        <v>100.001</v>
      </c>
      <c r="AA18" s="118">
        <f t="shared" si="3"/>
        <v>-4.7599524004759974E-3</v>
      </c>
      <c r="AB18" s="187"/>
      <c r="AC18" s="43">
        <v>6931450.4112948226</v>
      </c>
      <c r="AE18" t="s">
        <v>129</v>
      </c>
      <c r="AF18" s="118"/>
      <c r="AJ18" s="160"/>
    </row>
    <row r="19" spans="1:36" x14ac:dyDescent="0.3">
      <c r="A19" s="118"/>
      <c r="B19" s="207">
        <v>43325</v>
      </c>
      <c r="C19">
        <v>99.466999999999999</v>
      </c>
      <c r="D19" s="118">
        <f t="shared" si="0"/>
        <v>-3.4465139112924703E-3</v>
      </c>
      <c r="F19" s="118"/>
      <c r="G19" s="118"/>
      <c r="H19" s="184">
        <f>MAX($C$2:C19)</f>
        <v>100.372</v>
      </c>
      <c r="I19" s="118">
        <f t="shared" si="1"/>
        <v>-9.0164587733631008E-3</v>
      </c>
      <c r="J19" s="187"/>
      <c r="L19" s="118"/>
      <c r="N19" s="118"/>
      <c r="O19" s="118"/>
      <c r="P19" s="184">
        <f>MAX($K$2:K19)</f>
        <v>0</v>
      </c>
      <c r="Q19" s="118"/>
      <c r="R19" s="187"/>
      <c r="S19" s="118"/>
      <c r="T19" s="207">
        <v>43325</v>
      </c>
      <c r="U19">
        <v>99.206999999999994</v>
      </c>
      <c r="V19" s="118">
        <f t="shared" si="2"/>
        <v>-3.1951770911832211E-3</v>
      </c>
      <c r="X19" s="118"/>
      <c r="Y19" s="118"/>
      <c r="Z19" s="184">
        <f>MAX($U$2:U19)</f>
        <v>100.001</v>
      </c>
      <c r="AA19" s="118">
        <f t="shared" si="3"/>
        <v>-7.9399206007940704E-3</v>
      </c>
      <c r="AB19" s="187"/>
      <c r="AC19" s="43">
        <v>6882293.4412948219</v>
      </c>
      <c r="AE19" t="s">
        <v>130</v>
      </c>
      <c r="AF19" s="118">
        <f>MIN(AA:AA)</f>
        <v>-4.8501232408364459E-2</v>
      </c>
      <c r="AJ19" s="160"/>
    </row>
    <row r="20" spans="1:36" x14ac:dyDescent="0.3">
      <c r="A20" s="118"/>
      <c r="B20" s="207">
        <v>43326</v>
      </c>
      <c r="C20">
        <v>99.298000000000002</v>
      </c>
      <c r="D20" s="118">
        <f t="shared" si="0"/>
        <v>-1.6990559683111028E-3</v>
      </c>
      <c r="F20" s="118"/>
      <c r="G20" s="118"/>
      <c r="H20" s="184">
        <f>MAX($C$2:C20)</f>
        <v>100.372</v>
      </c>
      <c r="I20" s="118">
        <f t="shared" si="1"/>
        <v>-1.0700195273582236E-2</v>
      </c>
      <c r="J20" s="187"/>
      <c r="L20" s="118"/>
      <c r="N20" s="118"/>
      <c r="O20" s="118"/>
      <c r="P20" s="184">
        <f>MAX($K$2:K20)</f>
        <v>0</v>
      </c>
      <c r="Q20" s="118"/>
      <c r="R20" s="187"/>
      <c r="S20" s="118"/>
      <c r="T20" s="207">
        <v>43326</v>
      </c>
      <c r="U20">
        <v>99.043000000000006</v>
      </c>
      <c r="V20" s="118">
        <f t="shared" si="2"/>
        <v>-1.6531091556037936E-3</v>
      </c>
      <c r="X20" s="118"/>
      <c r="Y20" s="118"/>
      <c r="Z20" s="184">
        <f>MAX($U$2:U20)</f>
        <v>100.001</v>
      </c>
      <c r="AA20" s="118">
        <f t="shared" si="3"/>
        <v>-9.5799042009580004E-3</v>
      </c>
      <c r="AB20" s="187"/>
      <c r="AC20" s="43">
        <v>6875009.8212948218</v>
      </c>
      <c r="AJ20" s="160"/>
    </row>
    <row r="21" spans="1:36" x14ac:dyDescent="0.3">
      <c r="A21" s="118"/>
      <c r="B21" s="207">
        <v>43327</v>
      </c>
      <c r="C21">
        <v>98.804000000000002</v>
      </c>
      <c r="D21" s="118">
        <f t="shared" si="0"/>
        <v>-4.9749239662429945E-3</v>
      </c>
      <c r="F21" s="118"/>
      <c r="G21" s="118"/>
      <c r="H21" s="184">
        <f>MAX($C$2:C21)</f>
        <v>100.372</v>
      </c>
      <c r="I21" s="118">
        <f t="shared" si="1"/>
        <v>-1.5621886581915212E-2</v>
      </c>
      <c r="J21" s="187"/>
      <c r="L21" s="118"/>
      <c r="N21" s="118"/>
      <c r="O21" s="118"/>
      <c r="P21" s="184">
        <f>MAX($K$2:K21)</f>
        <v>0</v>
      </c>
      <c r="Q21" s="118"/>
      <c r="R21" s="187"/>
      <c r="S21" s="118"/>
      <c r="T21" s="207">
        <v>43327</v>
      </c>
      <c r="U21">
        <v>98.552999999999997</v>
      </c>
      <c r="V21" s="118">
        <f t="shared" si="2"/>
        <v>-4.947346102198158E-3</v>
      </c>
      <c r="X21" s="118"/>
      <c r="Y21" s="118"/>
      <c r="Z21" s="184">
        <f>MAX($U$2:U21)</f>
        <v>100.001</v>
      </c>
      <c r="AA21" s="118">
        <f t="shared" si="3"/>
        <v>-1.4479855201448011E-2</v>
      </c>
      <c r="AB21" s="187"/>
      <c r="AC21" s="43">
        <v>7021181.3812948214</v>
      </c>
      <c r="AE21" s="101" t="s">
        <v>133</v>
      </c>
      <c r="AF21" t="s">
        <v>134</v>
      </c>
      <c r="AJ21" s="160"/>
    </row>
    <row r="22" spans="1:36" x14ac:dyDescent="0.3">
      <c r="A22" s="118"/>
      <c r="B22" s="207">
        <v>43328</v>
      </c>
      <c r="C22">
        <v>99.027000000000001</v>
      </c>
      <c r="D22" s="118">
        <f t="shared" si="0"/>
        <v>2.2569936439820193E-3</v>
      </c>
      <c r="F22" s="118"/>
      <c r="G22" s="118"/>
      <c r="H22" s="184">
        <f>MAX($C$2:C22)</f>
        <v>100.372</v>
      </c>
      <c r="I22" s="118">
        <f t="shared" si="1"/>
        <v>-1.3400151436655627E-2</v>
      </c>
      <c r="J22" s="187"/>
      <c r="K22">
        <v>100.21899999999999</v>
      </c>
      <c r="L22" s="118">
        <f>K22/100-1</f>
        <v>2.1899999999999142E-3</v>
      </c>
      <c r="N22" s="118"/>
      <c r="O22" s="118"/>
      <c r="P22" s="184">
        <f>MAX($K$2:K22)</f>
        <v>100.21899999999999</v>
      </c>
      <c r="Q22" s="118"/>
      <c r="R22" s="187"/>
      <c r="S22" s="118"/>
      <c r="T22" s="207">
        <v>43328</v>
      </c>
      <c r="U22">
        <v>98.772999999999996</v>
      </c>
      <c r="V22" s="118">
        <f t="shared" si="2"/>
        <v>2.2323014012763931E-3</v>
      </c>
      <c r="X22" s="118"/>
      <c r="Y22" s="118"/>
      <c r="Z22" s="184">
        <f>MAX($U$2:U22)</f>
        <v>100.001</v>
      </c>
      <c r="AA22" s="118">
        <f t="shared" si="3"/>
        <v>-1.2279877201228029E-2</v>
      </c>
      <c r="AB22" s="187"/>
      <c r="AC22" s="43">
        <v>7137169.9712948222</v>
      </c>
      <c r="AE22" t="s">
        <v>127</v>
      </c>
      <c r="AF22" t="s">
        <v>135</v>
      </c>
      <c r="AJ22" s="160"/>
    </row>
    <row r="23" spans="1:36" x14ac:dyDescent="0.3">
      <c r="A23" s="118"/>
      <c r="B23" s="208">
        <v>43329</v>
      </c>
      <c r="C23">
        <v>99.028999999999996</v>
      </c>
      <c r="D23" s="118">
        <f t="shared" si="0"/>
        <v>2.0196512062309324E-5</v>
      </c>
      <c r="F23" s="118">
        <f>C23/C18-1</f>
        <v>-7.8348077867169685E-3</v>
      </c>
      <c r="G23" s="118"/>
      <c r="H23" s="184">
        <f>MAX($C$2:C23)</f>
        <v>100.372</v>
      </c>
      <c r="I23" s="118">
        <f t="shared" si="1"/>
        <v>-1.338022556091345E-2</v>
      </c>
      <c r="J23" s="187"/>
      <c r="K23">
        <v>100.235</v>
      </c>
      <c r="L23" s="118">
        <f t="shared" ref="L23:L77" si="4">K23/K22-1</f>
        <v>1.596503656990933E-4</v>
      </c>
      <c r="N23" s="118"/>
      <c r="O23" s="118"/>
      <c r="P23" s="184">
        <f>MAX($K$2:K23)</f>
        <v>100.235</v>
      </c>
      <c r="Q23" s="118">
        <f t="shared" ref="Q23:Q75" si="5">K23/P22-1</f>
        <v>1.596503656990933E-4</v>
      </c>
      <c r="R23" s="187"/>
      <c r="S23" s="118"/>
      <c r="T23" s="208">
        <v>43329</v>
      </c>
      <c r="U23">
        <v>98.793000000000006</v>
      </c>
      <c r="V23" s="118">
        <f t="shared" si="2"/>
        <v>2.0248448462645285E-4</v>
      </c>
      <c r="X23" s="118">
        <f>U23/U18-1</f>
        <v>-7.3549359457422137E-3</v>
      </c>
      <c r="Y23" s="118"/>
      <c r="Z23" s="184">
        <f>MAX($U$2:U23)</f>
        <v>100.001</v>
      </c>
      <c r="AA23" s="118">
        <f t="shared" si="3"/>
        <v>-1.207987920120801E-2</v>
      </c>
      <c r="AB23" s="187"/>
      <c r="AC23" s="43">
        <v>7234003.7912948225</v>
      </c>
      <c r="AE23" t="s">
        <v>128</v>
      </c>
      <c r="AF23" s="188"/>
      <c r="AJ23" s="160"/>
    </row>
    <row r="24" spans="1:36" x14ac:dyDescent="0.3">
      <c r="A24" s="118"/>
      <c r="B24" s="207">
        <v>43332</v>
      </c>
      <c r="C24">
        <v>99.209000000000003</v>
      </c>
      <c r="D24" s="118">
        <f t="shared" si="0"/>
        <v>1.8176493754356038E-3</v>
      </c>
      <c r="F24" s="118"/>
      <c r="G24" s="118"/>
      <c r="H24" s="184">
        <f>MAX($C$2:C24)</f>
        <v>100.372</v>
      </c>
      <c r="I24" s="118">
        <f t="shared" si="1"/>
        <v>-1.1586896744111841E-2</v>
      </c>
      <c r="J24" s="187"/>
      <c r="K24">
        <v>100.425</v>
      </c>
      <c r="L24" s="118">
        <f t="shared" si="4"/>
        <v>1.8955454681497397E-3</v>
      </c>
      <c r="N24" s="118"/>
      <c r="O24" s="118"/>
      <c r="P24" s="184">
        <f>MAX($K$2:K24)</f>
        <v>100.425</v>
      </c>
      <c r="Q24" s="118">
        <f t="shared" si="5"/>
        <v>1.8955454681497397E-3</v>
      </c>
      <c r="R24" s="187"/>
      <c r="S24" s="118"/>
      <c r="T24" s="207">
        <v>43332</v>
      </c>
      <c r="U24">
        <v>98.992000000000004</v>
      </c>
      <c r="V24" s="118">
        <f t="shared" si="2"/>
        <v>2.014312754952341E-3</v>
      </c>
      <c r="X24" s="118"/>
      <c r="Y24" s="118"/>
      <c r="Z24" s="184">
        <f>MAX($U$2:U24)</f>
        <v>100.001</v>
      </c>
      <c r="AA24" s="118">
        <f t="shared" si="3"/>
        <v>-1.0089899101008992E-2</v>
      </c>
      <c r="AB24" s="187"/>
      <c r="AC24" s="43">
        <v>7253197.7312948219</v>
      </c>
      <c r="AE24" t="s">
        <v>129</v>
      </c>
      <c r="AF24" t="s">
        <v>135</v>
      </c>
      <c r="AJ24" s="160"/>
    </row>
    <row r="25" spans="1:36" x14ac:dyDescent="0.3">
      <c r="A25" s="118"/>
      <c r="B25" s="207">
        <v>43333</v>
      </c>
      <c r="C25">
        <v>99.736999999999995</v>
      </c>
      <c r="D25" s="118">
        <f t="shared" si="0"/>
        <v>5.322097793546865E-3</v>
      </c>
      <c r="F25" s="118"/>
      <c r="G25" s="118"/>
      <c r="H25" s="184">
        <f>MAX($C$2:C25)</f>
        <v>100.372</v>
      </c>
      <c r="I25" s="118">
        <f t="shared" si="1"/>
        <v>-6.3264655481608534E-3</v>
      </c>
      <c r="J25" s="187"/>
      <c r="K25">
        <v>100.968</v>
      </c>
      <c r="L25" s="118">
        <f t="shared" si="4"/>
        <v>5.4070201643017235E-3</v>
      </c>
      <c r="N25" s="118"/>
      <c r="O25" s="118"/>
      <c r="P25" s="184">
        <f>MAX($K$2:K25)</f>
        <v>100.968</v>
      </c>
      <c r="Q25" s="118">
        <f t="shared" si="5"/>
        <v>5.4070201643017235E-3</v>
      </c>
      <c r="R25" s="187"/>
      <c r="S25" s="118"/>
      <c r="T25" s="207">
        <v>43333</v>
      </c>
      <c r="U25">
        <v>99.531999999999996</v>
      </c>
      <c r="V25" s="118">
        <f t="shared" si="2"/>
        <v>5.4549862615160816E-3</v>
      </c>
      <c r="X25" s="118"/>
      <c r="Y25" s="118"/>
      <c r="Z25" s="184">
        <f>MAX($U$2:U25)</f>
        <v>100.001</v>
      </c>
      <c r="AA25" s="118">
        <f t="shared" si="3"/>
        <v>-4.6899531004690465E-3</v>
      </c>
      <c r="AB25" s="187"/>
      <c r="AC25" s="43">
        <v>7311261.691294821</v>
      </c>
      <c r="AE25" t="s">
        <v>130</v>
      </c>
      <c r="AF25" t="s">
        <v>135</v>
      </c>
      <c r="AJ25" s="160"/>
    </row>
    <row r="26" spans="1:36" x14ac:dyDescent="0.3">
      <c r="A26" s="118"/>
      <c r="B26" s="207">
        <v>43335</v>
      </c>
      <c r="C26">
        <v>99.888000000000005</v>
      </c>
      <c r="D26" s="118">
        <f t="shared" si="0"/>
        <v>1.5139817720606352E-3</v>
      </c>
      <c r="F26" s="118"/>
      <c r="G26" s="118"/>
      <c r="H26" s="184">
        <f>MAX($C$2:C26)</f>
        <v>100.372</v>
      </c>
      <c r="I26" s="118">
        <f t="shared" si="1"/>
        <v>-4.8220619296217571E-3</v>
      </c>
      <c r="J26" s="187"/>
      <c r="K26">
        <v>101.124</v>
      </c>
      <c r="L26" s="118">
        <f t="shared" si="4"/>
        <v>1.5450439743283084E-3</v>
      </c>
      <c r="N26" s="118"/>
      <c r="O26" s="118"/>
      <c r="P26" s="184">
        <f>MAX($K$2:K26)</f>
        <v>101.124</v>
      </c>
      <c r="Q26" s="118">
        <f t="shared" si="5"/>
        <v>1.5450439743283084E-3</v>
      </c>
      <c r="R26" s="187"/>
      <c r="S26" s="118"/>
      <c r="T26" s="207">
        <v>43335</v>
      </c>
      <c r="U26">
        <v>99.694000000000003</v>
      </c>
      <c r="V26" s="118">
        <f t="shared" si="2"/>
        <v>1.627617248724178E-3</v>
      </c>
      <c r="X26" s="118"/>
      <c r="Y26" s="118"/>
      <c r="Z26" s="184">
        <f>MAX($U$2:U26)</f>
        <v>100.001</v>
      </c>
      <c r="AA26" s="118">
        <f t="shared" si="3"/>
        <v>-3.0699693003070072E-3</v>
      </c>
      <c r="AB26" s="187"/>
      <c r="AC26" s="43">
        <v>7300295.7812948218</v>
      </c>
      <c r="AJ26" s="160"/>
    </row>
    <row r="27" spans="1:36" x14ac:dyDescent="0.3">
      <c r="A27" s="118"/>
      <c r="B27" s="208">
        <v>43336</v>
      </c>
      <c r="C27">
        <v>100.017</v>
      </c>
      <c r="D27" s="118">
        <f t="shared" si="0"/>
        <v>1.2914464199902387E-3</v>
      </c>
      <c r="F27" s="118">
        <f>C27/C23-1</f>
        <v>9.9768754607236776E-3</v>
      </c>
      <c r="G27" s="118"/>
      <c r="H27" s="184">
        <f>MAX($C$2:C27)</f>
        <v>100.372</v>
      </c>
      <c r="I27" s="118">
        <f t="shared" si="1"/>
        <v>-3.536842944247387E-3</v>
      </c>
      <c r="J27" s="187"/>
      <c r="K27">
        <v>101.26900000000001</v>
      </c>
      <c r="L27" s="118">
        <f t="shared" si="4"/>
        <v>1.4338831533564633E-3</v>
      </c>
      <c r="N27" s="118">
        <f>K27/K23-1</f>
        <v>1.0315757968773376E-2</v>
      </c>
      <c r="O27" s="118"/>
      <c r="P27" s="184">
        <f>MAX($K$2:K27)</f>
        <v>101.26900000000001</v>
      </c>
      <c r="Q27" s="118">
        <f t="shared" si="5"/>
        <v>1.4338831533564633E-3</v>
      </c>
      <c r="R27" s="187"/>
      <c r="S27" s="118"/>
      <c r="T27" s="208">
        <v>43336</v>
      </c>
      <c r="U27">
        <v>99.840999999999994</v>
      </c>
      <c r="V27" s="118">
        <f t="shared" si="2"/>
        <v>1.474512006740536E-3</v>
      </c>
      <c r="X27" s="118">
        <f>U27/U23-1</f>
        <v>1.060803903110541E-2</v>
      </c>
      <c r="Y27" s="118"/>
      <c r="Z27" s="184">
        <f>MAX($U$2:U27)</f>
        <v>100.001</v>
      </c>
      <c r="AA27" s="118">
        <f t="shared" si="3"/>
        <v>-1.5999840001601484E-3</v>
      </c>
      <c r="AB27" s="187"/>
      <c r="AC27" s="43">
        <v>7351037.2512948215</v>
      </c>
      <c r="AE27" s="101"/>
      <c r="AJ27" s="160"/>
    </row>
    <row r="28" spans="1:36" x14ac:dyDescent="0.3">
      <c r="A28" s="118"/>
      <c r="B28" s="207">
        <v>43339</v>
      </c>
      <c r="C28">
        <v>100.367</v>
      </c>
      <c r="D28" s="118">
        <f t="shared" si="0"/>
        <v>3.4994051011330018E-3</v>
      </c>
      <c r="F28" s="118"/>
      <c r="G28" s="118"/>
      <c r="H28" s="184">
        <f>MAX($C$2:C28)</f>
        <v>100.372</v>
      </c>
      <c r="I28" s="118">
        <f t="shared" si="1"/>
        <v>-4.9814689355498487E-5</v>
      </c>
      <c r="J28" s="187"/>
      <c r="K28">
        <v>101.636</v>
      </c>
      <c r="L28" s="118">
        <f t="shared" si="4"/>
        <v>3.6240112966454685E-3</v>
      </c>
      <c r="N28" s="118"/>
      <c r="O28" s="118"/>
      <c r="P28" s="184">
        <f>MAX($K$2:K28)</f>
        <v>101.636</v>
      </c>
      <c r="Q28" s="118">
        <f t="shared" si="5"/>
        <v>3.6240112966454685E-3</v>
      </c>
      <c r="R28" s="187"/>
      <c r="S28" s="118"/>
      <c r="T28" s="207">
        <v>43339</v>
      </c>
      <c r="U28">
        <v>100.172</v>
      </c>
      <c r="V28" s="118">
        <f t="shared" si="2"/>
        <v>3.3152712813373508E-3</v>
      </c>
      <c r="X28" s="118"/>
      <c r="Y28" s="118"/>
      <c r="Z28" s="184">
        <f>MAX($U$2:U28)</f>
        <v>100.172</v>
      </c>
      <c r="AA28" s="118">
        <f t="shared" si="3"/>
        <v>1.7099829001709921E-3</v>
      </c>
      <c r="AB28" s="187"/>
      <c r="AC28" s="43">
        <v>7388606.0512948204</v>
      </c>
      <c r="AJ28" s="160"/>
    </row>
    <row r="29" spans="1:36" x14ac:dyDescent="0.3">
      <c r="A29" s="118"/>
      <c r="B29" s="207">
        <v>43340</v>
      </c>
      <c r="C29">
        <v>100.599</v>
      </c>
      <c r="D29" s="118">
        <f t="shared" si="0"/>
        <v>2.3115167335876485E-3</v>
      </c>
      <c r="F29" s="118"/>
      <c r="G29" s="118"/>
      <c r="H29" s="184">
        <f>MAX($C$2:C29)</f>
        <v>100.599</v>
      </c>
      <c r="I29" s="118">
        <f t="shared" si="1"/>
        <v>2.261586896744161E-3</v>
      </c>
      <c r="J29" s="187"/>
      <c r="K29">
        <v>101.875</v>
      </c>
      <c r="L29" s="118">
        <f t="shared" si="4"/>
        <v>2.3515289857924948E-3</v>
      </c>
      <c r="N29" s="118"/>
      <c r="O29" s="118"/>
      <c r="P29" s="184">
        <f>MAX($K$2:K29)</f>
        <v>101.875</v>
      </c>
      <c r="Q29" s="118">
        <f t="shared" si="5"/>
        <v>2.3515289857924948E-3</v>
      </c>
      <c r="R29" s="187"/>
      <c r="S29" s="118"/>
      <c r="T29" s="207">
        <v>43340</v>
      </c>
      <c r="U29">
        <v>100.32899999999999</v>
      </c>
      <c r="V29" s="118">
        <f t="shared" si="2"/>
        <v>1.5673042367128076E-3</v>
      </c>
      <c r="X29" s="118"/>
      <c r="Y29" s="118"/>
      <c r="Z29" s="184">
        <f>MAX($U$2:U29)</f>
        <v>100.32899999999999</v>
      </c>
      <c r="AA29" s="118">
        <f t="shared" si="3"/>
        <v>1.5673042367128076E-3</v>
      </c>
      <c r="AB29" s="187"/>
      <c r="AC29" s="43">
        <v>7408503.8312948206</v>
      </c>
    </row>
    <row r="30" spans="1:36" x14ac:dyDescent="0.3">
      <c r="A30" s="118"/>
      <c r="B30" s="207">
        <v>43341</v>
      </c>
      <c r="C30">
        <v>100.699</v>
      </c>
      <c r="D30" s="118">
        <f t="shared" si="0"/>
        <v>9.9404566645788783E-4</v>
      </c>
      <c r="F30" s="118"/>
      <c r="G30" s="118"/>
      <c r="H30" s="184">
        <f>MAX($C$2:C30)</f>
        <v>100.699</v>
      </c>
      <c r="I30" s="118">
        <f t="shared" si="1"/>
        <v>9.9404566645788783E-4</v>
      </c>
      <c r="J30" s="187"/>
      <c r="K30">
        <v>101.97199999999999</v>
      </c>
      <c r="L30" s="118">
        <f t="shared" si="4"/>
        <v>9.5214723926373424E-4</v>
      </c>
      <c r="N30" s="118"/>
      <c r="O30" s="118"/>
      <c r="P30" s="184">
        <f>MAX($K$2:K30)</f>
        <v>101.97199999999999</v>
      </c>
      <c r="Q30" s="118">
        <f t="shared" si="5"/>
        <v>9.5214723926373424E-4</v>
      </c>
      <c r="R30" s="187"/>
      <c r="S30" s="118"/>
      <c r="T30" s="207">
        <v>43341</v>
      </c>
      <c r="U30">
        <v>100.343</v>
      </c>
      <c r="V30" s="118">
        <f t="shared" si="2"/>
        <v>1.3954091040480066E-4</v>
      </c>
      <c r="X30" s="118"/>
      <c r="Y30" s="118"/>
      <c r="Z30" s="184">
        <f>MAX($U$2:U30)</f>
        <v>100.343</v>
      </c>
      <c r="AA30" s="118">
        <f t="shared" si="3"/>
        <v>1.3954091040480066E-4</v>
      </c>
      <c r="AB30" s="187"/>
      <c r="AC30" s="43">
        <v>7426235.9299999997</v>
      </c>
    </row>
    <row r="31" spans="1:36" x14ac:dyDescent="0.3">
      <c r="A31" s="118"/>
      <c r="B31" s="207">
        <v>43342</v>
      </c>
      <c r="C31">
        <v>100.55800000000001</v>
      </c>
      <c r="D31" s="118">
        <f t="shared" si="0"/>
        <v>-1.4002125145233801E-3</v>
      </c>
      <c r="F31" s="118"/>
      <c r="G31" s="118"/>
      <c r="H31" s="184">
        <f>MAX($C$2:C31)</f>
        <v>100.699</v>
      </c>
      <c r="I31" s="118">
        <f t="shared" si="1"/>
        <v>-1.4002125145233801E-3</v>
      </c>
      <c r="J31" s="187"/>
      <c r="K31">
        <v>101.827</v>
      </c>
      <c r="L31" s="118">
        <f t="shared" si="4"/>
        <v>-1.4219589691287782E-3</v>
      </c>
      <c r="N31" s="118"/>
      <c r="O31" s="118"/>
      <c r="P31" s="184">
        <f>MAX($K$2:K31)</f>
        <v>101.97199999999999</v>
      </c>
      <c r="Q31" s="118">
        <f t="shared" si="5"/>
        <v>-1.4219589691287782E-3</v>
      </c>
      <c r="R31" s="187"/>
      <c r="S31" s="118"/>
      <c r="T31" s="207">
        <v>43342</v>
      </c>
      <c r="U31">
        <v>100.163</v>
      </c>
      <c r="V31" s="118">
        <f t="shared" si="2"/>
        <v>-1.7938471044318671E-3</v>
      </c>
      <c r="X31" s="118"/>
      <c r="Y31" s="118"/>
      <c r="Z31" s="184">
        <f>MAX($U$2:U31)</f>
        <v>100.343</v>
      </c>
      <c r="AA31" s="118">
        <f t="shared" si="3"/>
        <v>-1.7938471044318671E-3</v>
      </c>
      <c r="AB31" s="187"/>
      <c r="AC31" s="43">
        <v>7668410.3912948202</v>
      </c>
    </row>
    <row r="32" spans="1:36" x14ac:dyDescent="0.3">
      <c r="A32" s="118"/>
      <c r="B32" s="208">
        <v>43343</v>
      </c>
      <c r="C32">
        <v>100.512</v>
      </c>
      <c r="D32" s="118">
        <f t="shared" si="0"/>
        <v>-4.5744744326658981E-4</v>
      </c>
      <c r="F32" s="118">
        <f>C32/C27-1</f>
        <v>4.9491586430308043E-3</v>
      </c>
      <c r="G32" s="118">
        <f>C32/C11-1</f>
        <v>7.4976945591596067E-3</v>
      </c>
      <c r="H32" s="184">
        <f>MAX($C$2:C32)</f>
        <v>100.699</v>
      </c>
      <c r="I32" s="118">
        <f t="shared" si="1"/>
        <v>-1.8570194341552826E-3</v>
      </c>
      <c r="J32" s="187"/>
      <c r="K32">
        <v>101.776</v>
      </c>
      <c r="L32" s="118">
        <f t="shared" si="4"/>
        <v>-5.008494800003982E-4</v>
      </c>
      <c r="N32" s="118">
        <f>K32/K27-1</f>
        <v>5.0064679220689356E-3</v>
      </c>
      <c r="O32" s="118">
        <f>K32/100-1</f>
        <v>1.7759999999999998E-2</v>
      </c>
      <c r="P32" s="184">
        <f>MAX($K$2:K32)</f>
        <v>101.97199999999999</v>
      </c>
      <c r="Q32" s="118">
        <f t="shared" si="5"/>
        <v>-1.9220962617189086E-3</v>
      </c>
      <c r="R32" s="187"/>
      <c r="S32" s="118"/>
      <c r="T32" s="208">
        <v>43343</v>
      </c>
      <c r="U32">
        <v>100.09399999999999</v>
      </c>
      <c r="V32" s="118">
        <f t="shared" si="2"/>
        <v>-6.8887713027765418E-4</v>
      </c>
      <c r="X32" s="118">
        <f>U32/U27-1</f>
        <v>2.5340291062789788E-3</v>
      </c>
      <c r="Y32" s="118">
        <f>U32/U11-1</f>
        <v>6.586952805237356E-3</v>
      </c>
      <c r="Z32" s="184">
        <f>MAX($U$2:U32)</f>
        <v>100.343</v>
      </c>
      <c r="AA32" s="118">
        <f t="shared" si="3"/>
        <v>-2.4814884944640569E-3</v>
      </c>
      <c r="AB32" s="187"/>
      <c r="AC32" s="43">
        <v>7649103.4312948221</v>
      </c>
    </row>
    <row r="33" spans="1:32" x14ac:dyDescent="0.3">
      <c r="B33" s="207">
        <v>43346</v>
      </c>
      <c r="C33">
        <v>100.61799999999999</v>
      </c>
      <c r="D33" s="118">
        <f t="shared" si="0"/>
        <v>1.0546004457179237E-3</v>
      </c>
      <c r="H33" s="184">
        <f>MAX($C$2:C33)</f>
        <v>100.699</v>
      </c>
      <c r="I33" s="118">
        <f t="shared" si="1"/>
        <v>-8.0437740196037666E-4</v>
      </c>
      <c r="K33">
        <v>101.886</v>
      </c>
      <c r="L33" s="118">
        <f t="shared" si="4"/>
        <v>1.0808049048891544E-3</v>
      </c>
      <c r="P33" s="184">
        <f>MAX($K$2:K33)</f>
        <v>101.97199999999999</v>
      </c>
      <c r="Q33" s="118">
        <f t="shared" si="5"/>
        <v>-8.4336876789703474E-4</v>
      </c>
      <c r="T33" s="207">
        <v>43346</v>
      </c>
      <c r="U33">
        <v>100.172</v>
      </c>
      <c r="V33" s="118">
        <f t="shared" si="2"/>
        <v>7.7926748856071981E-4</v>
      </c>
      <c r="X33" s="118"/>
      <c r="Z33" s="184">
        <f>MAX($U$2:U33)</f>
        <v>100.343</v>
      </c>
      <c r="AA33" s="118">
        <f t="shared" si="3"/>
        <v>-1.7041547492102627E-3</v>
      </c>
      <c r="AB33" s="187"/>
      <c r="AC33" s="43">
        <v>7649726.0012948196</v>
      </c>
    </row>
    <row r="34" spans="1:32" x14ac:dyDescent="0.3">
      <c r="B34" s="207">
        <v>43347</v>
      </c>
      <c r="C34">
        <v>100.49</v>
      </c>
      <c r="D34" s="118">
        <f t="shared" si="0"/>
        <v>-1.272138186010463E-3</v>
      </c>
      <c r="H34" s="184">
        <f>MAX($C$2:C34)</f>
        <v>100.699</v>
      </c>
      <c r="I34" s="118">
        <f t="shared" si="1"/>
        <v>-2.075492308761806E-3</v>
      </c>
      <c r="K34">
        <v>101.714</v>
      </c>
      <c r="L34" s="118">
        <f t="shared" si="4"/>
        <v>-1.6881612782914113E-3</v>
      </c>
      <c r="P34" s="184">
        <f>MAX($K$2:K34)</f>
        <v>101.97199999999999</v>
      </c>
      <c r="Q34" s="118">
        <f t="shared" si="5"/>
        <v>-2.5301063036912153E-3</v>
      </c>
      <c r="T34" s="207">
        <v>43347</v>
      </c>
      <c r="U34">
        <v>100.005</v>
      </c>
      <c r="V34" s="118">
        <f t="shared" si="2"/>
        <v>-1.6671325320448682E-3</v>
      </c>
      <c r="Z34" s="184">
        <f>MAX($U$2:U34)</f>
        <v>100.343</v>
      </c>
      <c r="AA34" s="118">
        <f t="shared" si="3"/>
        <v>-3.3684462294331086E-3</v>
      </c>
      <c r="AC34" s="43">
        <v>7612078.0279139923</v>
      </c>
    </row>
    <row r="35" spans="1:32" x14ac:dyDescent="0.3">
      <c r="B35" s="207">
        <v>43348</v>
      </c>
      <c r="C35">
        <v>100.172</v>
      </c>
      <c r="D35" s="118">
        <f t="shared" si="0"/>
        <v>-3.1644939795004712E-3</v>
      </c>
      <c r="H35" s="184">
        <f>MAX($C$2:C35)</f>
        <v>100.699</v>
      </c>
      <c r="I35" s="118">
        <f t="shared" si="1"/>
        <v>-5.2334184053466348E-3</v>
      </c>
      <c r="K35">
        <v>101.387</v>
      </c>
      <c r="L35" s="118">
        <f t="shared" si="4"/>
        <v>-3.2148966710580096E-3</v>
      </c>
      <c r="P35" s="184">
        <f>MAX($K$2:K35)</f>
        <v>101.97199999999999</v>
      </c>
      <c r="Q35" s="118">
        <f t="shared" si="5"/>
        <v>-5.7368689444160514E-3</v>
      </c>
      <c r="T35" s="207">
        <v>43348</v>
      </c>
      <c r="U35">
        <v>99.688000000000002</v>
      </c>
      <c r="V35" s="118">
        <f t="shared" si="2"/>
        <v>-3.1698415079245423E-3</v>
      </c>
      <c r="Z35" s="184">
        <f>MAX($U$2:U35)</f>
        <v>100.343</v>
      </c>
      <c r="AA35" s="118">
        <f t="shared" si="3"/>
        <v>-6.5276102966823624E-3</v>
      </c>
      <c r="AC35" s="43">
        <v>7589326.1379139926</v>
      </c>
    </row>
    <row r="36" spans="1:32" x14ac:dyDescent="0.3">
      <c r="B36" s="207">
        <v>43349</v>
      </c>
      <c r="C36">
        <v>99.802999999999997</v>
      </c>
      <c r="D36" s="118">
        <f t="shared" si="0"/>
        <v>-3.6836640977518931E-3</v>
      </c>
      <c r="H36" s="184">
        <f>MAX($C$2:C36)</f>
        <v>100.699</v>
      </c>
      <c r="I36" s="118">
        <f t="shared" si="1"/>
        <v>-8.8978043476102275E-3</v>
      </c>
      <c r="K36">
        <v>101.02</v>
      </c>
      <c r="L36" s="118">
        <f t="shared" si="4"/>
        <v>-3.61979346464536E-3</v>
      </c>
      <c r="P36" s="184">
        <f>MAX($K$2:K36)</f>
        <v>101.97199999999999</v>
      </c>
      <c r="Q36" s="118">
        <f t="shared" si="5"/>
        <v>-9.3358961283489528E-3</v>
      </c>
      <c r="T36" s="207">
        <v>43349</v>
      </c>
      <c r="U36">
        <v>99.331000000000003</v>
      </c>
      <c r="V36" s="118">
        <f t="shared" si="2"/>
        <v>-3.5811732605729452E-3</v>
      </c>
      <c r="Z36" s="184">
        <f>MAX($U$2:U36)</f>
        <v>100.343</v>
      </c>
      <c r="AA36" s="118">
        <f t="shared" si="3"/>
        <v>-1.0085407053805451E-2</v>
      </c>
      <c r="AC36" s="43">
        <v>7571073.7279139925</v>
      </c>
    </row>
    <row r="37" spans="1:32" x14ac:dyDescent="0.3">
      <c r="B37" s="208">
        <v>43350</v>
      </c>
      <c r="C37">
        <v>99.805999999999997</v>
      </c>
      <c r="D37" s="118">
        <f t="shared" si="0"/>
        <v>3.0059216656885823E-5</v>
      </c>
      <c r="F37" s="118">
        <f>C37/C32-1</f>
        <v>-7.0240369309138018E-3</v>
      </c>
      <c r="H37" s="184">
        <f>MAX($C$2:C37)</f>
        <v>100.699</v>
      </c>
      <c r="I37" s="118">
        <f t="shared" si="1"/>
        <v>-8.8680125919819996E-3</v>
      </c>
      <c r="K37">
        <v>101.02200000000001</v>
      </c>
      <c r="L37" s="118">
        <f t="shared" si="4"/>
        <v>1.9798059790243627E-5</v>
      </c>
      <c r="N37" s="118">
        <f>K37/K32-1</f>
        <v>-7.4084263480583834E-3</v>
      </c>
      <c r="P37" s="184">
        <f>MAX($K$2:K37)</f>
        <v>101.97199999999999</v>
      </c>
      <c r="Q37" s="118">
        <f t="shared" si="5"/>
        <v>-9.3162829011884662E-3</v>
      </c>
      <c r="T37" s="208">
        <v>43350</v>
      </c>
      <c r="U37">
        <v>99.337000000000003</v>
      </c>
      <c r="V37" s="118">
        <f t="shared" si="2"/>
        <v>6.0404103452205149E-5</v>
      </c>
      <c r="X37" s="118">
        <f>U37/U32-1</f>
        <v>-7.5628908825703389E-3</v>
      </c>
      <c r="Z37" s="184">
        <f>MAX($U$2:U37)</f>
        <v>100.343</v>
      </c>
      <c r="AA37" s="118">
        <f t="shared" si="3"/>
        <v>-1.0025612150324381E-2</v>
      </c>
      <c r="AC37" s="43">
        <v>7555542.6179139921</v>
      </c>
    </row>
    <row r="38" spans="1:32" x14ac:dyDescent="0.3">
      <c r="B38" s="207">
        <v>43353</v>
      </c>
      <c r="C38">
        <v>99.840999999999994</v>
      </c>
      <c r="D38" s="118">
        <f t="shared" si="0"/>
        <v>3.5068031982032899E-4</v>
      </c>
      <c r="H38" s="184">
        <f>MAX($C$2:C38)</f>
        <v>100.699</v>
      </c>
      <c r="I38" s="118">
        <f t="shared" si="1"/>
        <v>-8.5204421096535254E-3</v>
      </c>
      <c r="K38">
        <v>101.053</v>
      </c>
      <c r="L38" s="118">
        <f t="shared" si="4"/>
        <v>3.0686385143829931E-4</v>
      </c>
      <c r="P38" s="184">
        <f>MAX($K$2:K38)</f>
        <v>101.97199999999999</v>
      </c>
      <c r="Q38" s="118">
        <f t="shared" si="5"/>
        <v>-9.0122778802024239E-3</v>
      </c>
      <c r="T38" s="207">
        <v>43353</v>
      </c>
      <c r="U38">
        <v>99.38</v>
      </c>
      <c r="V38" s="118">
        <f t="shared" si="2"/>
        <v>4.3286992762014975E-4</v>
      </c>
      <c r="Z38" s="184">
        <f>MAX($U$2:U38)</f>
        <v>100.343</v>
      </c>
      <c r="AA38" s="118">
        <f t="shared" si="3"/>
        <v>-9.5970820087102338E-3</v>
      </c>
      <c r="AC38" s="43">
        <v>7832739.2779139942</v>
      </c>
      <c r="AE38" s="101" t="s">
        <v>136</v>
      </c>
      <c r="AF38" s="179"/>
    </row>
    <row r="39" spans="1:32" x14ac:dyDescent="0.3">
      <c r="B39" s="207">
        <v>43354</v>
      </c>
      <c r="C39">
        <v>99.799000000000007</v>
      </c>
      <c r="D39" s="118">
        <f t="shared" si="0"/>
        <v>-4.206688634927902E-4</v>
      </c>
      <c r="H39" s="184">
        <f>MAX($C$2:C39)</f>
        <v>100.699</v>
      </c>
      <c r="I39" s="118">
        <f t="shared" si="1"/>
        <v>-8.9375266884477167E-3</v>
      </c>
      <c r="K39">
        <v>101.012</v>
      </c>
      <c r="L39" s="118">
        <f t="shared" si="4"/>
        <v>-4.0572768745106291E-4</v>
      </c>
      <c r="P39" s="184">
        <f>MAX($K$2:K39)</f>
        <v>101.97199999999999</v>
      </c>
      <c r="Q39" s="118">
        <f t="shared" si="5"/>
        <v>-9.4143490369904548E-3</v>
      </c>
      <c r="T39" s="207">
        <v>43354</v>
      </c>
      <c r="U39">
        <v>99.343999999999994</v>
      </c>
      <c r="V39" s="118">
        <f t="shared" si="2"/>
        <v>-3.6224592473332873E-4</v>
      </c>
      <c r="Z39" s="184">
        <f>MAX($U$2:U39)</f>
        <v>100.343</v>
      </c>
      <c r="AA39" s="118">
        <f t="shared" si="3"/>
        <v>-9.9558514295965406E-3</v>
      </c>
      <c r="AC39" s="43">
        <v>7886887.0679139942</v>
      </c>
      <c r="AE39" s="51" t="s">
        <v>137</v>
      </c>
      <c r="AF39" s="180" t="e">
        <f>(#REF!/#REF!)^(250/COUNT(D:D))-1</f>
        <v>#REF!</v>
      </c>
    </row>
    <row r="40" spans="1:32" x14ac:dyDescent="0.3">
      <c r="B40" s="207">
        <v>43355</v>
      </c>
      <c r="C40">
        <v>99.77</v>
      </c>
      <c r="D40" s="118">
        <f t="shared" si="0"/>
        <v>-2.9058407398885322E-4</v>
      </c>
      <c r="H40" s="184">
        <f>MAX($C$2:C40)</f>
        <v>100.699</v>
      </c>
      <c r="I40" s="118">
        <f t="shared" si="1"/>
        <v>-9.2255136595199572E-3</v>
      </c>
      <c r="K40">
        <v>101.001</v>
      </c>
      <c r="L40" s="118">
        <f t="shared" si="4"/>
        <v>-1.0889795271840086E-4</v>
      </c>
      <c r="P40" s="184">
        <f>MAX($K$2:K40)</f>
        <v>101.97199999999999</v>
      </c>
      <c r="Q40" s="118">
        <f t="shared" si="5"/>
        <v>-9.5222217863726311E-3</v>
      </c>
      <c r="T40" s="207">
        <v>43355</v>
      </c>
      <c r="U40">
        <v>99.337000000000003</v>
      </c>
      <c r="V40" s="118">
        <f t="shared" si="2"/>
        <v>-7.0462232243384548E-5</v>
      </c>
      <c r="Z40" s="184">
        <f>MAX($U$2:U40)</f>
        <v>100.343</v>
      </c>
      <c r="AA40" s="118">
        <f t="shared" si="3"/>
        <v>-1.0025612150324381E-2</v>
      </c>
      <c r="AC40" s="43">
        <v>7897144.6379139936</v>
      </c>
      <c r="AE40" s="51" t="s">
        <v>138</v>
      </c>
      <c r="AF40" s="181">
        <f>(U11/U2)^(250/COUNT(V:V))-1</f>
        <v>-4.8971986119605848E-3</v>
      </c>
    </row>
    <row r="41" spans="1:32" x14ac:dyDescent="0.3">
      <c r="B41" s="207">
        <v>43356</v>
      </c>
      <c r="C41">
        <f>final!BA$227</f>
        <v>99.941000000000003</v>
      </c>
      <c r="D41" s="118">
        <f t="shared" si="0"/>
        <v>1.713942066753571E-3</v>
      </c>
      <c r="H41" s="184">
        <f>MAX($C$2:C41)</f>
        <v>100.699</v>
      </c>
      <c r="I41" s="118">
        <f t="shared" si="1"/>
        <v>-7.5273835887148532E-3</v>
      </c>
      <c r="K41">
        <f>final!BA248</f>
        <v>101.181</v>
      </c>
      <c r="L41" s="118">
        <f t="shared" si="4"/>
        <v>1.7821605726675571E-3</v>
      </c>
      <c r="P41" s="184">
        <f>MAX($K$2:K41)</f>
        <v>101.97199999999999</v>
      </c>
      <c r="Q41" s="118">
        <f t="shared" si="5"/>
        <v>-7.7570313419369485E-3</v>
      </c>
      <c r="T41" s="207">
        <v>43356</v>
      </c>
      <c r="U41">
        <f>final!BA256</f>
        <v>99.518000000000001</v>
      </c>
      <c r="V41" s="118">
        <f t="shared" si="2"/>
        <v>1.8220803930055762E-3</v>
      </c>
      <c r="Z41" s="184">
        <f>MAX($U$2:U41)</f>
        <v>100.343</v>
      </c>
      <c r="AA41" s="118">
        <f t="shared" si="3"/>
        <v>-8.2217992286457431E-3</v>
      </c>
      <c r="AC41" s="43">
        <v>7932738.6779139927</v>
      </c>
      <c r="AF41" s="179"/>
    </row>
    <row r="42" spans="1:32" s="191" customFormat="1" x14ac:dyDescent="0.3">
      <c r="A42"/>
      <c r="B42" s="209">
        <v>43357</v>
      </c>
      <c r="C42" s="191">
        <v>100.142</v>
      </c>
      <c r="D42" s="118">
        <f t="shared" si="0"/>
        <v>2.0111866000940282E-3</v>
      </c>
      <c r="E42" s="43"/>
      <c r="H42" s="184">
        <f>MAX($C$2:C42)</f>
        <v>100.699</v>
      </c>
      <c r="I42" s="118">
        <f t="shared" si="1"/>
        <v>-5.5313359616282476E-3</v>
      </c>
      <c r="K42" s="191">
        <v>101.387</v>
      </c>
      <c r="L42" s="118">
        <f t="shared" si="4"/>
        <v>2.0359553671143171E-3</v>
      </c>
      <c r="M42" s="43"/>
      <c r="P42" s="184">
        <f>MAX($K$2:K42)</f>
        <v>101.97199999999999</v>
      </c>
      <c r="Q42" s="118">
        <f t="shared" si="5"/>
        <v>-5.7368689444160514E-3</v>
      </c>
      <c r="S42"/>
      <c r="T42" s="209">
        <v>43357</v>
      </c>
      <c r="U42" s="191">
        <v>100.035</v>
      </c>
      <c r="V42" s="118">
        <f t="shared" si="2"/>
        <v>5.1950400932494478E-3</v>
      </c>
      <c r="W42" s="43"/>
      <c r="Z42" s="184">
        <f>MAX($U$2:U42)</f>
        <v>100.343</v>
      </c>
      <c r="AA42" s="118">
        <f t="shared" si="3"/>
        <v>-3.0694717120277604E-3</v>
      </c>
      <c r="AC42" s="192">
        <v>7947308.3312948197</v>
      </c>
      <c r="AE42" s="191" t="s">
        <v>139</v>
      </c>
      <c r="AF42" s="193"/>
    </row>
    <row r="43" spans="1:32" x14ac:dyDescent="0.3">
      <c r="B43" s="207">
        <v>43360</v>
      </c>
      <c r="C43">
        <v>99.712000000000003</v>
      </c>
      <c r="D43" s="118">
        <f t="shared" si="0"/>
        <v>-4.2939026582252682E-3</v>
      </c>
      <c r="H43" s="184">
        <f>MAX($C$2:C43)</f>
        <v>100.699</v>
      </c>
      <c r="I43" s="118">
        <f t="shared" si="1"/>
        <v>-9.8014876016643271E-3</v>
      </c>
      <c r="K43">
        <v>100.955</v>
      </c>
      <c r="L43" s="118">
        <f t="shared" si="4"/>
        <v>-4.2609012989831552E-3</v>
      </c>
      <c r="P43" s="184">
        <f>MAX($K$2:K43)</f>
        <v>101.97199999999999</v>
      </c>
      <c r="Q43" s="118">
        <f t="shared" si="5"/>
        <v>-9.9733260110618227E-3</v>
      </c>
      <c r="T43" s="207">
        <v>43360</v>
      </c>
      <c r="U43">
        <v>99.63</v>
      </c>
      <c r="V43" s="118">
        <f t="shared" si="2"/>
        <v>-4.0485829959514552E-3</v>
      </c>
      <c r="Z43" s="184">
        <f>MAX($U$2:U43)</f>
        <v>100.343</v>
      </c>
      <c r="AA43" s="118">
        <f t="shared" si="3"/>
        <v>-7.1056276969994059E-3</v>
      </c>
      <c r="AC43" s="43">
        <v>7916504.86129482</v>
      </c>
      <c r="AD43" s="118"/>
      <c r="AF43" s="179"/>
    </row>
    <row r="44" spans="1:32" x14ac:dyDescent="0.3">
      <c r="B44" s="207">
        <v>43361</v>
      </c>
      <c r="C44">
        <v>100.075</v>
      </c>
      <c r="D44" s="118">
        <f t="shared" si="0"/>
        <v>3.6404845956354848E-3</v>
      </c>
      <c r="H44" s="184">
        <f>MAX($C$2:C44)</f>
        <v>100.699</v>
      </c>
      <c r="I44" s="118">
        <f t="shared" si="1"/>
        <v>-6.1966851706570791E-3</v>
      </c>
      <c r="K44">
        <v>101.32599999999999</v>
      </c>
      <c r="L44" s="118">
        <f t="shared" si="4"/>
        <v>3.6749046604922508E-3</v>
      </c>
      <c r="P44" s="184">
        <f>MAX($K$2:K44)</f>
        <v>101.97199999999999</v>
      </c>
      <c r="Q44" s="118">
        <f t="shared" si="5"/>
        <v>-6.3350723728082814E-3</v>
      </c>
      <c r="T44" s="207">
        <v>43361</v>
      </c>
      <c r="U44">
        <v>100</v>
      </c>
      <c r="V44" s="118">
        <f t="shared" si="2"/>
        <v>3.7137408411120898E-3</v>
      </c>
      <c r="Z44" s="184">
        <f>MAX($U$2:U44)</f>
        <v>100.343</v>
      </c>
      <c r="AA44" s="118">
        <f t="shared" si="3"/>
        <v>-3.4182753156672963E-3</v>
      </c>
      <c r="AC44" s="43">
        <v>7948203.1412948202</v>
      </c>
      <c r="AD44" s="118"/>
      <c r="AE44" t="s">
        <v>140</v>
      </c>
      <c r="AF44" s="179"/>
    </row>
    <row r="45" spans="1:32" x14ac:dyDescent="0.3">
      <c r="B45" s="207">
        <v>43362</v>
      </c>
      <c r="C45">
        <v>100.209</v>
      </c>
      <c r="D45" s="118">
        <f t="shared" si="0"/>
        <v>1.3389957531850794E-3</v>
      </c>
      <c r="H45" s="184">
        <f>MAX($C$2:C45)</f>
        <v>100.699</v>
      </c>
      <c r="I45" s="118">
        <f t="shared" si="1"/>
        <v>-4.865986752599305E-3</v>
      </c>
      <c r="K45">
        <v>101.46599999999999</v>
      </c>
      <c r="L45" s="118">
        <f t="shared" si="4"/>
        <v>1.381678937291575E-3</v>
      </c>
      <c r="P45" s="184">
        <f>MAX($K$2:K45)</f>
        <v>101.97199999999999</v>
      </c>
      <c r="Q45" s="118">
        <f t="shared" si="5"/>
        <v>-4.962146471580442E-3</v>
      </c>
      <c r="T45" s="207">
        <v>43362</v>
      </c>
      <c r="U45">
        <v>100.113</v>
      </c>
      <c r="V45" s="118">
        <f t="shared" si="2"/>
        <v>1.1300000000000754E-3</v>
      </c>
      <c r="Z45" s="184">
        <f>MAX($U$2:U45)</f>
        <v>100.343</v>
      </c>
      <c r="AA45" s="118">
        <f t="shared" si="3"/>
        <v>-2.2921379667739661E-3</v>
      </c>
      <c r="AC45" s="43">
        <v>8229485.657835274</v>
      </c>
      <c r="AD45" s="118"/>
      <c r="AE45" s="51" t="s">
        <v>137</v>
      </c>
      <c r="AF45" s="182" t="e">
        <f>(AF39-AF42)/AF10</f>
        <v>#REF!</v>
      </c>
    </row>
    <row r="46" spans="1:32" x14ac:dyDescent="0.3">
      <c r="B46" s="207">
        <v>43363</v>
      </c>
      <c r="C46">
        <v>100.548</v>
      </c>
      <c r="D46" s="118">
        <f t="shared" si="0"/>
        <v>3.3829296769751771E-3</v>
      </c>
      <c r="H46" s="184">
        <f>MAX($C$2:C46)</f>
        <v>100.699</v>
      </c>
      <c r="I46" s="118">
        <f t="shared" si="1"/>
        <v>-1.4995183666173251E-3</v>
      </c>
      <c r="K46">
        <v>101.80800000000001</v>
      </c>
      <c r="L46" s="118">
        <f t="shared" si="4"/>
        <v>3.370587191768859E-3</v>
      </c>
      <c r="P46" s="184">
        <f>MAX($K$2:K46)</f>
        <v>101.97199999999999</v>
      </c>
      <c r="Q46" s="118">
        <f t="shared" si="5"/>
        <v>-1.6082846271524565E-3</v>
      </c>
      <c r="T46" s="207">
        <v>43363</v>
      </c>
      <c r="U46">
        <v>100.387</v>
      </c>
      <c r="V46" s="118">
        <f t="shared" si="2"/>
        <v>2.7369072947569517E-3</v>
      </c>
      <c r="Z46" s="184">
        <f>MAX($U$2:U46)</f>
        <v>100.387</v>
      </c>
      <c r="AA46" s="118">
        <f t="shared" si="3"/>
        <v>4.3849595886102932E-4</v>
      </c>
      <c r="AC46" s="43">
        <v>8279212.4278352745</v>
      </c>
      <c r="AD46" s="118"/>
      <c r="AE46" s="51" t="s">
        <v>138</v>
      </c>
      <c r="AF46" s="183" t="e">
        <f>(AF40-AF42)/AF12</f>
        <v>#DIV/0!</v>
      </c>
    </row>
    <row r="47" spans="1:32" x14ac:dyDescent="0.3">
      <c r="B47" s="207">
        <v>43364</v>
      </c>
      <c r="C47">
        <v>100.726</v>
      </c>
      <c r="D47" s="118">
        <f t="shared" si="0"/>
        <v>1.7702987627798983E-3</v>
      </c>
      <c r="F47">
        <f>C47-C46</f>
        <v>0.17799999999999727</v>
      </c>
      <c r="H47" s="184">
        <f>MAX($C$2:C47)</f>
        <v>100.726</v>
      </c>
      <c r="I47" s="118">
        <f t="shared" si="1"/>
        <v>2.6812580065338487E-4</v>
      </c>
      <c r="K47">
        <v>101.994</v>
      </c>
      <c r="L47" s="118">
        <f t="shared" si="4"/>
        <v>1.8269684111267281E-3</v>
      </c>
      <c r="N47">
        <f>K47-K46</f>
        <v>0.18599999999999284</v>
      </c>
      <c r="P47" s="184">
        <f>MAX($K$2:K47)</f>
        <v>101.994</v>
      </c>
      <c r="Q47" s="118">
        <f t="shared" si="5"/>
        <v>2.1574549876435256E-4</v>
      </c>
      <c r="T47" s="207">
        <v>43364</v>
      </c>
      <c r="U47">
        <v>100.53700000000001</v>
      </c>
      <c r="V47" s="118">
        <f t="shared" si="2"/>
        <v>1.4942173787442226E-3</v>
      </c>
      <c r="Z47" s="184">
        <f>MAX($U$2:U47)</f>
        <v>100.53700000000001</v>
      </c>
      <c r="AA47" s="118">
        <f t="shared" si="3"/>
        <v>1.4942173787442226E-3</v>
      </c>
      <c r="AC47" s="43">
        <v>8694158.3278352749</v>
      </c>
      <c r="AD47" s="118"/>
    </row>
    <row r="48" spans="1:32" x14ac:dyDescent="0.3">
      <c r="B48" s="207">
        <v>43367</v>
      </c>
      <c r="C48">
        <v>100.557</v>
      </c>
      <c r="D48" s="118">
        <f t="shared" si="0"/>
        <v>-1.6778190338144761E-3</v>
      </c>
      <c r="H48" s="184">
        <f>MAX($C$2:C48)</f>
        <v>100.726</v>
      </c>
      <c r="I48" s="118">
        <f t="shared" si="1"/>
        <v>-1.6778190338144761E-3</v>
      </c>
      <c r="K48">
        <v>101.907</v>
      </c>
      <c r="L48" s="118">
        <f t="shared" si="4"/>
        <v>-8.5299135243255275E-4</v>
      </c>
      <c r="P48" s="184">
        <f>MAX($K$2:K48)</f>
        <v>101.994</v>
      </c>
      <c r="Q48" s="118">
        <f t="shared" si="5"/>
        <v>-8.5299135243255275E-4</v>
      </c>
      <c r="T48" s="207">
        <v>43367</v>
      </c>
      <c r="U48">
        <v>100.47799999999999</v>
      </c>
      <c r="V48" s="118">
        <f t="shared" si="2"/>
        <v>-5.8684862289515305E-4</v>
      </c>
      <c r="Z48" s="184">
        <f>MAX($U$2:U48)</f>
        <v>100.53700000000001</v>
      </c>
      <c r="AA48" s="118">
        <f t="shared" si="3"/>
        <v>-5.8684862289515305E-4</v>
      </c>
      <c r="AC48" s="43">
        <v>8681009.5778352767</v>
      </c>
      <c r="AD48" s="118"/>
      <c r="AE48" t="s">
        <v>141</v>
      </c>
      <c r="AF48" s="43">
        <f>AC18+'[1]DAILY NAV'!$F$33</f>
        <v>11368297.781294823</v>
      </c>
    </row>
    <row r="49" spans="2:32" x14ac:dyDescent="0.3">
      <c r="B49" s="207">
        <v>43368</v>
      </c>
      <c r="C49">
        <v>100.73099999999999</v>
      </c>
      <c r="D49" s="118">
        <f t="shared" si="0"/>
        <v>1.73036188430431E-3</v>
      </c>
      <c r="H49" s="184">
        <f>MAX($C$2:C49)</f>
        <v>100.73099999999999</v>
      </c>
      <c r="I49" s="118">
        <f t="shared" si="1"/>
        <v>4.9639616384933305E-5</v>
      </c>
      <c r="K49">
        <v>102.077</v>
      </c>
      <c r="L49" s="118">
        <f t="shared" si="4"/>
        <v>1.6681876612989477E-3</v>
      </c>
      <c r="P49" s="184">
        <f>MAX($K$2:K49)</f>
        <v>102.077</v>
      </c>
      <c r="Q49" s="118">
        <f t="shared" si="5"/>
        <v>8.1377335921728466E-4</v>
      </c>
      <c r="T49" s="207">
        <v>43368</v>
      </c>
      <c r="U49">
        <v>100.616</v>
      </c>
      <c r="V49" s="118">
        <f t="shared" si="2"/>
        <v>1.3734349807918989E-3</v>
      </c>
      <c r="Z49" s="184">
        <f>MAX($U$2:U49)</f>
        <v>100.616</v>
      </c>
      <c r="AA49" s="118">
        <f t="shared" si="3"/>
        <v>7.857803594695234E-4</v>
      </c>
      <c r="AC49" s="43">
        <v>8687670.8778352737</v>
      </c>
      <c r="AD49" s="118"/>
    </row>
    <row r="50" spans="2:32" x14ac:dyDescent="0.3">
      <c r="B50" s="207">
        <v>43369</v>
      </c>
      <c r="C50">
        <v>100.64700000000001</v>
      </c>
      <c r="D50" s="118">
        <f t="shared" si="0"/>
        <v>-8.3390416058604089E-4</v>
      </c>
      <c r="H50" s="184">
        <f>MAX($C$2:C50)</f>
        <v>100.73099999999999</v>
      </c>
      <c r="I50" s="118">
        <f t="shared" si="1"/>
        <v>-8.3390416058604089E-4</v>
      </c>
      <c r="K50">
        <v>101.979</v>
      </c>
      <c r="L50" s="118">
        <f t="shared" si="4"/>
        <v>-9.6005956287903427E-4</v>
      </c>
      <c r="P50" s="184">
        <f>MAX($K$2:K50)</f>
        <v>102.077</v>
      </c>
      <c r="Q50" s="118">
        <f t="shared" si="5"/>
        <v>-9.6005956287903427E-4</v>
      </c>
      <c r="T50" s="207">
        <v>43369</v>
      </c>
      <c r="U50">
        <v>100.541</v>
      </c>
      <c r="V50" s="118">
        <f t="shared" si="2"/>
        <v>-7.4540828496461042E-4</v>
      </c>
      <c r="Z50" s="184">
        <f>MAX($U$2:U50)</f>
        <v>100.616</v>
      </c>
      <c r="AA50" s="118">
        <f t="shared" si="3"/>
        <v>-7.4540828496461042E-4</v>
      </c>
      <c r="AC50" s="43">
        <v>8683207.3378352746</v>
      </c>
      <c r="AD50" s="118"/>
    </row>
    <row r="51" spans="2:32" x14ac:dyDescent="0.3">
      <c r="B51" s="207">
        <v>43370</v>
      </c>
      <c r="C51">
        <v>100.544</v>
      </c>
      <c r="D51" s="118">
        <f t="shared" si="0"/>
        <v>-1.0233787395551586E-3</v>
      </c>
      <c r="G51" s="118"/>
      <c r="H51" s="184">
        <f>MAX($C$2:C51)</f>
        <v>100.73099999999999</v>
      </c>
      <c r="I51" s="118">
        <f t="shared" si="1"/>
        <v>-1.8564295003523634E-3</v>
      </c>
      <c r="K51">
        <v>101.861</v>
      </c>
      <c r="L51" s="118">
        <f t="shared" si="4"/>
        <v>-1.1571009717686875E-3</v>
      </c>
      <c r="O51" s="118"/>
      <c r="P51" s="184">
        <f>MAX($K$2:K51)</f>
        <v>102.077</v>
      </c>
      <c r="Q51" s="118">
        <f t="shared" si="5"/>
        <v>-2.1160496487945268E-3</v>
      </c>
      <c r="T51" s="207">
        <v>43370</v>
      </c>
      <c r="U51">
        <v>100.452</v>
      </c>
      <c r="V51" s="118">
        <f t="shared" si="2"/>
        <v>-8.8521100844429768E-4</v>
      </c>
      <c r="Y51" s="118"/>
      <c r="Z51" s="184">
        <f>MAX($U$2:U51)</f>
        <v>100.616</v>
      </c>
      <c r="AA51" s="118">
        <f t="shared" si="3"/>
        <v>-1.6299594497892755E-3</v>
      </c>
      <c r="AC51" s="43">
        <v>8666589.6078352761</v>
      </c>
      <c r="AD51" s="118"/>
    </row>
    <row r="52" spans="2:32" x14ac:dyDescent="0.3">
      <c r="B52" s="207">
        <v>43371</v>
      </c>
      <c r="C52">
        <v>100.557</v>
      </c>
      <c r="D52" s="118">
        <f t="shared" si="0"/>
        <v>1.2929662635263739E-4</v>
      </c>
      <c r="G52" s="118">
        <f>C52/C32-1</f>
        <v>4.4770773638980188E-4</v>
      </c>
      <c r="H52" s="184">
        <f>MAX($C$2:C52)</f>
        <v>100.73099999999999</v>
      </c>
      <c r="I52" s="118">
        <f t="shared" si="1"/>
        <v>-1.7273729040712116E-3</v>
      </c>
      <c r="K52">
        <v>101.872</v>
      </c>
      <c r="L52" s="118">
        <f t="shared" si="4"/>
        <v>1.0799030050745451E-4</v>
      </c>
      <c r="O52" s="118">
        <f>K52/K32-1</f>
        <v>9.432479169941832E-4</v>
      </c>
      <c r="P52" s="184">
        <f>MAX($K$2:K52)</f>
        <v>102.077</v>
      </c>
      <c r="Q52" s="118">
        <f t="shared" si="5"/>
        <v>-2.0082878611243915E-3</v>
      </c>
      <c r="T52" s="207">
        <v>43371</v>
      </c>
      <c r="U52">
        <v>100.464</v>
      </c>
      <c r="V52" s="118">
        <f t="shared" si="2"/>
        <v>1.1946004061647031E-4</v>
      </c>
      <c r="Y52" s="118">
        <f>U52/U32-1</f>
        <v>3.6965252662497505E-3</v>
      </c>
      <c r="Z52" s="184">
        <f>MAX($U$2:U52)</f>
        <v>100.616</v>
      </c>
      <c r="AA52" s="118">
        <f t="shared" si="3"/>
        <v>-1.5106941241950222E-3</v>
      </c>
      <c r="AC52" s="43">
        <v>8667049.2599999998</v>
      </c>
      <c r="AD52" s="118"/>
      <c r="AE52" s="118"/>
    </row>
    <row r="53" spans="2:32" x14ac:dyDescent="0.3">
      <c r="B53" s="207">
        <v>43374</v>
      </c>
      <c r="C53">
        <v>100.319</v>
      </c>
      <c r="D53" s="118">
        <f t="shared" si="0"/>
        <v>-2.3668168302555248E-3</v>
      </c>
      <c r="H53" s="184">
        <f>MAX($C$2:C53)</f>
        <v>100.73099999999999</v>
      </c>
      <c r="I53" s="118">
        <f t="shared" si="1"/>
        <v>-4.0901013590651791E-3</v>
      </c>
      <c r="K53">
        <v>101.64100000000001</v>
      </c>
      <c r="L53" s="118">
        <f t="shared" si="4"/>
        <v>-2.2675514370974481E-3</v>
      </c>
      <c r="P53" s="184">
        <f>MAX($K$2:K53)</f>
        <v>102.077</v>
      </c>
      <c r="Q53" s="118">
        <f t="shared" si="5"/>
        <v>-4.2712854021963453E-3</v>
      </c>
      <c r="T53" s="207">
        <v>43374</v>
      </c>
      <c r="U53">
        <v>100.292</v>
      </c>
      <c r="V53" s="118">
        <f t="shared" si="2"/>
        <v>-1.7120560598821166E-3</v>
      </c>
      <c r="Z53" s="184">
        <f>MAX($U$2:U53)</f>
        <v>100.616</v>
      </c>
      <c r="AA53" s="118">
        <f t="shared" si="3"/>
        <v>-3.2201637910471703E-3</v>
      </c>
      <c r="AC53" s="43">
        <v>8617585.9799999986</v>
      </c>
      <c r="AD53" s="118"/>
      <c r="AE53" s="45">
        <f>V53*AC53</f>
        <v>-14753.790298614167</v>
      </c>
      <c r="AF53" s="194">
        <f t="shared" ref="AF53:AF59" si="6">AD53-D53</f>
        <v>2.3668168302555248E-3</v>
      </c>
    </row>
    <row r="54" spans="2:32" x14ac:dyDescent="0.3">
      <c r="B54" s="207">
        <v>43375</v>
      </c>
      <c r="C54">
        <v>99.841999999999999</v>
      </c>
      <c r="D54" s="118">
        <f t="shared" si="0"/>
        <v>-4.7548320856468651E-3</v>
      </c>
      <c r="H54" s="184">
        <f>MAX($C$2:C54)</f>
        <v>100.73099999999999</v>
      </c>
      <c r="I54" s="118">
        <f t="shared" si="1"/>
        <v>-8.8254856995363395E-3</v>
      </c>
      <c r="K54">
        <v>101.164</v>
      </c>
      <c r="L54" s="118">
        <f t="shared" si="4"/>
        <v>-4.6929880658396206E-3</v>
      </c>
      <c r="P54" s="184">
        <f>MAX($K$2:K54)</f>
        <v>102.077</v>
      </c>
      <c r="Q54" s="118">
        <f t="shared" si="5"/>
        <v>-8.944228376617569E-3</v>
      </c>
      <c r="T54" s="207">
        <v>43375</v>
      </c>
      <c r="U54">
        <v>99.897000000000006</v>
      </c>
      <c r="V54" s="118">
        <f t="shared" si="2"/>
        <v>-3.9384995812228318E-3</v>
      </c>
      <c r="Z54" s="184">
        <f>MAX($U$2:U54)</f>
        <v>100.616</v>
      </c>
      <c r="AA54" s="118">
        <f t="shared" si="3"/>
        <v>-7.1459807585274593E-3</v>
      </c>
      <c r="AC54" s="43">
        <v>8552622.44975207</v>
      </c>
      <c r="AD54" s="118"/>
      <c r="AE54" s="45">
        <f>V54*AC54</f>
        <v>-33684.499936705521</v>
      </c>
      <c r="AF54" s="194">
        <f t="shared" si="6"/>
        <v>4.7548320856468651E-3</v>
      </c>
    </row>
    <row r="55" spans="2:32" x14ac:dyDescent="0.3">
      <c r="B55" s="207">
        <v>43376</v>
      </c>
      <c r="C55">
        <v>99.906999999999996</v>
      </c>
      <c r="D55" s="118">
        <f t="shared" si="0"/>
        <v>6.5102862522792293E-4</v>
      </c>
      <c r="H55" s="184">
        <f>MAX($C$2:C55)</f>
        <v>100.73099999999999</v>
      </c>
      <c r="I55" s="118">
        <f t="shared" si="1"/>
        <v>-8.1802027181304693E-3</v>
      </c>
      <c r="K55">
        <v>101.221</v>
      </c>
      <c r="L55" s="118">
        <f t="shared" si="4"/>
        <v>5.6344154046894523E-4</v>
      </c>
      <c r="P55" s="184">
        <f>MAX($K$2:K55)</f>
        <v>102.077</v>
      </c>
      <c r="Q55" s="118">
        <f t="shared" si="5"/>
        <v>-8.385826385963524E-3</v>
      </c>
      <c r="T55" s="207">
        <v>43376</v>
      </c>
      <c r="U55">
        <v>99.957999999999998</v>
      </c>
      <c r="V55" s="118">
        <f t="shared" si="2"/>
        <v>6.1062894781627186E-4</v>
      </c>
      <c r="Z55" s="184">
        <f>MAX($U$2:U55)</f>
        <v>100.616</v>
      </c>
      <c r="AA55" s="118">
        <f t="shared" si="3"/>
        <v>-6.5397153534229036E-3</v>
      </c>
      <c r="AC55" s="43">
        <v>8541276.2910416089</v>
      </c>
      <c r="AD55" s="118"/>
      <c r="AE55" s="45">
        <f t="shared" ref="AE55:AE59" si="7">V55*AC55</f>
        <v>5215.5505546068071</v>
      </c>
      <c r="AF55" s="194">
        <f t="shared" si="6"/>
        <v>-6.5102862522792293E-4</v>
      </c>
    </row>
    <row r="56" spans="2:32" x14ac:dyDescent="0.3">
      <c r="B56" s="207">
        <v>43377</v>
      </c>
      <c r="C56">
        <v>99.662999999999997</v>
      </c>
      <c r="D56" s="118">
        <f t="shared" si="0"/>
        <v>-2.4422713123204431E-3</v>
      </c>
      <c r="H56" s="184">
        <f>MAX($C$2:C56)</f>
        <v>100.73099999999999</v>
      </c>
      <c r="I56" s="118">
        <f t="shared" si="1"/>
        <v>-1.0602495756023456E-2</v>
      </c>
      <c r="K56">
        <v>100.99</v>
      </c>
      <c r="L56" s="118">
        <f t="shared" si="4"/>
        <v>-2.2821351300620352E-3</v>
      </c>
      <c r="N56" s="118"/>
      <c r="P56" s="184">
        <f>MAX($K$2:K56)</f>
        <v>102.077</v>
      </c>
      <c r="Q56" s="118">
        <f t="shared" si="5"/>
        <v>-1.0648823927035478E-2</v>
      </c>
      <c r="T56" s="207">
        <v>43377</v>
      </c>
      <c r="U56">
        <v>99.733999999999995</v>
      </c>
      <c r="V56" s="118">
        <f t="shared" si="2"/>
        <v>-2.2409411953020486E-3</v>
      </c>
      <c r="Z56" s="184">
        <f>MAX($U$2:U56)</f>
        <v>100.616</v>
      </c>
      <c r="AA56" s="118">
        <f t="shared" si="3"/>
        <v>-8.7660014311840007E-3</v>
      </c>
      <c r="AC56" s="43">
        <v>8501274.0189188104</v>
      </c>
      <c r="AD56" s="118"/>
      <c r="AE56" s="45">
        <f t="shared" si="7"/>
        <v>-19050.855161546169</v>
      </c>
      <c r="AF56" s="194">
        <f t="shared" si="6"/>
        <v>2.4422713123204431E-3</v>
      </c>
    </row>
    <row r="57" spans="2:32" x14ac:dyDescent="0.3">
      <c r="B57" s="207">
        <v>43378</v>
      </c>
      <c r="C57">
        <v>99.078000000000003</v>
      </c>
      <c r="D57" s="118">
        <f t="shared" si="0"/>
        <v>-5.8697811625175733E-3</v>
      </c>
      <c r="H57" s="184">
        <f>MAX($C$2:C57)</f>
        <v>100.73099999999999</v>
      </c>
      <c r="I57" s="118">
        <f t="shared" si="1"/>
        <v>-1.6410042588676732E-2</v>
      </c>
      <c r="K57">
        <v>100.398</v>
      </c>
      <c r="L57" s="118">
        <f t="shared" si="4"/>
        <v>-5.8619665313397462E-3</v>
      </c>
      <c r="N57" s="118"/>
      <c r="P57" s="184">
        <f>MAX($K$2:K57)</f>
        <v>102.077</v>
      </c>
      <c r="Q57" s="118">
        <f t="shared" si="5"/>
        <v>-1.6448367408916864E-2</v>
      </c>
      <c r="T57" s="207">
        <v>43378</v>
      </c>
      <c r="U57">
        <v>99.153999999999996</v>
      </c>
      <c r="V57" s="118">
        <f t="shared" si="2"/>
        <v>-5.8154691479335163E-3</v>
      </c>
      <c r="Z57" s="184">
        <f>MAX($U$2:U57)</f>
        <v>100.616</v>
      </c>
      <c r="AA57" s="118">
        <f t="shared" si="3"/>
        <v>-1.4530492168243647E-2</v>
      </c>
      <c r="AC57" s="43">
        <v>8433865.7177269813</v>
      </c>
      <c r="AD57" s="118"/>
      <c r="AE57" s="45">
        <f t="shared" si="7"/>
        <v>-49046.885879255424</v>
      </c>
      <c r="AF57" s="194">
        <f t="shared" si="6"/>
        <v>5.8697811625175733E-3</v>
      </c>
    </row>
    <row r="58" spans="2:32" x14ac:dyDescent="0.3">
      <c r="B58" s="207">
        <v>43381</v>
      </c>
      <c r="C58">
        <v>98.652000000000001</v>
      </c>
      <c r="D58" s="118">
        <f t="shared" si="0"/>
        <v>-4.2996427057470088E-3</v>
      </c>
      <c r="H58" s="184">
        <f>MAX($C$2:C58)</f>
        <v>100.73099999999999</v>
      </c>
      <c r="I58" s="118">
        <f t="shared" si="1"/>
        <v>-2.0639127974506288E-2</v>
      </c>
      <c r="K58">
        <v>99.971999999999994</v>
      </c>
      <c r="L58" s="118">
        <f t="shared" si="4"/>
        <v>-4.2431124125978936E-3</v>
      </c>
      <c r="N58" s="118"/>
      <c r="P58" s="184">
        <f>MAX($K$2:K58)</f>
        <v>102.077</v>
      </c>
      <c r="Q58" s="118">
        <f t="shared" si="5"/>
        <v>-2.0621687549594925E-2</v>
      </c>
      <c r="T58" s="207">
        <v>43381</v>
      </c>
      <c r="U58">
        <v>98.745000000000005</v>
      </c>
      <c r="V58" s="118">
        <f t="shared" si="2"/>
        <v>-4.1248966254512354E-3</v>
      </c>
      <c r="Z58" s="184">
        <f>MAX($U$2:U58)</f>
        <v>100.616</v>
      </c>
      <c r="AA58" s="118">
        <f t="shared" si="3"/>
        <v>-1.8595452015583991E-2</v>
      </c>
      <c r="AC58" s="43">
        <v>8381751.1930460706</v>
      </c>
      <c r="AD58" s="118"/>
      <c r="AE58" s="45">
        <f t="shared" si="7"/>
        <v>-34573.8572115676</v>
      </c>
      <c r="AF58" s="194">
        <f t="shared" si="6"/>
        <v>4.2996427057470088E-3</v>
      </c>
    </row>
    <row r="59" spans="2:32" x14ac:dyDescent="0.3">
      <c r="B59" s="207">
        <v>43382</v>
      </c>
      <c r="C59">
        <v>98.370999999999995</v>
      </c>
      <c r="D59" s="118">
        <f t="shared" si="0"/>
        <v>-2.8483963832461878E-3</v>
      </c>
      <c r="H59" s="184">
        <f>MAX($C$2:C59)</f>
        <v>100.73099999999999</v>
      </c>
      <c r="I59" s="118">
        <f t="shared" si="1"/>
        <v>-2.3428735940276613E-2</v>
      </c>
      <c r="K59">
        <v>99.691000000000003</v>
      </c>
      <c r="L59" s="118">
        <f t="shared" si="4"/>
        <v>-2.8107870203656349E-3</v>
      </c>
      <c r="N59" s="118"/>
      <c r="P59" s="184">
        <f>MAX($K$2:K59)</f>
        <v>102.077</v>
      </c>
      <c r="Q59" s="118">
        <f t="shared" si="5"/>
        <v>-2.3374511398258191E-2</v>
      </c>
      <c r="T59" s="207">
        <v>43382</v>
      </c>
      <c r="U59">
        <v>98.471000000000004</v>
      </c>
      <c r="V59" s="118">
        <f t="shared" si="2"/>
        <v>-2.7748240417236891E-3</v>
      </c>
      <c r="Z59" s="184">
        <f>MAX($U$2:U59)</f>
        <v>100.616</v>
      </c>
      <c r="AA59" s="118">
        <f t="shared" si="3"/>
        <v>-2.1318676949988014E-2</v>
      </c>
      <c r="AC59" s="43">
        <v>8352029.899155709</v>
      </c>
      <c r="AD59" s="118"/>
      <c r="AE59" s="45">
        <f t="shared" si="7"/>
        <v>-23175.413361372339</v>
      </c>
      <c r="AF59" s="194">
        <f t="shared" si="6"/>
        <v>2.8483963832461878E-3</v>
      </c>
    </row>
    <row r="60" spans="2:32" x14ac:dyDescent="0.3">
      <c r="B60" s="207">
        <v>43383</v>
      </c>
      <c r="C60">
        <v>97.882000000000005</v>
      </c>
      <c r="D60" s="118">
        <f t="shared" si="0"/>
        <v>-4.9709772188957224E-3</v>
      </c>
      <c r="H60" s="184">
        <f>MAX($C$2:C60)</f>
        <v>100.73099999999999</v>
      </c>
      <c r="I60" s="118">
        <f t="shared" si="1"/>
        <v>-2.82832494465457E-2</v>
      </c>
      <c r="K60">
        <v>99.182000000000002</v>
      </c>
      <c r="L60" s="118">
        <f t="shared" si="4"/>
        <v>-5.1057768504679801E-3</v>
      </c>
      <c r="N60" s="118"/>
      <c r="P60" s="184">
        <f>MAX($K$2:K60)</f>
        <v>102.077</v>
      </c>
      <c r="Q60" s="118">
        <f t="shared" si="5"/>
        <v>-2.8360943209537859E-2</v>
      </c>
      <c r="T60" s="207">
        <v>43383</v>
      </c>
      <c r="U60">
        <v>97.972999999999999</v>
      </c>
      <c r="V60" s="118">
        <f t="shared" si="2"/>
        <v>-5.0573265225295483E-3</v>
      </c>
      <c r="Z60" s="184">
        <f>MAX($U$2:U60)</f>
        <v>100.616</v>
      </c>
      <c r="AA60" s="118">
        <f t="shared" si="3"/>
        <v>-2.6268187962153133E-2</v>
      </c>
      <c r="AC60" s="43">
        <v>8377404.9957690835</v>
      </c>
    </row>
    <row r="61" spans="2:32" x14ac:dyDescent="0.3">
      <c r="B61" s="207">
        <v>43384</v>
      </c>
      <c r="C61">
        <v>97.019000000000005</v>
      </c>
      <c r="D61" s="118">
        <f t="shared" si="0"/>
        <v>-8.8167385218936856E-3</v>
      </c>
      <c r="H61" s="184">
        <f>MAX($C$2:C61)</f>
        <v>100.73099999999999</v>
      </c>
      <c r="I61" s="118">
        <f t="shared" si="1"/>
        <v>-3.6850621953519624E-2</v>
      </c>
      <c r="K61">
        <v>98.302000000000007</v>
      </c>
      <c r="L61" s="118">
        <f t="shared" si="4"/>
        <v>-8.8725776854671201E-3</v>
      </c>
      <c r="N61" s="118"/>
      <c r="P61" s="184">
        <f>MAX($K$2:K61)</f>
        <v>102.077</v>
      </c>
      <c r="Q61" s="118">
        <f t="shared" si="5"/>
        <v>-3.6981886223145244E-2</v>
      </c>
      <c r="T61" s="207">
        <v>43384</v>
      </c>
      <c r="U61">
        <v>97.108000000000004</v>
      </c>
      <c r="V61" s="118">
        <f t="shared" si="2"/>
        <v>-8.8289630816652531E-3</v>
      </c>
      <c r="Z61" s="184">
        <f>MAX($U$2:U61)</f>
        <v>100.616</v>
      </c>
      <c r="AA61" s="118">
        <f t="shared" si="3"/>
        <v>-3.4865230182078322E-2</v>
      </c>
      <c r="AC61" s="43">
        <v>8345159.3760868721</v>
      </c>
    </row>
    <row r="62" spans="2:32" x14ac:dyDescent="0.3">
      <c r="B62" s="207">
        <v>43385</v>
      </c>
      <c r="C62">
        <v>96.89</v>
      </c>
      <c r="D62" s="118">
        <f t="shared" si="0"/>
        <v>-1.3296364629609148E-3</v>
      </c>
      <c r="H62" s="184">
        <f>MAX($C$2:C62)</f>
        <v>100.73099999999999</v>
      </c>
      <c r="I62" s="118">
        <f t="shared" si="1"/>
        <v>-3.8131260485848362E-2</v>
      </c>
      <c r="K62">
        <v>98.171999999999997</v>
      </c>
      <c r="L62" s="118">
        <f t="shared" si="4"/>
        <v>-1.3224552908385201E-3</v>
      </c>
      <c r="N62" s="118"/>
      <c r="P62" s="184">
        <f>MAX($K$2:K62)</f>
        <v>102.077</v>
      </c>
      <c r="Q62" s="118">
        <f t="shared" si="5"/>
        <v>-3.8255434622882722E-2</v>
      </c>
      <c r="T62" s="207">
        <v>43385</v>
      </c>
      <c r="U62">
        <v>96.983000000000004</v>
      </c>
      <c r="V62" s="118">
        <f t="shared" si="2"/>
        <v>-1.2872265930716775E-3</v>
      </c>
      <c r="Z62" s="184">
        <f>MAX($U$2:U62)</f>
        <v>100.616</v>
      </c>
      <c r="AA62" s="118">
        <f t="shared" si="3"/>
        <v>-3.610757732368608E-2</v>
      </c>
      <c r="AC62" s="43">
        <v>8335221.4765341943</v>
      </c>
    </row>
    <row r="63" spans="2:32" x14ac:dyDescent="0.3">
      <c r="B63" s="207">
        <v>43388</v>
      </c>
      <c r="C63">
        <v>97.09</v>
      </c>
      <c r="D63" s="118">
        <f t="shared" si="0"/>
        <v>2.0641965115080207E-3</v>
      </c>
      <c r="H63" s="184">
        <f>MAX($C$2:C63)</f>
        <v>100.73099999999999</v>
      </c>
      <c r="I63" s="118">
        <f t="shared" si="1"/>
        <v>-3.6145774389214735E-2</v>
      </c>
      <c r="K63">
        <v>98.373999999999995</v>
      </c>
      <c r="L63" s="118">
        <f t="shared" si="4"/>
        <v>2.057613168724215E-3</v>
      </c>
      <c r="N63" s="118"/>
      <c r="P63" s="184">
        <f>MAX($K$2:K63)</f>
        <v>102.077</v>
      </c>
      <c r="Q63" s="118">
        <f t="shared" si="5"/>
        <v>-3.6276536340213772E-2</v>
      </c>
      <c r="T63" s="207">
        <v>43388</v>
      </c>
      <c r="U63">
        <v>97.194999999999993</v>
      </c>
      <c r="V63" s="118">
        <f t="shared" si="2"/>
        <v>2.1859501149685823E-3</v>
      </c>
      <c r="Z63" s="184">
        <f>MAX($U$2:U63)</f>
        <v>100.616</v>
      </c>
      <c r="AA63" s="118">
        <f t="shared" si="3"/>
        <v>-3.4000556571519458E-2</v>
      </c>
      <c r="AC63" s="43">
        <v>8367376.4434541846</v>
      </c>
    </row>
    <row r="64" spans="2:32" x14ac:dyDescent="0.3">
      <c r="B64" s="207">
        <v>43389</v>
      </c>
      <c r="C64">
        <v>97.41</v>
      </c>
      <c r="D64" s="118">
        <f t="shared" si="0"/>
        <v>3.2959110104027189E-3</v>
      </c>
      <c r="H64" s="184">
        <f>MAX($C$2:C64)</f>
        <v>100.73099999999999</v>
      </c>
      <c r="I64" s="118">
        <f t="shared" si="1"/>
        <v>-3.2968996634601067E-2</v>
      </c>
      <c r="K64">
        <v>98.697999999999993</v>
      </c>
      <c r="L64" s="118">
        <f t="shared" si="4"/>
        <v>3.2935531746192126E-3</v>
      </c>
      <c r="N64" s="118"/>
      <c r="P64" s="184">
        <f>MAX($K$2:K64)</f>
        <v>102.077</v>
      </c>
      <c r="Q64" s="118">
        <f t="shared" si="5"/>
        <v>-3.3102461867022037E-2</v>
      </c>
      <c r="T64" s="207">
        <v>43389</v>
      </c>
      <c r="U64">
        <v>97.519000000000005</v>
      </c>
      <c r="V64" s="118">
        <f t="shared" si="2"/>
        <v>3.3335048099183417E-3</v>
      </c>
      <c r="Z64" s="184">
        <f>MAX($U$2:U64)</f>
        <v>100.616</v>
      </c>
      <c r="AA64" s="118">
        <f t="shared" si="3"/>
        <v>-3.0780392780472288E-2</v>
      </c>
      <c r="AC64" s="43">
        <v>8406156.8925498836</v>
      </c>
    </row>
    <row r="65" spans="2:29" x14ac:dyDescent="0.3">
      <c r="B65" s="207">
        <v>43390</v>
      </c>
      <c r="C65">
        <v>97.884</v>
      </c>
      <c r="D65" s="118">
        <f t="shared" si="0"/>
        <v>4.8660301817062823E-3</v>
      </c>
      <c r="H65" s="184">
        <f>MAX($C$2:C65)</f>
        <v>100.73099999999999</v>
      </c>
      <c r="I65" s="118">
        <f t="shared" si="1"/>
        <v>-2.826339458557936E-2</v>
      </c>
      <c r="K65">
        <v>99.179000000000002</v>
      </c>
      <c r="L65" s="118">
        <f t="shared" si="4"/>
        <v>4.8734523495916893E-3</v>
      </c>
      <c r="N65" s="118"/>
      <c r="P65" s="184">
        <f>MAX($K$2:K65)</f>
        <v>102.077</v>
      </c>
      <c r="Q65" s="118">
        <f t="shared" si="5"/>
        <v>-2.83903327879933E-2</v>
      </c>
      <c r="T65" s="207">
        <v>43390</v>
      </c>
      <c r="U65">
        <v>97.998000000000005</v>
      </c>
      <c r="V65" s="118">
        <f t="shared" si="2"/>
        <v>4.9118633291973524E-3</v>
      </c>
      <c r="Z65" s="184">
        <f>MAX($U$2:U65)</f>
        <v>100.616</v>
      </c>
      <c r="AA65" s="118">
        <f t="shared" si="3"/>
        <v>-2.601971853383156E-2</v>
      </c>
      <c r="AC65" s="43">
        <v>8436209.0299999993</v>
      </c>
    </row>
    <row r="66" spans="2:29" x14ac:dyDescent="0.3">
      <c r="B66" s="207">
        <v>43391</v>
      </c>
      <c r="C66">
        <v>97.619</v>
      </c>
      <c r="D66" s="118">
        <f t="shared" si="0"/>
        <v>-2.7072861754730004E-3</v>
      </c>
      <c r="H66" s="184">
        <f>MAX($C$2:C66)</f>
        <v>100.73099999999999</v>
      </c>
      <c r="I66" s="118">
        <f t="shared" si="1"/>
        <v>-3.0894163663618857E-2</v>
      </c>
      <c r="K66">
        <v>98.915999999999997</v>
      </c>
      <c r="L66" s="118">
        <f t="shared" si="4"/>
        <v>-2.6517710402403916E-3</v>
      </c>
      <c r="N66" s="118"/>
      <c r="P66" s="184">
        <f>MAX($K$2:K66)</f>
        <v>102.077</v>
      </c>
      <c r="Q66" s="118">
        <f t="shared" si="5"/>
        <v>-3.0966819165923809E-2</v>
      </c>
      <c r="T66" s="207">
        <v>43391</v>
      </c>
      <c r="U66">
        <v>97.742000000000004</v>
      </c>
      <c r="V66" s="118">
        <f t="shared" si="2"/>
        <v>-2.6122982101675074E-3</v>
      </c>
      <c r="Z66" s="184">
        <f>MAX($U$2:U66)</f>
        <v>100.616</v>
      </c>
      <c r="AA66" s="118">
        <f t="shared" si="3"/>
        <v>-2.8564045479844147E-2</v>
      </c>
      <c r="AC66" s="43">
        <v>8547169.0899999999</v>
      </c>
    </row>
    <row r="67" spans="2:29" x14ac:dyDescent="0.3">
      <c r="B67" s="207">
        <v>43392</v>
      </c>
      <c r="C67">
        <v>97.418000000000006</v>
      </c>
      <c r="D67" s="118">
        <f t="shared" si="0"/>
        <v>-2.0590253946464188E-3</v>
      </c>
      <c r="H67" s="184">
        <f>MAX($C$2:C67)</f>
        <v>100.73099999999999</v>
      </c>
      <c r="I67" s="118">
        <f t="shared" si="1"/>
        <v>-3.2889577190735597E-2</v>
      </c>
      <c r="K67">
        <v>98.715000000000003</v>
      </c>
      <c r="L67" s="118">
        <f t="shared" si="4"/>
        <v>-2.0320271745722929E-3</v>
      </c>
      <c r="N67" s="118"/>
      <c r="P67" s="184">
        <f>MAX($K$2:K67)</f>
        <v>102.077</v>
      </c>
      <c r="Q67" s="118">
        <f t="shared" si="5"/>
        <v>-3.2935920922440798E-2</v>
      </c>
      <c r="T67" s="207">
        <v>43392</v>
      </c>
      <c r="U67">
        <v>97.548000000000002</v>
      </c>
      <c r="V67" s="118">
        <f t="shared" si="2"/>
        <v>-1.9848171717378182E-3</v>
      </c>
      <c r="Z67" s="184">
        <f>MAX($U$2:U67)</f>
        <v>100.616</v>
      </c>
      <c r="AA67" s="118">
        <f t="shared" si="3"/>
        <v>-3.0492168243619333E-2</v>
      </c>
      <c r="AC67" s="43">
        <v>8541894.2599999998</v>
      </c>
    </row>
    <row r="68" spans="2:29" x14ac:dyDescent="0.3">
      <c r="B68" s="207">
        <v>43395</v>
      </c>
      <c r="C68">
        <v>96.912999999999997</v>
      </c>
      <c r="D68" s="118">
        <f t="shared" ref="D68:D109" si="8">C68/C67-1</f>
        <v>-5.1838469276725974E-3</v>
      </c>
      <c r="H68" s="184">
        <f>MAX($C$2:C68)</f>
        <v>100.73099999999999</v>
      </c>
      <c r="I68" s="118">
        <f t="shared" ref="I68:I75" si="9">C68/H67-1</f>
        <v>-3.7902929584735512E-2</v>
      </c>
      <c r="K68">
        <v>98.212000000000003</v>
      </c>
      <c r="L68" s="118">
        <f t="shared" si="4"/>
        <v>-5.0954768778808113E-3</v>
      </c>
      <c r="N68" s="118"/>
      <c r="P68" s="184">
        <f>MAX($K$2:K68)</f>
        <v>102.077</v>
      </c>
      <c r="Q68" s="118">
        <f t="shared" si="5"/>
        <v>-3.7863573576809584E-2</v>
      </c>
      <c r="T68" s="207">
        <v>43395</v>
      </c>
      <c r="U68">
        <v>97.063000000000002</v>
      </c>
      <c r="V68" s="118">
        <f t="shared" ref="V68:V187" si="10">U68/U67-1</f>
        <v>-4.9719112641981589E-3</v>
      </c>
      <c r="Z68" s="184">
        <f>MAX($U$2:U68)</f>
        <v>100.616</v>
      </c>
      <c r="AA68" s="118">
        <f t="shared" ref="AA68:AA75" si="11">U68/Z67-1</f>
        <v>-3.5312475153057132E-2</v>
      </c>
      <c r="AC68" s="43">
        <v>8876795.5999999978</v>
      </c>
    </row>
    <row r="69" spans="2:29" x14ac:dyDescent="0.3">
      <c r="B69" s="207">
        <v>43396</v>
      </c>
      <c r="C69">
        <v>96.668999999999997</v>
      </c>
      <c r="D69" s="118">
        <f t="shared" si="8"/>
        <v>-2.517722080629059E-3</v>
      </c>
      <c r="H69" s="184">
        <f>MAX($C$2:C69)</f>
        <v>100.73099999999999</v>
      </c>
      <c r="I69" s="118">
        <f t="shared" si="9"/>
        <v>-4.0325222622628609E-2</v>
      </c>
      <c r="K69">
        <v>97.96</v>
      </c>
      <c r="L69" s="118">
        <f t="shared" si="4"/>
        <v>-2.5658778967947438E-3</v>
      </c>
      <c r="N69" s="118"/>
      <c r="P69" s="184">
        <f>MAX($K$2:K69)</f>
        <v>102.077</v>
      </c>
      <c r="Q69" s="118">
        <f t="shared" si="5"/>
        <v>-4.0332298167069958E-2</v>
      </c>
      <c r="T69" s="207">
        <v>43396</v>
      </c>
      <c r="U69">
        <v>96.816999999999993</v>
      </c>
      <c r="V69" s="118">
        <f t="shared" si="10"/>
        <v>-2.5344363969793671E-3</v>
      </c>
      <c r="Z69" s="184">
        <f>MAX($U$2:U69)</f>
        <v>100.616</v>
      </c>
      <c r="AA69" s="118">
        <f t="shared" si="11"/>
        <v>-3.7757414327741157E-2</v>
      </c>
      <c r="AC69" s="43">
        <v>8859085.3500000015</v>
      </c>
    </row>
    <row r="70" spans="2:29" x14ac:dyDescent="0.3">
      <c r="B70" s="207">
        <v>43397</v>
      </c>
      <c r="C70">
        <v>96.534999999999997</v>
      </c>
      <c r="D70" s="118">
        <f t="shared" si="8"/>
        <v>-1.3861734371929391E-3</v>
      </c>
      <c r="H70" s="184">
        <f>MAX($C$2:C70)</f>
        <v>100.73099999999999</v>
      </c>
      <c r="I70" s="118">
        <f t="shared" si="9"/>
        <v>-4.165549830737314E-2</v>
      </c>
      <c r="K70">
        <v>97.82</v>
      </c>
      <c r="L70" s="118">
        <f t="shared" si="4"/>
        <v>-1.4291547570437491E-3</v>
      </c>
      <c r="N70" s="118"/>
      <c r="P70" s="184">
        <f>MAX($K$2:K70)</f>
        <v>102.077</v>
      </c>
      <c r="Q70" s="118">
        <f t="shared" si="5"/>
        <v>-4.1703811828325721E-2</v>
      </c>
      <c r="T70" s="207">
        <v>43397</v>
      </c>
      <c r="U70">
        <v>96.683999999999997</v>
      </c>
      <c r="V70" s="118">
        <f t="shared" si="10"/>
        <v>-1.3737256886703353E-3</v>
      </c>
      <c r="Z70" s="184">
        <f>MAX($U$2:U70)</f>
        <v>100.616</v>
      </c>
      <c r="AA70" s="118">
        <f t="shared" si="11"/>
        <v>-3.9079271686411676E-2</v>
      </c>
      <c r="AC70" s="43">
        <v>8840970.6000000015</v>
      </c>
    </row>
    <row r="71" spans="2:29" x14ac:dyDescent="0.3">
      <c r="B71" s="207">
        <v>43398</v>
      </c>
      <c r="C71">
        <v>96.144999999999996</v>
      </c>
      <c r="D71" s="118">
        <f t="shared" si="8"/>
        <v>-4.0399854974879634E-3</v>
      </c>
      <c r="H71" s="184">
        <f>MAX($C$2:C71)</f>
        <v>100.73099999999999</v>
      </c>
      <c r="I71" s="118">
        <f t="shared" si="9"/>
        <v>-4.5527196195808584E-2</v>
      </c>
      <c r="K71">
        <v>97.429000000000002</v>
      </c>
      <c r="L71" s="118">
        <f t="shared" si="4"/>
        <v>-3.9971375996727954E-3</v>
      </c>
      <c r="N71" s="118"/>
      <c r="P71" s="184">
        <f>MAX($K$2:K71)</f>
        <v>102.077</v>
      </c>
      <c r="Q71" s="118">
        <f t="shared" si="5"/>
        <v>-4.5534253553689785E-2</v>
      </c>
      <c r="T71" s="207">
        <v>43398</v>
      </c>
      <c r="U71">
        <v>96.3</v>
      </c>
      <c r="V71" s="118">
        <f t="shared" si="10"/>
        <v>-3.9717016259153137E-3</v>
      </c>
      <c r="Z71" s="184">
        <f>MAX($U$2:U71)</f>
        <v>100.616</v>
      </c>
      <c r="AA71" s="118">
        <f t="shared" si="11"/>
        <v>-4.2895762105430557E-2</v>
      </c>
      <c r="AC71" s="43">
        <v>8805192.3300000001</v>
      </c>
    </row>
    <row r="72" spans="2:29" x14ac:dyDescent="0.3">
      <c r="B72" s="207">
        <v>43399</v>
      </c>
      <c r="C72">
        <v>95.816000000000003</v>
      </c>
      <c r="D72" s="118">
        <f t="shared" si="8"/>
        <v>-3.4219148161630519E-3</v>
      </c>
      <c r="E72" s="43">
        <v>8486821.2799999993</v>
      </c>
      <c r="H72" s="184">
        <f>MAX($C$2:C72)</f>
        <v>100.73099999999999</v>
      </c>
      <c r="I72" s="118">
        <f t="shared" si="9"/>
        <v>-4.8793320824770836E-2</v>
      </c>
      <c r="K72">
        <v>97.093999999999994</v>
      </c>
      <c r="L72" s="118">
        <f t="shared" si="4"/>
        <v>-3.4384012973550648E-3</v>
      </c>
      <c r="M72" s="43">
        <v>145179.52000000002</v>
      </c>
      <c r="N72" s="118"/>
      <c r="P72" s="184">
        <f>MAX($K$2:K72)</f>
        <v>102.077</v>
      </c>
      <c r="Q72" s="118">
        <f t="shared" si="5"/>
        <v>-4.8816089814551766E-2</v>
      </c>
      <c r="T72" s="207">
        <v>43399</v>
      </c>
      <c r="U72">
        <v>95.972999999999999</v>
      </c>
      <c r="V72" s="118">
        <f t="shared" si="10"/>
        <v>-3.3956386292834928E-3</v>
      </c>
      <c r="W72" s="43">
        <v>143960.21</v>
      </c>
      <c r="Z72" s="184">
        <f>MAX($U$2:U72)</f>
        <v>100.616</v>
      </c>
      <c r="AA72" s="118">
        <f t="shared" si="11"/>
        <v>-4.6145742227876263E-2</v>
      </c>
      <c r="AC72" s="43">
        <v>8775961.0099999998</v>
      </c>
    </row>
    <row r="73" spans="2:29" x14ac:dyDescent="0.3">
      <c r="B73" s="207">
        <v>43402</v>
      </c>
      <c r="C73">
        <v>95.634</v>
      </c>
      <c r="D73" s="118">
        <f t="shared" si="8"/>
        <v>-1.8994739918176684E-3</v>
      </c>
      <c r="E73" s="43">
        <v>8468194.9399999995</v>
      </c>
      <c r="H73" s="184">
        <f>MAX($C$2:C73)</f>
        <v>100.73099999999999</v>
      </c>
      <c r="I73" s="118">
        <f t="shared" si="9"/>
        <v>-5.0600113172707406E-2</v>
      </c>
      <c r="K73">
        <v>96.914000000000001</v>
      </c>
      <c r="L73" s="118">
        <f t="shared" si="4"/>
        <v>-1.8538735658227834E-3</v>
      </c>
      <c r="M73" s="43">
        <v>144910.49000000002</v>
      </c>
      <c r="N73" s="118"/>
      <c r="P73" s="184">
        <f>MAX($K$2:K73)</f>
        <v>102.077</v>
      </c>
      <c r="Q73" s="118">
        <f t="shared" si="5"/>
        <v>-5.0579464521880557E-2</v>
      </c>
      <c r="T73" s="207">
        <v>43402</v>
      </c>
      <c r="U73">
        <v>95.807000000000002</v>
      </c>
      <c r="V73" s="118">
        <f t="shared" si="10"/>
        <v>-1.7296531316098873E-3</v>
      </c>
      <c r="W73" s="43">
        <v>143711.16999999998</v>
      </c>
      <c r="Z73" s="184">
        <f>MAX($U$2:U73)</f>
        <v>100.616</v>
      </c>
      <c r="AA73" s="118">
        <f t="shared" si="11"/>
        <v>-4.7795579231931229E-2</v>
      </c>
      <c r="AC73" s="43">
        <v>8756816.5999999996</v>
      </c>
    </row>
    <row r="74" spans="2:29" x14ac:dyDescent="0.3">
      <c r="B74" s="207">
        <v>43403</v>
      </c>
      <c r="C74" s="196">
        <v>95.540999999999997</v>
      </c>
      <c r="D74" s="118">
        <f t="shared" si="8"/>
        <v>-9.7245749419661021E-4</v>
      </c>
      <c r="E74" s="197">
        <v>8452300.3200000003</v>
      </c>
      <c r="H74" s="184">
        <f>MAX($C$2:C74)</f>
        <v>100.73099999999999</v>
      </c>
      <c r="I74" s="118">
        <f t="shared" si="9"/>
        <v>-5.1523364207642142E-2</v>
      </c>
      <c r="K74" s="196">
        <v>96.837999999999994</v>
      </c>
      <c r="L74" s="118">
        <f t="shared" si="4"/>
        <v>-7.8420042511928578E-4</v>
      </c>
      <c r="M74" s="197">
        <v>9528016.2200000007</v>
      </c>
      <c r="N74" s="118"/>
      <c r="P74" s="184">
        <f>MAX($K$2:K74)</f>
        <v>102.077</v>
      </c>
      <c r="Q74" s="118">
        <f t="shared" si="5"/>
        <v>-5.1324000509419432E-2</v>
      </c>
      <c r="T74" s="207">
        <v>43403</v>
      </c>
      <c r="U74" s="196">
        <v>95.736000000000004</v>
      </c>
      <c r="V74" s="118">
        <f t="shared" si="10"/>
        <v>-7.4107319924432424E-4</v>
      </c>
      <c r="W74" s="197">
        <v>143604.5</v>
      </c>
      <c r="Z74" s="184">
        <f>MAX($U$2:U74)</f>
        <v>100.616</v>
      </c>
      <c r="AA74" s="118">
        <f t="shared" si="11"/>
        <v>-4.8501232408364459E-2</v>
      </c>
      <c r="AC74" s="43">
        <v>18123921.039999999</v>
      </c>
    </row>
    <row r="75" spans="2:29" x14ac:dyDescent="0.3">
      <c r="B75" s="207">
        <v>43404</v>
      </c>
      <c r="C75">
        <v>96.525000000000006</v>
      </c>
      <c r="D75" s="118">
        <f t="shared" si="8"/>
        <v>1.0299243256821855E-2</v>
      </c>
      <c r="E75" s="43">
        <v>8536314.1400000006</v>
      </c>
      <c r="G75" s="118">
        <f>C75/C52-1</f>
        <v>-4.0096661594916316E-2</v>
      </c>
      <c r="H75" s="184">
        <f>MAX($C$2:C75)</f>
        <v>100.73099999999999</v>
      </c>
      <c r="I75" s="118">
        <f t="shared" si="9"/>
        <v>-4.1754772612204727E-2</v>
      </c>
      <c r="K75">
        <v>97.849000000000004</v>
      </c>
      <c r="L75" s="118">
        <f t="shared" si="4"/>
        <v>1.0440116483198869E-2</v>
      </c>
      <c r="M75" s="43">
        <v>9627574.620000001</v>
      </c>
      <c r="N75" s="118"/>
      <c r="O75" s="118">
        <f>K75/K52-1</f>
        <v>-3.9490733469451866E-2</v>
      </c>
      <c r="P75" s="184">
        <f>MAX($K$2:K75)</f>
        <v>102.077</v>
      </c>
      <c r="Q75" s="118">
        <f t="shared" si="5"/>
        <v>-4.1419712569922607E-2</v>
      </c>
      <c r="T75" s="207">
        <v>43404</v>
      </c>
      <c r="U75">
        <v>96.74</v>
      </c>
      <c r="V75" s="118">
        <f t="shared" si="10"/>
        <v>1.048717305924618E-2</v>
      </c>
      <c r="W75" s="43">
        <v>145110.99</v>
      </c>
      <c r="Y75" s="118">
        <f>U75/U52-1</f>
        <v>-3.7068004459308801E-2</v>
      </c>
      <c r="Z75" s="184">
        <f>MAX($U$2:U75)</f>
        <v>100.616</v>
      </c>
      <c r="AA75" s="118">
        <f t="shared" si="11"/>
        <v>-3.8522700166971457E-2</v>
      </c>
      <c r="AC75" s="43">
        <v>18308999.75</v>
      </c>
    </row>
    <row r="76" spans="2:29" x14ac:dyDescent="0.3">
      <c r="B76" s="207">
        <v>43405</v>
      </c>
      <c r="C76">
        <v>96.712999999999994</v>
      </c>
      <c r="D76" s="160">
        <f t="shared" si="8"/>
        <v>1.9476819476818008E-3</v>
      </c>
      <c r="E76" s="43">
        <v>8767655.4000000004</v>
      </c>
      <c r="K76">
        <v>98.031999999999996</v>
      </c>
      <c r="L76" s="160">
        <f t="shared" si="4"/>
        <v>1.8702286175638072E-3</v>
      </c>
      <c r="M76" s="43">
        <v>9645558.040000001</v>
      </c>
      <c r="N76" s="118"/>
      <c r="T76" s="207">
        <v>43405</v>
      </c>
      <c r="U76">
        <v>96.924999999999997</v>
      </c>
      <c r="V76" s="160">
        <f t="shared" si="10"/>
        <v>1.9123423609674894E-3</v>
      </c>
      <c r="W76" s="43">
        <v>145388.01999999999</v>
      </c>
      <c r="AC76" s="43">
        <v>18558601.460000001</v>
      </c>
    </row>
    <row r="77" spans="2:29" x14ac:dyDescent="0.3">
      <c r="B77" s="207">
        <v>43406</v>
      </c>
      <c r="C77">
        <v>97.406999999999996</v>
      </c>
      <c r="D77" s="160">
        <f t="shared" si="8"/>
        <v>7.1758708756837208E-3</v>
      </c>
      <c r="E77" s="43">
        <v>8845941.3999999985</v>
      </c>
      <c r="K77">
        <v>98.731999999999999</v>
      </c>
      <c r="L77" s="160">
        <f t="shared" si="4"/>
        <v>7.1405255426799652E-3</v>
      </c>
      <c r="M77" s="43">
        <v>9714432.4300000016</v>
      </c>
      <c r="N77" s="118"/>
      <c r="T77" s="207">
        <v>43406</v>
      </c>
      <c r="U77">
        <v>97.620999999999995</v>
      </c>
      <c r="V77" s="160">
        <f t="shared" si="10"/>
        <v>7.1808099045653773E-3</v>
      </c>
      <c r="W77" s="43">
        <v>146432.19</v>
      </c>
      <c r="AC77" s="43">
        <v>18706806.02</v>
      </c>
    </row>
    <row r="78" spans="2:29" x14ac:dyDescent="0.3">
      <c r="B78" s="207">
        <v>43409</v>
      </c>
      <c r="C78">
        <v>97.114999999999995</v>
      </c>
      <c r="D78" s="160">
        <f t="shared" si="8"/>
        <v>-2.9977311692178654E-3</v>
      </c>
      <c r="E78" s="43">
        <v>8813348.4800000004</v>
      </c>
      <c r="K78">
        <v>98.451999999999998</v>
      </c>
      <c r="L78" s="160">
        <f t="shared" ref="L78:L185" si="12">K78/K77-1</f>
        <v>-2.8359599724506745E-3</v>
      </c>
      <c r="M78" s="43">
        <v>9686906.7700000014</v>
      </c>
      <c r="N78" s="118"/>
      <c r="T78" s="207">
        <v>43409</v>
      </c>
      <c r="U78">
        <v>97.355999999999995</v>
      </c>
      <c r="V78" s="160">
        <f t="shared" si="10"/>
        <v>-2.7145798547443256E-3</v>
      </c>
      <c r="W78" s="43">
        <v>146035.28</v>
      </c>
      <c r="AC78" s="43">
        <v>18646290.530000001</v>
      </c>
    </row>
    <row r="79" spans="2:29" x14ac:dyDescent="0.3">
      <c r="B79" s="207">
        <v>43411</v>
      </c>
      <c r="C79">
        <v>97.805000000000007</v>
      </c>
      <c r="D79" s="160" t="s">
        <v>147</v>
      </c>
      <c r="E79" s="43">
        <v>8912907.1900000013</v>
      </c>
      <c r="K79">
        <v>99.161000000000001</v>
      </c>
      <c r="L79" s="160">
        <f t="shared" si="12"/>
        <v>7.2014788932677209E-3</v>
      </c>
      <c r="M79" s="43">
        <v>9756660.0900000017</v>
      </c>
      <c r="N79" s="118"/>
      <c r="T79" s="207">
        <v>43411</v>
      </c>
      <c r="U79">
        <v>98.064999999999998</v>
      </c>
      <c r="V79" s="118">
        <f t="shared" si="10"/>
        <v>7.2825506388922712E-3</v>
      </c>
      <c r="W79" s="43">
        <v>147098.94</v>
      </c>
      <c r="AC79" s="43">
        <v>18816666.220000003</v>
      </c>
    </row>
    <row r="80" spans="2:29" x14ac:dyDescent="0.3">
      <c r="B80" s="207">
        <v>43412</v>
      </c>
      <c r="C80">
        <v>98.135999999999996</v>
      </c>
      <c r="D80" s="118">
        <f t="shared" si="8"/>
        <v>3.3842850570011684E-3</v>
      </c>
      <c r="E80" s="43">
        <v>9606027.4800000004</v>
      </c>
      <c r="K80">
        <v>99.480999999999995</v>
      </c>
      <c r="L80" s="118">
        <f t="shared" si="12"/>
        <v>3.2270751605973924E-3</v>
      </c>
      <c r="M80" s="43">
        <v>9788097.7200000025</v>
      </c>
      <c r="N80" s="118"/>
      <c r="T80" s="207">
        <v>43412</v>
      </c>
      <c r="U80">
        <v>98.385000000000005</v>
      </c>
      <c r="V80" s="118">
        <f t="shared" si="10"/>
        <v>3.2631417937083462E-3</v>
      </c>
      <c r="W80" s="43">
        <v>147578.98000000001</v>
      </c>
      <c r="AC80" s="43">
        <v>19541704.180000003</v>
      </c>
    </row>
    <row r="81" spans="1:29" x14ac:dyDescent="0.3">
      <c r="B81" s="207">
        <v>43413</v>
      </c>
      <c r="C81">
        <v>97.382000000000005</v>
      </c>
      <c r="D81" s="118">
        <f t="shared" si="8"/>
        <v>-7.6832151300235685E-3</v>
      </c>
      <c r="E81" s="43">
        <v>9487242.3399999999</v>
      </c>
      <c r="K81">
        <v>98.715000000000003</v>
      </c>
      <c r="L81" s="118">
        <f t="shared" si="12"/>
        <v>-7.6999628069680526E-3</v>
      </c>
      <c r="M81" s="43">
        <v>9712700.4100000001</v>
      </c>
      <c r="N81" s="118"/>
      <c r="T81" s="207">
        <v>43413</v>
      </c>
      <c r="U81">
        <v>97.632000000000005</v>
      </c>
      <c r="V81" s="118">
        <f t="shared" si="10"/>
        <v>-7.6536057325812257E-3</v>
      </c>
      <c r="W81" s="43">
        <v>146448.20000000001</v>
      </c>
      <c r="AC81" s="43">
        <v>19346390.949999999</v>
      </c>
    </row>
    <row r="82" spans="1:29" x14ac:dyDescent="0.3">
      <c r="B82" s="207">
        <v>43416</v>
      </c>
      <c r="C82">
        <v>96.724000000000004</v>
      </c>
      <c r="D82" s="118">
        <f t="shared" si="8"/>
        <v>-6.7568955248403784E-3</v>
      </c>
      <c r="E82" s="43">
        <v>9390439.0899999999</v>
      </c>
      <c r="K82">
        <v>98.06</v>
      </c>
      <c r="L82" s="118">
        <f t="shared" si="12"/>
        <v>-6.635263131236413E-3</v>
      </c>
      <c r="M82" s="43">
        <v>9697953.9000000004</v>
      </c>
      <c r="N82" s="118"/>
      <c r="T82" s="207">
        <v>43416</v>
      </c>
      <c r="U82">
        <v>96.995999999999995</v>
      </c>
      <c r="V82" s="118">
        <f t="shared" si="10"/>
        <v>-6.5142576204524349E-3</v>
      </c>
      <c r="W82" s="204">
        <v>145494.89000000001</v>
      </c>
      <c r="AC82" s="43">
        <v>19233887.880000003</v>
      </c>
    </row>
    <row r="83" spans="1:29" x14ac:dyDescent="0.3">
      <c r="B83" s="207">
        <v>43417</v>
      </c>
      <c r="C83">
        <v>96.426000000000002</v>
      </c>
      <c r="D83" s="118">
        <f t="shared" si="8"/>
        <v>-3.080931309705992E-3</v>
      </c>
      <c r="E83" s="43">
        <v>9371949.1300000008</v>
      </c>
      <c r="K83">
        <v>97.759</v>
      </c>
      <c r="L83" s="118">
        <f t="shared" si="12"/>
        <v>-3.0695492555578019E-3</v>
      </c>
      <c r="M83" s="43">
        <v>9668213.4299999997</v>
      </c>
      <c r="N83" s="118"/>
      <c r="T83" s="207">
        <v>43417</v>
      </c>
      <c r="U83">
        <v>96.703000000000003</v>
      </c>
      <c r="V83" s="118">
        <f t="shared" si="10"/>
        <v>-3.0207431234277049E-3</v>
      </c>
      <c r="W83" s="43">
        <v>145054.67000000001</v>
      </c>
      <c r="AC83" s="43">
        <v>19185217.230000004</v>
      </c>
    </row>
    <row r="84" spans="1:29" x14ac:dyDescent="0.3">
      <c r="B84" s="207">
        <v>43418</v>
      </c>
      <c r="C84">
        <v>96.41</v>
      </c>
      <c r="D84" s="118">
        <f t="shared" si="8"/>
        <v>-1.6593035073531048E-4</v>
      </c>
      <c r="E84" s="43">
        <v>9380280.3000000007</v>
      </c>
      <c r="K84">
        <v>97.742999999999995</v>
      </c>
      <c r="L84" s="118">
        <f t="shared" si="12"/>
        <v>-1.636677952925325E-4</v>
      </c>
      <c r="M84" s="43">
        <v>9666629.1400000006</v>
      </c>
      <c r="N84" s="118"/>
      <c r="T84" s="207">
        <v>43418</v>
      </c>
      <c r="U84">
        <v>96.691000000000003</v>
      </c>
      <c r="V84" s="118">
        <f t="shared" si="10"/>
        <v>-1.240912898256008E-4</v>
      </c>
      <c r="W84" s="43">
        <v>145036.85999999999</v>
      </c>
      <c r="AC84" s="43">
        <v>19191946.300000001</v>
      </c>
    </row>
    <row r="85" spans="1:29" x14ac:dyDescent="0.3">
      <c r="B85" s="207">
        <v>43419</v>
      </c>
      <c r="C85" s="205">
        <v>96.415999999999997</v>
      </c>
      <c r="D85" s="118">
        <f t="shared" si="8"/>
        <v>6.2234208069611441E-5</v>
      </c>
      <c r="E85" s="204">
        <v>9404735.1300000008</v>
      </c>
      <c r="K85" s="205">
        <v>97.751000000000005</v>
      </c>
      <c r="L85" s="118">
        <f t="shared" si="12"/>
        <v>8.1847293412318223E-5</v>
      </c>
      <c r="M85" s="204">
        <v>9667353.5299999993</v>
      </c>
      <c r="N85" s="118"/>
      <c r="T85" s="207">
        <v>43419</v>
      </c>
      <c r="U85" s="205">
        <v>96.701999999999998</v>
      </c>
      <c r="V85" s="118">
        <f t="shared" si="10"/>
        <v>1.1376446618616143E-4</v>
      </c>
      <c r="W85" s="204">
        <v>145053.69</v>
      </c>
      <c r="AC85" s="43">
        <v>19217142.350000001</v>
      </c>
    </row>
    <row r="86" spans="1:29" x14ac:dyDescent="0.3">
      <c r="B86" s="207">
        <v>43420</v>
      </c>
      <c r="C86">
        <v>96.852999999999994</v>
      </c>
      <c r="D86" s="118">
        <f t="shared" si="8"/>
        <v>4.532442748091503E-3</v>
      </c>
      <c r="E86" s="43">
        <v>9468670.7699999996</v>
      </c>
      <c r="K86">
        <v>98.204999999999998</v>
      </c>
      <c r="L86" s="118">
        <f t="shared" si="12"/>
        <v>4.6444537651788576E-3</v>
      </c>
      <c r="M86" s="43">
        <v>9712297.0800000001</v>
      </c>
      <c r="N86" s="118"/>
      <c r="T86" s="207">
        <v>43420</v>
      </c>
      <c r="U86">
        <v>97.156000000000006</v>
      </c>
      <c r="V86" s="118">
        <f t="shared" si="10"/>
        <v>4.6948356807512415E-3</v>
      </c>
      <c r="W86" s="43">
        <v>145734.03</v>
      </c>
      <c r="AC86" s="43">
        <v>19326701.880000003</v>
      </c>
    </row>
    <row r="87" spans="1:29" x14ac:dyDescent="0.3">
      <c r="B87" s="207">
        <v>43423</v>
      </c>
      <c r="C87">
        <v>96.091999999999999</v>
      </c>
      <c r="D87" s="118">
        <f t="shared" si="8"/>
        <v>-7.8572682312370024E-3</v>
      </c>
      <c r="E87" s="43">
        <v>9500670.6400000006</v>
      </c>
      <c r="K87">
        <v>97.448999999999998</v>
      </c>
      <c r="L87" s="118">
        <f t="shared" si="12"/>
        <v>-7.6981823736061994E-3</v>
      </c>
      <c r="M87" s="43">
        <v>9637570.0299999993</v>
      </c>
      <c r="N87" s="118"/>
      <c r="T87" s="207">
        <v>43423</v>
      </c>
      <c r="U87">
        <v>96.42</v>
      </c>
      <c r="V87" s="118">
        <f t="shared" si="10"/>
        <v>-7.5754456749969057E-3</v>
      </c>
      <c r="W87" s="43">
        <v>144630.57</v>
      </c>
      <c r="AC87" s="43">
        <v>19282871.240000002</v>
      </c>
    </row>
    <row r="88" spans="1:29" x14ac:dyDescent="0.3">
      <c r="B88" s="207">
        <v>43424</v>
      </c>
      <c r="C88">
        <v>94.870999999999995</v>
      </c>
      <c r="D88" s="118">
        <f t="shared" si="8"/>
        <v>-1.270657286766852E-2</v>
      </c>
      <c r="E88" s="43">
        <v>9361899.6400000006</v>
      </c>
      <c r="K88">
        <v>96.21</v>
      </c>
      <c r="L88" s="118">
        <f t="shared" si="12"/>
        <v>-1.2714342887048646E-2</v>
      </c>
      <c r="M88" s="43">
        <v>9515035.3000000007</v>
      </c>
      <c r="N88" s="118"/>
      <c r="T88" s="207">
        <v>43424</v>
      </c>
      <c r="U88">
        <v>95.197999999999993</v>
      </c>
      <c r="V88" s="118">
        <f t="shared" si="10"/>
        <v>-1.2673719145405604E-2</v>
      </c>
      <c r="W88" s="43">
        <v>142797.57</v>
      </c>
      <c r="AC88" s="43">
        <v>19019732.510000002</v>
      </c>
    </row>
    <row r="89" spans="1:29" x14ac:dyDescent="0.3">
      <c r="B89" s="207">
        <v>43425</v>
      </c>
      <c r="C89">
        <v>95.266000000000005</v>
      </c>
      <c r="D89" s="118">
        <f t="shared" si="8"/>
        <v>4.1635483972974896E-3</v>
      </c>
      <c r="E89" s="43">
        <v>9410125.2899999991</v>
      </c>
      <c r="K89">
        <v>96.622</v>
      </c>
      <c r="L89" s="118">
        <f t="shared" si="12"/>
        <v>4.2822991373039354E-3</v>
      </c>
      <c r="M89" s="43">
        <v>9555782.6899999995</v>
      </c>
      <c r="N89" s="118"/>
      <c r="T89" s="207">
        <v>43425</v>
      </c>
      <c r="U89">
        <v>95.608999999999995</v>
      </c>
      <c r="V89" s="118">
        <f t="shared" si="10"/>
        <v>4.3173175907056383E-3</v>
      </c>
      <c r="W89" s="43">
        <v>143414.98000000001</v>
      </c>
      <c r="AC89" s="43">
        <v>19109322.959999997</v>
      </c>
    </row>
    <row r="90" spans="1:29" x14ac:dyDescent="0.3">
      <c r="B90" s="207">
        <v>43426</v>
      </c>
      <c r="C90">
        <v>95.328000000000003</v>
      </c>
      <c r="D90" s="118">
        <f t="shared" si="8"/>
        <v>6.5080931287120336E-4</v>
      </c>
      <c r="E90" s="43">
        <v>9413198.0600000005</v>
      </c>
      <c r="K90">
        <v>96.685000000000002</v>
      </c>
      <c r="L90" s="118">
        <f t="shared" si="12"/>
        <v>6.5202541864173291E-4</v>
      </c>
      <c r="M90" s="43">
        <v>9561995.2200000007</v>
      </c>
      <c r="N90" s="118"/>
      <c r="T90" s="207">
        <v>43426</v>
      </c>
      <c r="U90">
        <v>95.676000000000002</v>
      </c>
      <c r="V90" s="118">
        <f t="shared" si="10"/>
        <v>7.0077084793274125E-4</v>
      </c>
      <c r="W90" s="43">
        <v>143514.12</v>
      </c>
      <c r="AC90" s="43">
        <v>19118707.400000002</v>
      </c>
    </row>
    <row r="91" spans="1:29" x14ac:dyDescent="0.3">
      <c r="B91" s="207">
        <v>43427</v>
      </c>
      <c r="C91">
        <v>95.355999999999995</v>
      </c>
      <c r="D91" s="118">
        <f t="shared" si="8"/>
        <v>2.9372272574690328E-4</v>
      </c>
      <c r="E91" s="43">
        <v>9402527.9900000002</v>
      </c>
      <c r="K91">
        <v>96.713999999999999</v>
      </c>
      <c r="L91" s="118">
        <f t="shared" si="12"/>
        <v>2.9994311423697795E-4</v>
      </c>
      <c r="M91" s="43">
        <v>9564817.9100000001</v>
      </c>
      <c r="N91" s="118"/>
      <c r="T91" s="207">
        <v>43427</v>
      </c>
      <c r="U91">
        <v>95.707999999999998</v>
      </c>
      <c r="V91" s="118">
        <f t="shared" si="10"/>
        <v>3.3446214306609434E-4</v>
      </c>
      <c r="W91" s="43">
        <v>143562.38</v>
      </c>
      <c r="AC91" s="43">
        <v>19110908.279999997</v>
      </c>
    </row>
    <row r="92" spans="1:29" x14ac:dyDescent="0.3">
      <c r="A92" t="s">
        <v>145</v>
      </c>
      <c r="B92" s="207">
        <v>43430</v>
      </c>
      <c r="C92">
        <v>95.789000000000001</v>
      </c>
      <c r="D92" s="118">
        <f t="shared" si="8"/>
        <v>4.5408783925500185E-3</v>
      </c>
      <c r="E92" s="43">
        <v>9448387.5600000005</v>
      </c>
      <c r="K92">
        <v>97.153000000000006</v>
      </c>
      <c r="L92" s="118">
        <f t="shared" si="12"/>
        <v>4.5391566887937884E-3</v>
      </c>
      <c r="M92" s="43">
        <v>9608275.9100000001</v>
      </c>
      <c r="N92" s="118"/>
      <c r="S92" t="s">
        <v>146</v>
      </c>
      <c r="T92" s="207">
        <v>43430</v>
      </c>
      <c r="U92">
        <v>96.153999999999996</v>
      </c>
      <c r="V92" s="118">
        <f t="shared" si="10"/>
        <v>4.6600075228819815E-3</v>
      </c>
      <c r="W92" s="43">
        <v>144232.44</v>
      </c>
      <c r="AC92" s="43">
        <v>19200895.91</v>
      </c>
    </row>
    <row r="93" spans="1:29" x14ac:dyDescent="0.3">
      <c r="A93" t="s">
        <v>145</v>
      </c>
      <c r="B93" s="207">
        <v>43431</v>
      </c>
      <c r="C93">
        <v>95.825000000000003</v>
      </c>
      <c r="D93" s="118">
        <f t="shared" si="8"/>
        <v>3.7582603430452721E-4</v>
      </c>
      <c r="E93" s="43">
        <v>9431010.5299999993</v>
      </c>
      <c r="K93">
        <v>97.186999999999998</v>
      </c>
      <c r="L93" s="118">
        <f t="shared" si="12"/>
        <v>3.4996345969751097E-4</v>
      </c>
      <c r="M93" s="43">
        <v>9611573.8300000001</v>
      </c>
      <c r="N93" s="118"/>
      <c r="S93" t="s">
        <v>146</v>
      </c>
      <c r="T93" s="207">
        <v>43431</v>
      </c>
      <c r="U93">
        <v>96.191000000000003</v>
      </c>
      <c r="V93" s="118">
        <f t="shared" si="10"/>
        <v>3.8479938432112171E-4</v>
      </c>
      <c r="W93" s="43">
        <v>144287.88</v>
      </c>
      <c r="AC93" s="43">
        <v>19186872.239999998</v>
      </c>
    </row>
    <row r="94" spans="1:29" x14ac:dyDescent="0.3">
      <c r="A94" t="s">
        <v>145</v>
      </c>
      <c r="B94" s="207">
        <v>43432</v>
      </c>
      <c r="C94">
        <v>96.400999999999996</v>
      </c>
      <c r="D94" s="118">
        <f t="shared" si="8"/>
        <v>6.010957474563039E-3</v>
      </c>
      <c r="E94" s="43">
        <v>9485573.4299999997</v>
      </c>
      <c r="K94">
        <v>97.774000000000001</v>
      </c>
      <c r="L94" s="118">
        <f t="shared" si="12"/>
        <v>6.0399024560897629E-3</v>
      </c>
      <c r="M94" s="43">
        <v>9669664.4199999999</v>
      </c>
      <c r="N94" s="118"/>
      <c r="S94" t="s">
        <v>146</v>
      </c>
      <c r="T94" s="207">
        <v>43432</v>
      </c>
      <c r="U94">
        <v>96.777000000000001</v>
      </c>
      <c r="V94" s="118">
        <f t="shared" si="10"/>
        <v>6.0920460334126236E-3</v>
      </c>
      <c r="W94" s="43">
        <v>145165.9</v>
      </c>
      <c r="AC94" s="43">
        <v>19300403.75</v>
      </c>
    </row>
    <row r="95" spans="1:29" x14ac:dyDescent="0.3">
      <c r="A95" t="s">
        <v>145</v>
      </c>
      <c r="B95" s="207">
        <v>43433</v>
      </c>
      <c r="C95">
        <v>96.792000000000002</v>
      </c>
      <c r="D95" s="118">
        <f t="shared" si="8"/>
        <v>4.0559745230859257E-3</v>
      </c>
      <c r="E95" s="43">
        <v>9570277.7200000007</v>
      </c>
      <c r="K95">
        <v>98.180999999999997</v>
      </c>
      <c r="L95" s="118">
        <f t="shared" si="12"/>
        <v>4.1626608300775469E-3</v>
      </c>
      <c r="M95" s="43">
        <v>9709970.6300000008</v>
      </c>
      <c r="N95" s="118"/>
      <c r="S95" t="s">
        <v>146</v>
      </c>
      <c r="T95" s="207">
        <v>43433</v>
      </c>
      <c r="U95">
        <v>97.183999999999997</v>
      </c>
      <c r="V95" s="118">
        <f t="shared" si="10"/>
        <v>4.2055447058702011E-3</v>
      </c>
      <c r="W95" s="43">
        <v>145776.99</v>
      </c>
      <c r="AC95" s="43">
        <v>19426025.34</v>
      </c>
    </row>
    <row r="96" spans="1:29" x14ac:dyDescent="0.3">
      <c r="A96" t="s">
        <v>145</v>
      </c>
      <c r="B96" s="207">
        <v>43434</v>
      </c>
      <c r="C96">
        <v>96.971999999999994</v>
      </c>
      <c r="D96" s="118">
        <f t="shared" si="8"/>
        <v>1.8596578229606031E-3</v>
      </c>
      <c r="E96" s="43">
        <v>9581743.4499999993</v>
      </c>
      <c r="K96">
        <v>98.367999999999995</v>
      </c>
      <c r="L96" s="118">
        <f t="shared" si="12"/>
        <v>1.9046455016753505E-3</v>
      </c>
      <c r="M96" s="43">
        <v>9728448.2599999998</v>
      </c>
      <c r="N96" s="118"/>
      <c r="S96" t="s">
        <v>146</v>
      </c>
      <c r="T96" s="207">
        <v>43434</v>
      </c>
      <c r="U96">
        <v>97.373000000000005</v>
      </c>
      <c r="V96" s="118">
        <f t="shared" si="10"/>
        <v>1.9447645702996841E-3</v>
      </c>
      <c r="W96" s="43">
        <v>146060.4</v>
      </c>
      <c r="AC96" s="43">
        <v>19456252.109999999</v>
      </c>
    </row>
    <row r="97" spans="1:29" x14ac:dyDescent="0.3">
      <c r="A97" t="s">
        <v>145</v>
      </c>
      <c r="B97" s="207">
        <v>43437</v>
      </c>
      <c r="C97">
        <v>97.822999999999993</v>
      </c>
      <c r="D97" s="118">
        <f t="shared" si="8"/>
        <v>8.7757290764345353E-3</v>
      </c>
      <c r="E97" s="43">
        <v>9701527.6799999997</v>
      </c>
      <c r="K97">
        <v>99.242999999999995</v>
      </c>
      <c r="L97" s="118">
        <f t="shared" si="12"/>
        <v>8.895169160702654E-3</v>
      </c>
      <c r="M97" s="43">
        <v>9814936.3699999992</v>
      </c>
      <c r="N97" s="118"/>
      <c r="S97" t="s">
        <v>146</v>
      </c>
      <c r="T97" s="207">
        <v>43437</v>
      </c>
      <c r="U97">
        <v>98.251000000000005</v>
      </c>
      <c r="V97" s="118">
        <f t="shared" si="10"/>
        <v>9.0168732605546698E-3</v>
      </c>
      <c r="W97" s="43">
        <v>147377.07999999999</v>
      </c>
      <c r="AC97" s="43">
        <v>19663841.129999995</v>
      </c>
    </row>
    <row r="98" spans="1:29" x14ac:dyDescent="0.3">
      <c r="A98" t="s">
        <v>145</v>
      </c>
      <c r="B98" s="207">
        <v>43438</v>
      </c>
      <c r="C98">
        <v>97.563999999999993</v>
      </c>
      <c r="D98" s="118">
        <f t="shared" si="8"/>
        <v>-2.6476391032783653E-3</v>
      </c>
      <c r="E98" s="43">
        <v>9691826.1799999997</v>
      </c>
      <c r="K98">
        <v>99.007000000000005</v>
      </c>
      <c r="L98" s="118">
        <f t="shared" si="12"/>
        <v>-2.3780014711364261E-3</v>
      </c>
      <c r="M98" s="43">
        <v>9791639.8399999999</v>
      </c>
      <c r="N98" s="118"/>
      <c r="S98" t="s">
        <v>146</v>
      </c>
      <c r="T98" s="207">
        <v>43438</v>
      </c>
      <c r="U98">
        <v>98.022000000000006</v>
      </c>
      <c r="V98" s="118">
        <f t="shared" si="10"/>
        <v>-2.3307650812713909E-3</v>
      </c>
      <c r="W98" s="43">
        <v>147033.31</v>
      </c>
      <c r="AC98" s="43">
        <v>19630499.329999998</v>
      </c>
    </row>
    <row r="99" spans="1:29" x14ac:dyDescent="0.3">
      <c r="A99" t="s">
        <v>145</v>
      </c>
      <c r="B99" s="207">
        <v>43439</v>
      </c>
      <c r="C99">
        <v>96.822000000000003</v>
      </c>
      <c r="D99" s="118">
        <f t="shared" si="8"/>
        <v>-7.6052642368085177E-3</v>
      </c>
      <c r="E99" s="43">
        <v>9830439.1300000008</v>
      </c>
      <c r="K99">
        <v>98.224000000000004</v>
      </c>
      <c r="L99" s="118">
        <f t="shared" si="12"/>
        <v>-7.9085317199794058E-3</v>
      </c>
      <c r="M99" s="43">
        <v>9714155.8499999996</v>
      </c>
      <c r="N99" s="118"/>
      <c r="S99" t="s">
        <v>146</v>
      </c>
      <c r="T99" s="207">
        <v>43439</v>
      </c>
      <c r="U99">
        <v>97.25</v>
      </c>
      <c r="V99" s="118">
        <f t="shared" si="10"/>
        <v>-7.8757829874926966E-3</v>
      </c>
      <c r="W99" s="43">
        <v>145875.79</v>
      </c>
      <c r="AC99" s="43">
        <v>19690470.77</v>
      </c>
    </row>
    <row r="100" spans="1:29" x14ac:dyDescent="0.3">
      <c r="A100" t="s">
        <v>145</v>
      </c>
      <c r="B100" s="207">
        <v>43440</v>
      </c>
      <c r="C100">
        <v>96.147000000000006</v>
      </c>
      <c r="D100" s="118">
        <f t="shared" si="8"/>
        <v>-6.9715560513106123E-3</v>
      </c>
      <c r="E100" s="43">
        <v>9743794.1400000006</v>
      </c>
      <c r="K100">
        <v>97.539000000000001</v>
      </c>
      <c r="L100" s="118">
        <f t="shared" si="12"/>
        <v>-6.9738556768204063E-3</v>
      </c>
      <c r="M100" s="43">
        <v>9646415.2200000007</v>
      </c>
      <c r="N100" s="118"/>
      <c r="S100" t="s">
        <v>146</v>
      </c>
      <c r="T100" s="207">
        <v>43440</v>
      </c>
      <c r="U100">
        <v>96.575999999999993</v>
      </c>
      <c r="V100" s="118">
        <f t="shared" si="10"/>
        <v>-6.9305912596401287E-3</v>
      </c>
      <c r="W100" s="43">
        <v>144864.49</v>
      </c>
      <c r="AC100" s="43">
        <v>19535073.849999998</v>
      </c>
    </row>
    <row r="101" spans="1:29" x14ac:dyDescent="0.3">
      <c r="A101" t="s">
        <v>145</v>
      </c>
      <c r="B101" s="207">
        <v>43441</v>
      </c>
      <c r="C101">
        <v>96.265000000000001</v>
      </c>
      <c r="D101" s="118">
        <f t="shared" si="8"/>
        <v>1.2272873828615971E-3</v>
      </c>
      <c r="E101" s="43">
        <v>9754623.8800000008</v>
      </c>
      <c r="K101">
        <v>97.662999999999997</v>
      </c>
      <c r="L101" s="118">
        <f t="shared" si="12"/>
        <v>1.2712863572519328E-3</v>
      </c>
      <c r="M101" s="43">
        <v>9658704.5600000005</v>
      </c>
      <c r="N101" s="118"/>
      <c r="S101" t="s">
        <v>146</v>
      </c>
      <c r="T101" s="207">
        <v>43441</v>
      </c>
      <c r="U101">
        <v>96.703000000000003</v>
      </c>
      <c r="V101" s="118">
        <f t="shared" si="10"/>
        <v>1.3150265076209422E-3</v>
      </c>
      <c r="W101" s="43">
        <v>145055.01</v>
      </c>
      <c r="AC101" s="43">
        <v>19558383.450000003</v>
      </c>
    </row>
    <row r="102" spans="1:29" x14ac:dyDescent="0.3">
      <c r="A102" t="s">
        <v>145</v>
      </c>
      <c r="B102" s="207">
        <v>43444</v>
      </c>
      <c r="C102">
        <v>95.563000000000002</v>
      </c>
      <c r="D102" s="118">
        <f t="shared" si="8"/>
        <v>-7.2923700202565112E-3</v>
      </c>
      <c r="E102" s="43">
        <v>9656032.9700000007</v>
      </c>
      <c r="K102">
        <v>96.957999999999998</v>
      </c>
      <c r="L102" s="118">
        <f t="shared" si="12"/>
        <v>-7.2187010433838461E-3</v>
      </c>
      <c r="M102" s="43">
        <v>9588933.9600000009</v>
      </c>
      <c r="N102" s="118"/>
      <c r="S102" t="s">
        <v>146</v>
      </c>
      <c r="T102" s="207">
        <v>43444</v>
      </c>
      <c r="U102">
        <v>96.016000000000005</v>
      </c>
      <c r="V102" s="118">
        <f t="shared" si="10"/>
        <v>-7.1042263425126206E-3</v>
      </c>
      <c r="W102" s="43">
        <v>144024.95000000001</v>
      </c>
      <c r="AC102" s="43">
        <v>19388991.879999999</v>
      </c>
    </row>
    <row r="103" spans="1:29" x14ac:dyDescent="0.3">
      <c r="A103" t="s">
        <v>145</v>
      </c>
      <c r="B103" s="207">
        <v>43445</v>
      </c>
      <c r="C103">
        <v>95.787000000000006</v>
      </c>
      <c r="D103" s="118">
        <f t="shared" si="8"/>
        <v>2.3440034322907977E-3</v>
      </c>
      <c r="E103" s="43">
        <v>9675871.7599999998</v>
      </c>
      <c r="K103">
        <v>97.19</v>
      </c>
      <c r="L103" s="118">
        <f t="shared" si="12"/>
        <v>2.392788630128484E-3</v>
      </c>
      <c r="M103" s="43">
        <v>9611934.8000000007</v>
      </c>
      <c r="N103" s="118"/>
      <c r="S103" t="s">
        <v>146</v>
      </c>
      <c r="T103" s="207">
        <v>43445</v>
      </c>
      <c r="U103">
        <v>96.25</v>
      </c>
      <c r="V103" s="118">
        <f t="shared" si="10"/>
        <v>2.437093817696967E-3</v>
      </c>
      <c r="W103" s="43">
        <v>144376.35</v>
      </c>
      <c r="AC103" s="43">
        <v>19432182.910000004</v>
      </c>
    </row>
    <row r="104" spans="1:29" x14ac:dyDescent="0.3">
      <c r="A104" t="s">
        <v>145</v>
      </c>
      <c r="B104" s="207">
        <v>43446</v>
      </c>
      <c r="C104">
        <v>96.174999999999997</v>
      </c>
      <c r="D104" s="118">
        <f t="shared" si="8"/>
        <v>4.0506540553519876E-3</v>
      </c>
      <c r="E104" s="43">
        <v>9731680.9299999997</v>
      </c>
      <c r="K104">
        <v>97.59</v>
      </c>
      <c r="L104" s="118">
        <f t="shared" si="12"/>
        <v>4.1156497582055529E-3</v>
      </c>
      <c r="M104" s="43">
        <v>9701732.1400000006</v>
      </c>
      <c r="N104" s="118"/>
      <c r="S104" t="s">
        <v>146</v>
      </c>
      <c r="T104" s="207">
        <v>43446</v>
      </c>
      <c r="U104">
        <v>96.650999999999996</v>
      </c>
      <c r="V104" s="118">
        <f t="shared" si="10"/>
        <v>4.1662337662338178E-3</v>
      </c>
      <c r="W104" s="43">
        <v>144976.99</v>
      </c>
      <c r="AC104" s="43">
        <v>19578390.059999999</v>
      </c>
    </row>
    <row r="105" spans="1:29" x14ac:dyDescent="0.3">
      <c r="A105" t="s">
        <v>145</v>
      </c>
      <c r="B105" s="207">
        <v>43447</v>
      </c>
      <c r="C105">
        <v>96.266999999999996</v>
      </c>
      <c r="D105" s="118">
        <f t="shared" si="8"/>
        <v>9.5658955029898074E-4</v>
      </c>
      <c r="E105" s="43">
        <v>9744234.3300000001</v>
      </c>
      <c r="K105">
        <v>97.683000000000007</v>
      </c>
      <c r="L105" s="118">
        <f t="shared" si="12"/>
        <v>9.5296649246856546E-4</v>
      </c>
      <c r="M105" s="43">
        <v>9710902.0600000005</v>
      </c>
      <c r="N105" s="118"/>
      <c r="S105" t="s">
        <v>146</v>
      </c>
      <c r="T105" s="207">
        <v>43447</v>
      </c>
      <c r="U105">
        <v>96.745999999999995</v>
      </c>
      <c r="V105" s="118">
        <f t="shared" si="10"/>
        <v>9.8291792118021526E-4</v>
      </c>
      <c r="W105" s="43">
        <v>145119.98000000001</v>
      </c>
      <c r="AC105" s="43">
        <v>19600256.370000001</v>
      </c>
    </row>
    <row r="106" spans="1:29" x14ac:dyDescent="0.3">
      <c r="A106" t="s">
        <v>145</v>
      </c>
      <c r="B106" s="207">
        <v>43448</v>
      </c>
      <c r="C106">
        <v>95.772999999999996</v>
      </c>
      <c r="D106" s="118">
        <f t="shared" si="8"/>
        <v>-5.1315611788047555E-3</v>
      </c>
      <c r="E106" s="43">
        <v>9655114.0899999999</v>
      </c>
      <c r="K106">
        <v>97.185000000000002</v>
      </c>
      <c r="L106" s="118">
        <f t="shared" si="12"/>
        <v>-5.0981235220048937E-3</v>
      </c>
      <c r="M106" s="206">
        <v>9661424.0800000001</v>
      </c>
      <c r="N106" s="118"/>
      <c r="S106" t="s">
        <v>146</v>
      </c>
      <c r="T106" s="207">
        <v>43448</v>
      </c>
      <c r="U106">
        <v>96.257000000000005</v>
      </c>
      <c r="V106" s="118">
        <f t="shared" si="10"/>
        <v>-5.0544725363321774E-3</v>
      </c>
      <c r="W106" s="43">
        <v>144386.51</v>
      </c>
      <c r="AC106" s="43">
        <v>19460924.680000003</v>
      </c>
    </row>
    <row r="107" spans="1:29" x14ac:dyDescent="0.3">
      <c r="A107" t="s">
        <v>145</v>
      </c>
      <c r="B107" s="207">
        <v>43451</v>
      </c>
      <c r="C107">
        <v>94.881</v>
      </c>
      <c r="D107" s="118">
        <f t="shared" si="8"/>
        <v>-9.3136896620132914E-3</v>
      </c>
      <c r="E107" s="43">
        <v>9586813.9199999999</v>
      </c>
      <c r="K107">
        <v>96.283000000000001</v>
      </c>
      <c r="L107" s="118">
        <f t="shared" si="12"/>
        <v>-9.2812676853424314E-3</v>
      </c>
      <c r="M107" s="43">
        <v>9571703.1500000004</v>
      </c>
      <c r="N107" s="118"/>
      <c r="S107" t="s">
        <v>146</v>
      </c>
      <c r="T107" s="207">
        <v>43451</v>
      </c>
      <c r="U107">
        <v>95.375</v>
      </c>
      <c r="V107" s="118">
        <f t="shared" si="10"/>
        <v>-9.1629699658206665E-3</v>
      </c>
      <c r="W107" s="43">
        <v>143063.29999999999</v>
      </c>
      <c r="AC107" s="43">
        <v>19301580.370000001</v>
      </c>
    </row>
    <row r="108" spans="1:29" x14ac:dyDescent="0.3">
      <c r="A108" t="s">
        <v>145</v>
      </c>
      <c r="B108" s="207">
        <v>43452</v>
      </c>
      <c r="C108">
        <v>94.772000000000006</v>
      </c>
      <c r="D108" s="118">
        <f t="shared" si="8"/>
        <v>-1.1488074535470627E-3</v>
      </c>
      <c r="E108" s="43">
        <v>9589742.5700000003</v>
      </c>
      <c r="K108">
        <v>96.176000000000002</v>
      </c>
      <c r="L108" s="118">
        <f t="shared" si="12"/>
        <v>-1.1113072920453382E-3</v>
      </c>
      <c r="M108" s="43">
        <v>9561083.2400000002</v>
      </c>
      <c r="N108" s="118"/>
      <c r="S108" t="s">
        <v>146</v>
      </c>
      <c r="T108" s="207">
        <v>43452</v>
      </c>
      <c r="U108">
        <v>95.272999999999996</v>
      </c>
      <c r="V108" s="118">
        <f t="shared" si="10"/>
        <v>-1.0694626474443414E-3</v>
      </c>
      <c r="W108" s="43">
        <v>142910.44</v>
      </c>
      <c r="AC108" s="43">
        <v>19293736.250000004</v>
      </c>
    </row>
    <row r="109" spans="1:29" x14ac:dyDescent="0.3">
      <c r="A109" t="s">
        <v>145</v>
      </c>
      <c r="B109" s="207">
        <v>43453</v>
      </c>
      <c r="C109">
        <v>94.775999999999996</v>
      </c>
      <c r="D109" s="160">
        <f t="shared" si="8"/>
        <v>4.220655889919378E-5</v>
      </c>
      <c r="E109" s="43">
        <v>9710764.8200000003</v>
      </c>
      <c r="K109">
        <v>96.185000000000002</v>
      </c>
      <c r="L109" s="118">
        <f t="shared" si="12"/>
        <v>9.357843952750855E-5</v>
      </c>
      <c r="M109" s="206">
        <v>9561968.1699999999</v>
      </c>
      <c r="N109" s="118"/>
      <c r="S109" t="s">
        <v>146</v>
      </c>
      <c r="T109" s="207">
        <v>43453</v>
      </c>
      <c r="U109">
        <v>95.286000000000001</v>
      </c>
      <c r="V109" s="118">
        <f t="shared" si="10"/>
        <v>1.3644999107831346E-4</v>
      </c>
      <c r="W109" s="43">
        <v>142929.54</v>
      </c>
      <c r="AC109" s="43">
        <v>19415662.530000001</v>
      </c>
    </row>
    <row r="110" spans="1:29" x14ac:dyDescent="0.3">
      <c r="A110" t="s">
        <v>145</v>
      </c>
      <c r="B110" s="207">
        <v>43454</v>
      </c>
      <c r="C110">
        <v>93.787000000000006</v>
      </c>
      <c r="D110" s="118">
        <f>C110/C109-1</f>
        <v>-1.0435131256858132E-2</v>
      </c>
      <c r="E110" s="43">
        <v>9600292.4299999997</v>
      </c>
      <c r="K110">
        <v>95.18</v>
      </c>
      <c r="L110" s="118">
        <f t="shared" si="12"/>
        <v>-1.0448614648853716E-2</v>
      </c>
      <c r="M110" s="43">
        <v>9462130.9800000004</v>
      </c>
      <c r="N110" s="118"/>
      <c r="S110" t="s">
        <v>146</v>
      </c>
      <c r="T110" s="207">
        <v>43454</v>
      </c>
      <c r="U110">
        <v>94.295000000000002</v>
      </c>
      <c r="V110" s="118">
        <f t="shared" si="10"/>
        <v>-1.0400268664861545E-2</v>
      </c>
      <c r="W110" s="43">
        <v>141443.01999999999</v>
      </c>
      <c r="AC110" s="43">
        <v>19203866.43</v>
      </c>
    </row>
    <row r="111" spans="1:29" x14ac:dyDescent="0.3">
      <c r="A111" t="s">
        <v>145</v>
      </c>
      <c r="B111" s="207">
        <v>43455</v>
      </c>
      <c r="C111">
        <v>92.921999999999997</v>
      </c>
      <c r="D111" s="118">
        <f>C111/C110-1</f>
        <v>-9.2230266454840226E-3</v>
      </c>
      <c r="E111" s="43">
        <v>9498941.0500000007</v>
      </c>
      <c r="K111">
        <v>94.31</v>
      </c>
      <c r="L111" s="118">
        <f t="shared" si="12"/>
        <v>-9.1405757512083019E-3</v>
      </c>
      <c r="M111" s="43">
        <v>9375591.3800000008</v>
      </c>
      <c r="N111" s="118"/>
      <c r="S111" t="s">
        <v>146</v>
      </c>
      <c r="T111" s="207">
        <v>43455</v>
      </c>
      <c r="U111">
        <v>93.436000000000007</v>
      </c>
      <c r="V111" s="118">
        <f t="shared" si="10"/>
        <v>-9.109708892306001E-3</v>
      </c>
      <c r="W111" s="43">
        <v>140155.16</v>
      </c>
      <c r="AC111" s="43">
        <v>19014687.59</v>
      </c>
    </row>
    <row r="112" spans="1:29" x14ac:dyDescent="0.3">
      <c r="A112" t="s">
        <v>145</v>
      </c>
      <c r="B112" s="207">
        <v>43458</v>
      </c>
      <c r="C112">
        <v>92.725999999999999</v>
      </c>
      <c r="D112" s="118">
        <f>C112/C111-1</f>
        <v>-2.1092959686618284E-3</v>
      </c>
      <c r="E112" s="43">
        <v>9473514.25</v>
      </c>
      <c r="K112">
        <v>94.103999999999999</v>
      </c>
      <c r="L112" s="118">
        <f t="shared" si="12"/>
        <v>-2.1842858657619146E-3</v>
      </c>
      <c r="M112" s="43">
        <v>9355175.4600000009</v>
      </c>
      <c r="N112" s="118"/>
      <c r="S112" t="s">
        <v>146</v>
      </c>
      <c r="T112" s="207">
        <v>43458</v>
      </c>
      <c r="U112">
        <v>93.244</v>
      </c>
      <c r="V112" s="118">
        <f t="shared" si="10"/>
        <v>-2.0548824864078385E-3</v>
      </c>
      <c r="W112" s="43">
        <v>139867.21</v>
      </c>
      <c r="AC112" s="43">
        <v>18968556.920000002</v>
      </c>
    </row>
    <row r="113" spans="1:29" x14ac:dyDescent="0.3">
      <c r="A113" t="s">
        <v>145</v>
      </c>
      <c r="B113" s="207">
        <v>43460</v>
      </c>
      <c r="C113">
        <v>92.906000000000006</v>
      </c>
      <c r="D113" s="118">
        <f t="shared" ref="D113:D197" si="13">C113/C112-1</f>
        <v>1.9412031145527031E-3</v>
      </c>
      <c r="E113" s="43">
        <v>9502969.6600000001</v>
      </c>
      <c r="K113">
        <v>94.289000000000001</v>
      </c>
      <c r="L113" s="118">
        <f t="shared" si="12"/>
        <v>1.9659100569582311E-3</v>
      </c>
      <c r="M113" s="43">
        <v>9373560.3200000003</v>
      </c>
      <c r="N113" s="118"/>
      <c r="S113" t="s">
        <v>146</v>
      </c>
      <c r="T113" s="207">
        <f>B113</f>
        <v>43460</v>
      </c>
      <c r="U113">
        <v>93.435000000000002</v>
      </c>
      <c r="V113" s="118">
        <f t="shared" si="10"/>
        <v>2.0483891724936143E-3</v>
      </c>
      <c r="W113" s="43">
        <v>140153.60000000001</v>
      </c>
      <c r="AC113" s="43">
        <v>19016683.580000002</v>
      </c>
    </row>
    <row r="114" spans="1:29" x14ac:dyDescent="0.3">
      <c r="A114" t="s">
        <v>145</v>
      </c>
      <c r="B114" s="207">
        <v>43461</v>
      </c>
      <c r="C114">
        <v>92.942999999999998</v>
      </c>
      <c r="D114" s="118">
        <f t="shared" si="13"/>
        <v>3.9825199664167421E-4</v>
      </c>
      <c r="E114" s="43">
        <v>9505782.1799999997</v>
      </c>
      <c r="K114">
        <v>94.33</v>
      </c>
      <c r="L114" s="118">
        <f t="shared" si="12"/>
        <v>4.3483333156557613E-4</v>
      </c>
      <c r="M114" s="43">
        <v>9377631.4299999997</v>
      </c>
      <c r="N114" s="118"/>
      <c r="S114" t="s">
        <v>146</v>
      </c>
      <c r="T114" s="207">
        <f t="shared" ref="T114:T126" si="14">B114</f>
        <v>43461</v>
      </c>
      <c r="U114">
        <v>93.48</v>
      </c>
      <c r="V114" s="118">
        <f t="shared" si="10"/>
        <v>4.8161823727732589E-4</v>
      </c>
      <c r="W114" s="43">
        <v>140220.23000000001</v>
      </c>
      <c r="AC114" s="43">
        <v>19023633.84</v>
      </c>
    </row>
    <row r="115" spans="1:29" x14ac:dyDescent="0.3">
      <c r="A115" t="s">
        <v>145</v>
      </c>
      <c r="B115" s="207">
        <v>43462</v>
      </c>
      <c r="C115">
        <v>93.519000000000005</v>
      </c>
      <c r="D115" s="118">
        <f t="shared" si="13"/>
        <v>6.1973467609179878E-3</v>
      </c>
      <c r="E115" s="43">
        <v>9600359.1999999993</v>
      </c>
      <c r="K115">
        <v>94.897999999999996</v>
      </c>
      <c r="L115" s="118">
        <f t="shared" si="12"/>
        <v>6.0214141842467317E-3</v>
      </c>
      <c r="M115" s="43">
        <v>9434019.3599999994</v>
      </c>
      <c r="N115" s="118"/>
      <c r="S115" t="s">
        <v>146</v>
      </c>
      <c r="T115" s="207">
        <f t="shared" si="14"/>
        <v>43462</v>
      </c>
      <c r="U115">
        <v>94.046000000000006</v>
      </c>
      <c r="V115" s="118">
        <f t="shared" si="10"/>
        <v>6.0547710740266325E-3</v>
      </c>
      <c r="W115" s="43">
        <v>141069.18</v>
      </c>
      <c r="AC115" s="43">
        <v>19175447.739999998</v>
      </c>
    </row>
    <row r="116" spans="1:29" x14ac:dyDescent="0.3">
      <c r="A116" t="s">
        <v>145</v>
      </c>
      <c r="B116" s="207">
        <v>43465</v>
      </c>
      <c r="C116">
        <v>93.816000000000003</v>
      </c>
      <c r="D116" s="118">
        <f t="shared" si="13"/>
        <v>3.175825233374896E-3</v>
      </c>
      <c r="E116" s="43">
        <v>9651689.8699999992</v>
      </c>
      <c r="K116">
        <v>95.198999999999998</v>
      </c>
      <c r="L116" s="118">
        <f t="shared" si="12"/>
        <v>3.1718265927627165E-3</v>
      </c>
      <c r="M116" s="43">
        <v>9464018.7899999991</v>
      </c>
      <c r="N116" s="118"/>
      <c r="S116" t="s">
        <v>146</v>
      </c>
      <c r="T116" s="207">
        <f t="shared" si="14"/>
        <v>43465</v>
      </c>
      <c r="U116">
        <v>94.355999999999995</v>
      </c>
      <c r="V116" s="118">
        <f t="shared" si="10"/>
        <v>3.2962592773748689E-3</v>
      </c>
      <c r="W116" s="43">
        <v>141535.22</v>
      </c>
      <c r="AC116" s="43">
        <v>19257243.879999995</v>
      </c>
    </row>
    <row r="117" spans="1:29" x14ac:dyDescent="0.3">
      <c r="A117" t="s">
        <v>145</v>
      </c>
      <c r="B117" s="207">
        <v>43467</v>
      </c>
      <c r="C117">
        <v>93.465999999999994</v>
      </c>
      <c r="D117" s="118">
        <f t="shared" si="13"/>
        <v>-3.7307069156647943E-3</v>
      </c>
      <c r="E117" s="43">
        <v>9600213.0199999996</v>
      </c>
      <c r="K117">
        <v>94.85</v>
      </c>
      <c r="L117" s="118">
        <f t="shared" si="12"/>
        <v>-3.6660048950094559E-3</v>
      </c>
      <c r="M117" s="43">
        <v>9429254.8699999992</v>
      </c>
      <c r="N117" s="118"/>
      <c r="S117" t="s">
        <v>146</v>
      </c>
      <c r="T117" s="207">
        <f t="shared" si="14"/>
        <v>43467</v>
      </c>
      <c r="U117">
        <v>94.016999999999996</v>
      </c>
      <c r="V117" s="118">
        <f t="shared" si="10"/>
        <v>-3.5927762940353158E-3</v>
      </c>
      <c r="W117" s="43">
        <v>141026.91</v>
      </c>
      <c r="AC117" s="43">
        <v>19170494.800000001</v>
      </c>
    </row>
    <row r="118" spans="1:29" x14ac:dyDescent="0.3">
      <c r="A118" t="s">
        <v>145</v>
      </c>
      <c r="B118" s="207">
        <v>43468</v>
      </c>
      <c r="C118">
        <v>93.228999999999999</v>
      </c>
      <c r="D118" s="118">
        <f t="shared" si="13"/>
        <v>-2.5356814242611936E-3</v>
      </c>
      <c r="E118" s="43">
        <v>9582883.9700000007</v>
      </c>
      <c r="K118">
        <v>94.608999999999995</v>
      </c>
      <c r="L118" s="118">
        <f t="shared" si="12"/>
        <v>-2.5408539799683938E-3</v>
      </c>
      <c r="M118" s="43">
        <v>9405362.0600000005</v>
      </c>
      <c r="N118" s="118"/>
      <c r="S118" t="s">
        <v>146</v>
      </c>
      <c r="T118" s="207">
        <f t="shared" si="14"/>
        <v>43468</v>
      </c>
      <c r="U118">
        <v>93.783000000000001</v>
      </c>
      <c r="V118" s="118">
        <f t="shared" si="10"/>
        <v>-2.488911579820563E-3</v>
      </c>
      <c r="W118" s="43">
        <v>140675.34</v>
      </c>
      <c r="AC118" s="43">
        <v>19128921.370000001</v>
      </c>
    </row>
    <row r="119" spans="1:29" x14ac:dyDescent="0.3">
      <c r="A119" t="s">
        <v>145</v>
      </c>
      <c r="B119" s="207">
        <v>43469</v>
      </c>
      <c r="C119">
        <v>93.81</v>
      </c>
      <c r="D119" s="118">
        <f t="shared" si="13"/>
        <v>6.231966448208226E-3</v>
      </c>
      <c r="E119" s="43">
        <v>9669846.7200000007</v>
      </c>
      <c r="K119">
        <v>95.194999999999993</v>
      </c>
      <c r="L119" s="118">
        <f t="shared" si="12"/>
        <v>6.1939138982549657E-3</v>
      </c>
      <c r="M119" s="43">
        <v>9463576.5800000001</v>
      </c>
      <c r="N119" s="118"/>
      <c r="S119" t="s">
        <v>146</v>
      </c>
      <c r="T119" s="207">
        <f t="shared" si="14"/>
        <v>43469</v>
      </c>
      <c r="U119">
        <v>94.367000000000004</v>
      </c>
      <c r="V119" s="118">
        <f t="shared" si="10"/>
        <v>6.2271413795678132E-3</v>
      </c>
      <c r="W119" s="43">
        <v>141551.87</v>
      </c>
      <c r="AC119" s="43">
        <v>19274975.170000002</v>
      </c>
    </row>
    <row r="120" spans="1:29" x14ac:dyDescent="0.3">
      <c r="A120" t="s">
        <v>145</v>
      </c>
      <c r="B120" s="207">
        <v>43472</v>
      </c>
      <c r="C120">
        <v>94.688000000000002</v>
      </c>
      <c r="D120" s="118">
        <f t="shared" si="13"/>
        <v>9.359343353587013E-3</v>
      </c>
      <c r="E120" s="43">
        <v>9792410.4199999999</v>
      </c>
      <c r="K120">
        <v>96.08</v>
      </c>
      <c r="L120" s="118">
        <f t="shared" si="12"/>
        <v>9.2967067598088704E-3</v>
      </c>
      <c r="M120" s="43">
        <v>9551560.7400000002</v>
      </c>
      <c r="N120" s="118"/>
      <c r="S120" t="s">
        <v>146</v>
      </c>
      <c r="T120" s="207">
        <f t="shared" si="14"/>
        <v>43472</v>
      </c>
      <c r="U120">
        <v>95.257000000000005</v>
      </c>
      <c r="V120" s="118">
        <f t="shared" si="10"/>
        <v>9.4312630474635561E-3</v>
      </c>
      <c r="W120" s="43">
        <v>142885.51</v>
      </c>
      <c r="AC120" s="43">
        <v>19486856.670000002</v>
      </c>
    </row>
    <row r="121" spans="1:29" x14ac:dyDescent="0.3">
      <c r="A121" t="s">
        <v>145</v>
      </c>
      <c r="B121" s="207">
        <v>43473</v>
      </c>
      <c r="C121">
        <v>95.072000000000003</v>
      </c>
      <c r="D121" s="118">
        <f t="shared" si="13"/>
        <v>4.055424129773666E-3</v>
      </c>
      <c r="E121" s="43">
        <v>9815839.9900000002</v>
      </c>
      <c r="K121">
        <v>96.478999999999999</v>
      </c>
      <c r="L121" s="118">
        <f t="shared" si="12"/>
        <v>4.1527893422148576E-3</v>
      </c>
      <c r="M121" s="43">
        <v>9591220.4700000007</v>
      </c>
      <c r="N121" s="118"/>
      <c r="S121" t="s">
        <v>146</v>
      </c>
      <c r="T121" s="207">
        <f t="shared" si="14"/>
        <v>43473</v>
      </c>
      <c r="U121">
        <v>95.656000000000006</v>
      </c>
      <c r="V121" s="118">
        <f t="shared" si="10"/>
        <v>4.1886685492928954E-3</v>
      </c>
      <c r="W121" s="43">
        <v>143484.69</v>
      </c>
      <c r="AC121" s="43">
        <v>19550545.150000002</v>
      </c>
    </row>
    <row r="122" spans="1:29" x14ac:dyDescent="0.3">
      <c r="A122" t="s">
        <v>145</v>
      </c>
      <c r="B122" s="207">
        <v>43474</v>
      </c>
      <c r="C122">
        <v>95.613</v>
      </c>
      <c r="D122" s="118">
        <f t="shared" si="13"/>
        <v>5.6904240996298316E-3</v>
      </c>
      <c r="E122" s="43">
        <v>9898299.9199999999</v>
      </c>
      <c r="K122">
        <v>97.024000000000001</v>
      </c>
      <c r="L122" s="118">
        <f t="shared" si="12"/>
        <v>5.6488976875797015E-3</v>
      </c>
      <c r="M122" s="43">
        <v>9645460.6799999997</v>
      </c>
      <c r="N122" s="118"/>
      <c r="S122" t="s">
        <v>146</v>
      </c>
      <c r="T122" s="207">
        <f t="shared" si="14"/>
        <v>43474</v>
      </c>
      <c r="U122">
        <v>96.200999999999993</v>
      </c>
      <c r="V122" s="118">
        <f t="shared" si="10"/>
        <v>5.6974993727523238E-3</v>
      </c>
      <c r="W122" s="43">
        <v>144302.04999999999</v>
      </c>
      <c r="AC122" s="43">
        <v>19688062.650000002</v>
      </c>
    </row>
    <row r="123" spans="1:29" x14ac:dyDescent="0.3">
      <c r="A123" t="s">
        <v>145</v>
      </c>
      <c r="B123" s="207">
        <v>43475</v>
      </c>
      <c r="C123">
        <v>95.783000000000001</v>
      </c>
      <c r="D123" s="118">
        <f t="shared" si="13"/>
        <v>1.7780008994592311E-3</v>
      </c>
      <c r="E123" s="43">
        <v>9922630.5500000007</v>
      </c>
      <c r="K123">
        <v>97.195999999999998</v>
      </c>
      <c r="L123" s="118">
        <f t="shared" si="12"/>
        <v>1.7727572559367299E-3</v>
      </c>
      <c r="M123" s="43">
        <v>9712219.2200000007</v>
      </c>
      <c r="S123" t="s">
        <v>146</v>
      </c>
      <c r="T123" s="207">
        <f t="shared" si="14"/>
        <v>43475</v>
      </c>
      <c r="U123">
        <v>96.375</v>
      </c>
      <c r="V123" s="118">
        <f t="shared" si="10"/>
        <v>1.8087130071413604E-3</v>
      </c>
      <c r="W123" s="43">
        <v>144563.60999999999</v>
      </c>
      <c r="AC123" s="43">
        <v>19779413.380000003</v>
      </c>
    </row>
    <row r="124" spans="1:29" x14ac:dyDescent="0.3">
      <c r="A124" t="s">
        <v>145</v>
      </c>
      <c r="B124" s="207">
        <v>43476</v>
      </c>
      <c r="C124">
        <v>96.016000000000005</v>
      </c>
      <c r="D124" s="118">
        <f t="shared" si="13"/>
        <v>2.432581982188875E-3</v>
      </c>
      <c r="E124" s="43">
        <v>9941253.0600000005</v>
      </c>
      <c r="K124">
        <v>97.436999999999998</v>
      </c>
      <c r="L124" s="118">
        <f t="shared" si="12"/>
        <v>2.4795259064158692E-3</v>
      </c>
      <c r="M124" s="43">
        <v>9736257.6999999993</v>
      </c>
      <c r="S124" t="s">
        <v>146</v>
      </c>
      <c r="T124" s="207">
        <f t="shared" si="14"/>
        <v>43476</v>
      </c>
      <c r="U124">
        <v>96.617999999999995</v>
      </c>
      <c r="V124" s="118">
        <f t="shared" si="10"/>
        <v>2.5214007782101699E-3</v>
      </c>
      <c r="W124" s="43">
        <v>144927.37</v>
      </c>
      <c r="AC124" s="43">
        <v>19822438.129999999</v>
      </c>
    </row>
    <row r="125" spans="1:29" x14ac:dyDescent="0.3">
      <c r="A125" t="s">
        <v>145</v>
      </c>
      <c r="B125" s="207">
        <v>43479</v>
      </c>
      <c r="C125">
        <v>95.826999999999998</v>
      </c>
      <c r="D125" s="118">
        <f t="shared" si="13"/>
        <v>-1.9684219296784988E-3</v>
      </c>
      <c r="E125" s="43">
        <v>9914011.5</v>
      </c>
      <c r="K125">
        <v>97.251999999999995</v>
      </c>
      <c r="L125" s="118">
        <f t="shared" si="12"/>
        <v>-1.8986627256586397E-3</v>
      </c>
      <c r="M125" s="43">
        <v>9717737.4100000001</v>
      </c>
      <c r="S125" t="s">
        <v>146</v>
      </c>
      <c r="T125" s="207">
        <f t="shared" si="14"/>
        <v>43479</v>
      </c>
      <c r="U125">
        <v>96.445999999999998</v>
      </c>
      <c r="V125" s="118">
        <f t="shared" si="10"/>
        <v>-1.7802065867643657E-3</v>
      </c>
      <c r="W125" s="43">
        <v>144669.53</v>
      </c>
      <c r="AC125" s="43">
        <v>19776418.440000001</v>
      </c>
    </row>
    <row r="126" spans="1:29" x14ac:dyDescent="0.3">
      <c r="A126" t="s">
        <v>145</v>
      </c>
      <c r="B126" s="207">
        <v>43480</v>
      </c>
      <c r="C126">
        <v>96.286000000000001</v>
      </c>
      <c r="D126" s="118">
        <f t="shared" si="13"/>
        <v>4.789881766099402E-3</v>
      </c>
      <c r="E126" s="43">
        <v>9957114.0399999991</v>
      </c>
      <c r="K126">
        <v>97.718999999999994</v>
      </c>
      <c r="L126" s="118">
        <f t="shared" si="12"/>
        <v>4.8019578003537511E-3</v>
      </c>
      <c r="M126" s="43">
        <v>9764404.1500000004</v>
      </c>
      <c r="N126" s="118"/>
      <c r="S126" t="s">
        <v>146</v>
      </c>
      <c r="T126" s="207">
        <f t="shared" si="14"/>
        <v>43480</v>
      </c>
      <c r="U126">
        <v>96.912999999999997</v>
      </c>
      <c r="V126" s="118">
        <f t="shared" si="10"/>
        <v>4.8420878004271639E-3</v>
      </c>
      <c r="W126" s="43">
        <v>145370.23999999999</v>
      </c>
      <c r="AC126" s="43">
        <v>19866888.429999996</v>
      </c>
    </row>
    <row r="127" spans="1:29" x14ac:dyDescent="0.3">
      <c r="A127" t="s">
        <v>145</v>
      </c>
      <c r="B127" s="207">
        <v>43481</v>
      </c>
      <c r="C127">
        <v>96.617999999999995</v>
      </c>
      <c r="D127" s="118">
        <f t="shared" si="13"/>
        <v>3.4480609849820709E-3</v>
      </c>
      <c r="E127" s="43">
        <v>9989230.0399999991</v>
      </c>
      <c r="K127">
        <v>98.072000000000003</v>
      </c>
      <c r="L127" s="118">
        <f t="shared" si="12"/>
        <v>3.6123988170162491E-3</v>
      </c>
      <c r="M127" s="43">
        <v>9799708.4199999999</v>
      </c>
      <c r="N127" s="118"/>
      <c r="S127" t="s">
        <v>146</v>
      </c>
      <c r="T127" s="207">
        <f>B127</f>
        <v>43481</v>
      </c>
      <c r="U127">
        <v>97.266999999999996</v>
      </c>
      <c r="V127" s="118">
        <f t="shared" si="10"/>
        <v>3.6527607235354864E-3</v>
      </c>
      <c r="W127" s="43">
        <v>145901.84</v>
      </c>
      <c r="AC127" s="43">
        <v>19934840.300000001</v>
      </c>
    </row>
    <row r="128" spans="1:29" x14ac:dyDescent="0.3">
      <c r="A128" t="s">
        <v>145</v>
      </c>
      <c r="B128" s="207">
        <v>43482</v>
      </c>
      <c r="C128">
        <v>96.697999999999993</v>
      </c>
      <c r="D128" s="118">
        <f t="shared" si="13"/>
        <v>8.2800306361141551E-4</v>
      </c>
      <c r="E128" s="43">
        <v>10055244.15</v>
      </c>
      <c r="K128">
        <v>98.16</v>
      </c>
      <c r="L128" s="118">
        <f t="shared" si="12"/>
        <v>8.9729994289911019E-4</v>
      </c>
      <c r="M128" s="43">
        <v>9808537.4800000004</v>
      </c>
      <c r="N128" s="118"/>
      <c r="S128" t="s">
        <v>146</v>
      </c>
      <c r="T128" s="207">
        <f t="shared" ref="T128:T267" si="15">B128</f>
        <v>43482</v>
      </c>
      <c r="U128">
        <v>97.358999999999995</v>
      </c>
      <c r="V128" s="118">
        <f t="shared" si="10"/>
        <v>9.4585008276193427E-4</v>
      </c>
      <c r="W128" s="43">
        <v>146039.29</v>
      </c>
      <c r="AC128" s="43">
        <v>20009820.920000002</v>
      </c>
    </row>
    <row r="129" spans="1:29" x14ac:dyDescent="0.3">
      <c r="A129" t="s">
        <v>145</v>
      </c>
      <c r="B129" s="207">
        <v>43483</v>
      </c>
      <c r="C129">
        <v>97.037000000000006</v>
      </c>
      <c r="D129" s="118">
        <f t="shared" si="13"/>
        <v>3.5057602018657708E-3</v>
      </c>
      <c r="E129" s="43">
        <v>10084573.73</v>
      </c>
      <c r="K129">
        <v>98.507999999999996</v>
      </c>
      <c r="L129" s="118">
        <f t="shared" si="12"/>
        <v>3.5452322738385167E-3</v>
      </c>
      <c r="M129" s="43">
        <v>9843260.1300000008</v>
      </c>
      <c r="N129" s="118"/>
      <c r="S129" t="s">
        <v>146</v>
      </c>
      <c r="T129" s="207">
        <f t="shared" si="15"/>
        <v>43483</v>
      </c>
      <c r="U129">
        <v>97.707999999999998</v>
      </c>
      <c r="V129" s="118">
        <f t="shared" si="10"/>
        <v>3.5846711654803354E-3</v>
      </c>
      <c r="W129" s="43">
        <v>146562.29999999999</v>
      </c>
      <c r="AC129" s="43">
        <v>20074396.16</v>
      </c>
    </row>
    <row r="130" spans="1:29" x14ac:dyDescent="0.3">
      <c r="A130" t="s">
        <v>145</v>
      </c>
      <c r="B130" s="207">
        <v>43486</v>
      </c>
      <c r="C130">
        <v>97.344999999999999</v>
      </c>
      <c r="D130" s="118">
        <f t="shared" si="13"/>
        <v>3.1740470129950626E-3</v>
      </c>
      <c r="E130" s="43">
        <v>10098374.029999999</v>
      </c>
      <c r="K130">
        <v>98.825999999999993</v>
      </c>
      <c r="L130" s="118">
        <f t="shared" si="12"/>
        <v>3.2281642100133734E-3</v>
      </c>
      <c r="M130" s="43">
        <v>9875025.0299999993</v>
      </c>
      <c r="N130" s="118"/>
      <c r="S130" t="s">
        <v>146</v>
      </c>
      <c r="T130" s="207">
        <f t="shared" si="15"/>
        <v>43486</v>
      </c>
      <c r="U130">
        <v>98.034999999999997</v>
      </c>
      <c r="V130" s="118">
        <f t="shared" si="10"/>
        <v>3.3467065132843921E-3</v>
      </c>
      <c r="W130" s="43">
        <v>147053.4</v>
      </c>
      <c r="AC130" s="43">
        <v>20120452.459999997</v>
      </c>
    </row>
    <row r="131" spans="1:29" x14ac:dyDescent="0.3">
      <c r="A131" t="s">
        <v>145</v>
      </c>
      <c r="B131" s="207">
        <v>43487</v>
      </c>
      <c r="C131">
        <v>96.998999999999995</v>
      </c>
      <c r="D131" s="118">
        <f t="shared" si="13"/>
        <v>-3.554368483229764E-3</v>
      </c>
      <c r="E131" s="43">
        <v>10065065.310000001</v>
      </c>
      <c r="K131">
        <v>98.474999999999994</v>
      </c>
      <c r="L131" s="118">
        <f t="shared" si="12"/>
        <v>-3.5516969218626349E-3</v>
      </c>
      <c r="M131" s="43">
        <v>9840005.1999999993</v>
      </c>
      <c r="N131" s="118"/>
      <c r="S131" t="s">
        <v>146</v>
      </c>
      <c r="T131" s="207">
        <f t="shared" si="15"/>
        <v>43487</v>
      </c>
      <c r="U131">
        <v>97.691000000000003</v>
      </c>
      <c r="V131" s="118">
        <f t="shared" si="10"/>
        <v>-3.5089508848880069E-3</v>
      </c>
      <c r="W131" s="43">
        <v>146537.93</v>
      </c>
      <c r="AC131" s="43">
        <v>20051608.439999998</v>
      </c>
    </row>
    <row r="132" spans="1:29" x14ac:dyDescent="0.3">
      <c r="A132" t="s">
        <v>145</v>
      </c>
      <c r="B132" s="207">
        <v>43488</v>
      </c>
      <c r="C132">
        <v>96.891000000000005</v>
      </c>
      <c r="D132" s="118">
        <f t="shared" si="13"/>
        <v>-1.1134135403456646E-3</v>
      </c>
      <c r="E132" s="43">
        <v>10052225.869999999</v>
      </c>
      <c r="K132">
        <v>98.375</v>
      </c>
      <c r="L132" s="118">
        <f t="shared" si="12"/>
        <v>-1.0154861640009338E-3</v>
      </c>
      <c r="M132" s="43">
        <v>9830005.3699999992</v>
      </c>
      <c r="N132" s="118"/>
      <c r="S132" t="s">
        <v>146</v>
      </c>
      <c r="T132" s="207">
        <f t="shared" si="15"/>
        <v>43488</v>
      </c>
      <c r="U132">
        <v>97.596000000000004</v>
      </c>
      <c r="V132" s="118">
        <f t="shared" si="10"/>
        <v>-9.7245396198220035E-4</v>
      </c>
      <c r="W132" s="43">
        <v>146395.03</v>
      </c>
      <c r="AC132" s="43">
        <v>20028626.27</v>
      </c>
    </row>
    <row r="133" spans="1:29" x14ac:dyDescent="0.3">
      <c r="A133" t="s">
        <v>145</v>
      </c>
      <c r="B133" s="207">
        <v>43489</v>
      </c>
      <c r="C133">
        <v>96.930999999999997</v>
      </c>
      <c r="D133" s="118">
        <f t="shared" si="13"/>
        <v>4.1283504143829752E-4</v>
      </c>
      <c r="E133" s="43">
        <v>10059302.189999999</v>
      </c>
      <c r="K133">
        <v>98.418000000000006</v>
      </c>
      <c r="L133" s="118">
        <f t="shared" si="12"/>
        <v>4.3710292249055094E-4</v>
      </c>
      <c r="M133" s="43">
        <v>9834324.8300000001</v>
      </c>
      <c r="N133" s="118"/>
      <c r="S133" t="s">
        <v>146</v>
      </c>
      <c r="T133" s="207">
        <f t="shared" si="15"/>
        <v>43489</v>
      </c>
      <c r="U133">
        <v>97.643000000000001</v>
      </c>
      <c r="V133" s="118">
        <f t="shared" si="10"/>
        <v>4.8157711381602297E-4</v>
      </c>
      <c r="W133" s="43">
        <v>146465.38</v>
      </c>
      <c r="AC133" s="43">
        <v>20040092.399999999</v>
      </c>
    </row>
    <row r="134" spans="1:29" x14ac:dyDescent="0.3">
      <c r="A134" t="s">
        <v>145</v>
      </c>
      <c r="B134" s="207">
        <v>43490</v>
      </c>
      <c r="C134">
        <v>97.537999999999997</v>
      </c>
      <c r="D134" s="118">
        <f t="shared" si="13"/>
        <v>6.2621865038017255E-3</v>
      </c>
      <c r="E134" s="43">
        <v>10253146.810000001</v>
      </c>
      <c r="K134">
        <v>99.033000000000001</v>
      </c>
      <c r="L134" s="118">
        <f t="shared" si="12"/>
        <v>6.2488569164176333E-3</v>
      </c>
      <c r="M134" s="43">
        <v>9895741.4299999997</v>
      </c>
      <c r="N134" s="118"/>
      <c r="S134" t="s">
        <v>146</v>
      </c>
      <c r="T134" s="207">
        <f t="shared" si="15"/>
        <v>43490</v>
      </c>
      <c r="U134">
        <v>98.257000000000005</v>
      </c>
      <c r="V134" s="118">
        <f t="shared" si="10"/>
        <v>6.2882131847650236E-3</v>
      </c>
      <c r="W134" s="43">
        <v>147386.13</v>
      </c>
      <c r="AC134" s="43">
        <v>20296274.370000001</v>
      </c>
    </row>
    <row r="135" spans="1:29" x14ac:dyDescent="0.3">
      <c r="A135" t="s">
        <v>145</v>
      </c>
      <c r="B135" s="207">
        <v>43493</v>
      </c>
      <c r="C135">
        <v>97.424000000000007</v>
      </c>
      <c r="D135" s="118">
        <f t="shared" si="13"/>
        <v>-1.1687752465704415E-3</v>
      </c>
      <c r="E135" s="43">
        <v>10247649.560000001</v>
      </c>
      <c r="K135">
        <v>98.926000000000002</v>
      </c>
      <c r="L135" s="118">
        <f t="shared" si="12"/>
        <v>-1.0804479314975302E-3</v>
      </c>
      <c r="M135" s="43">
        <v>9885009.0800000001</v>
      </c>
      <c r="N135" s="118"/>
      <c r="S135" t="s">
        <v>146</v>
      </c>
      <c r="T135" s="207">
        <f t="shared" si="15"/>
        <v>43493</v>
      </c>
      <c r="U135">
        <v>98.162000000000006</v>
      </c>
      <c r="V135" s="118">
        <f t="shared" si="10"/>
        <v>-9.6685223444636925E-4</v>
      </c>
      <c r="W135" s="43">
        <v>147244.44</v>
      </c>
      <c r="AC135" s="43">
        <v>20279903.080000002</v>
      </c>
    </row>
    <row r="136" spans="1:29" x14ac:dyDescent="0.3">
      <c r="A136" t="s">
        <v>145</v>
      </c>
      <c r="B136" s="207">
        <v>43494</v>
      </c>
      <c r="C136">
        <v>97.346000000000004</v>
      </c>
      <c r="D136" s="118">
        <f t="shared" si="13"/>
        <v>-8.0062407620307141E-4</v>
      </c>
      <c r="E136" s="43">
        <v>10249872.949999999</v>
      </c>
      <c r="K136">
        <v>98.861999999999995</v>
      </c>
      <c r="L136" s="118">
        <f t="shared" si="12"/>
        <v>-6.4694822392508122E-4</v>
      </c>
      <c r="M136" s="43">
        <v>9878698.0800000001</v>
      </c>
      <c r="N136" s="118"/>
      <c r="S136" t="s">
        <v>146</v>
      </c>
      <c r="T136" s="207">
        <f t="shared" si="15"/>
        <v>43494</v>
      </c>
      <c r="U136">
        <v>98.103999999999999</v>
      </c>
      <c r="V136" s="118">
        <f t="shared" si="10"/>
        <v>-5.9086000692742946E-4</v>
      </c>
      <c r="W136" s="43">
        <v>147156.48000000001</v>
      </c>
      <c r="AC136" s="43">
        <v>20275727.510000002</v>
      </c>
    </row>
    <row r="137" spans="1:29" x14ac:dyDescent="0.3">
      <c r="A137" t="s">
        <v>145</v>
      </c>
      <c r="B137" s="207">
        <v>43495</v>
      </c>
      <c r="C137">
        <v>97.320999999999998</v>
      </c>
      <c r="D137" s="118">
        <f t="shared" si="13"/>
        <v>-2.5681589382209324E-4</v>
      </c>
      <c r="E137" s="43">
        <v>10258607.560000001</v>
      </c>
      <c r="K137">
        <v>98.837000000000003</v>
      </c>
      <c r="L137" s="118">
        <f t="shared" si="12"/>
        <v>-2.5287774878102187E-4</v>
      </c>
      <c r="M137" s="43">
        <v>9876121.7699999996</v>
      </c>
      <c r="S137" t="s">
        <v>146</v>
      </c>
      <c r="T137" s="207">
        <f t="shared" si="15"/>
        <v>43495</v>
      </c>
      <c r="U137">
        <v>98.081999999999994</v>
      </c>
      <c r="V137" s="118">
        <f t="shared" si="10"/>
        <v>-2.2425181440111075E-4</v>
      </c>
      <c r="W137" s="43">
        <v>147124.15</v>
      </c>
      <c r="AC137" s="43">
        <v>20281853.479999997</v>
      </c>
    </row>
    <row r="138" spans="1:29" x14ac:dyDescent="0.3">
      <c r="A138" t="s">
        <v>145</v>
      </c>
      <c r="B138" s="207">
        <v>43496</v>
      </c>
      <c r="C138">
        <v>98.373000000000005</v>
      </c>
      <c r="D138" s="118">
        <f t="shared" si="13"/>
        <v>1.0809588886263155E-2</v>
      </c>
      <c r="E138" s="43">
        <v>10423118.949999999</v>
      </c>
      <c r="K138">
        <v>99.91</v>
      </c>
      <c r="L138" s="118">
        <f t="shared" si="12"/>
        <v>1.0856258283840958E-2</v>
      </c>
      <c r="M138" s="43">
        <v>9983396.6600000001</v>
      </c>
      <c r="S138" t="s">
        <v>146</v>
      </c>
      <c r="T138" s="207">
        <f t="shared" si="15"/>
        <v>43496</v>
      </c>
      <c r="U138">
        <v>99.152000000000001</v>
      </c>
      <c r="V138" s="118">
        <f t="shared" si="10"/>
        <v>1.090923920800968E-2</v>
      </c>
      <c r="W138" s="43">
        <v>148728.32999999999</v>
      </c>
      <c r="AC138" s="43">
        <v>20555243.939999998</v>
      </c>
    </row>
    <row r="139" spans="1:29" x14ac:dyDescent="0.3">
      <c r="A139" t="s">
        <v>145</v>
      </c>
      <c r="B139" s="207">
        <v>43497</v>
      </c>
      <c r="C139">
        <v>98.260999999999996</v>
      </c>
      <c r="D139" s="118">
        <f t="shared" si="13"/>
        <v>-1.1385237819321326E-3</v>
      </c>
      <c r="E139" s="43">
        <v>10371921.310000001</v>
      </c>
      <c r="K139">
        <v>99.796000000000006</v>
      </c>
      <c r="L139" s="118">
        <f t="shared" si="12"/>
        <v>-1.1410269242316806E-3</v>
      </c>
      <c r="M139" s="43">
        <v>9972034.8300000001</v>
      </c>
      <c r="S139" t="s">
        <v>146</v>
      </c>
      <c r="T139" s="207">
        <f t="shared" si="15"/>
        <v>43497</v>
      </c>
      <c r="U139">
        <v>99.043000000000006</v>
      </c>
      <c r="V139" s="118">
        <f t="shared" si="10"/>
        <v>-1.0993222527028168E-3</v>
      </c>
      <c r="W139" s="43">
        <v>148565.17000000001</v>
      </c>
      <c r="AC139" s="43">
        <v>20492521.310000002</v>
      </c>
    </row>
    <row r="140" spans="1:29" x14ac:dyDescent="0.3">
      <c r="A140" t="s">
        <v>145</v>
      </c>
      <c r="B140" s="207">
        <v>43500</v>
      </c>
      <c r="C140">
        <v>98.596999999999994</v>
      </c>
      <c r="D140" s="118">
        <f t="shared" si="13"/>
        <v>3.4194644874365743E-3</v>
      </c>
      <c r="E140" s="43">
        <v>10730995.43</v>
      </c>
      <c r="K140">
        <v>100.143</v>
      </c>
      <c r="L140" s="118">
        <f t="shared" si="12"/>
        <v>3.4770932702712365E-3</v>
      </c>
      <c r="M140" s="43">
        <v>10006627.800000001</v>
      </c>
      <c r="S140" t="s">
        <v>146</v>
      </c>
      <c r="T140" s="207">
        <f t="shared" si="15"/>
        <v>43500</v>
      </c>
      <c r="U140">
        <v>99.399000000000001</v>
      </c>
      <c r="V140" s="118">
        <f t="shared" si="10"/>
        <v>3.5943983926172152E-3</v>
      </c>
      <c r="W140" s="43">
        <v>149098.92000000001</v>
      </c>
      <c r="AC140" s="43">
        <v>20886722.150000002</v>
      </c>
    </row>
    <row r="141" spans="1:29" x14ac:dyDescent="0.3">
      <c r="A141" t="s">
        <v>145</v>
      </c>
      <c r="B141" s="207">
        <v>43503</v>
      </c>
      <c r="C141">
        <v>98.486000000000004</v>
      </c>
      <c r="D141" s="118">
        <f t="shared" si="13"/>
        <v>-1.1257949024817693E-3</v>
      </c>
      <c r="E141" s="43">
        <v>10696794.16</v>
      </c>
      <c r="K141">
        <v>100.032</v>
      </c>
      <c r="L141" s="118">
        <f t="shared" si="12"/>
        <v>-1.1084149665978593E-3</v>
      </c>
      <c r="M141" s="43">
        <v>9094260.7300000004</v>
      </c>
      <c r="S141" t="s">
        <v>146</v>
      </c>
      <c r="T141" s="207">
        <f t="shared" si="15"/>
        <v>43503</v>
      </c>
      <c r="U141">
        <v>99.301000000000002</v>
      </c>
      <c r="V141" s="118">
        <f t="shared" si="10"/>
        <v>-9.8592541172448644E-4</v>
      </c>
      <c r="W141" s="43">
        <v>148952.23000000001</v>
      </c>
      <c r="AC141" s="43">
        <v>19940007.120000001</v>
      </c>
    </row>
    <row r="142" spans="1:29" x14ac:dyDescent="0.3">
      <c r="A142" t="s">
        <v>145</v>
      </c>
      <c r="B142" s="207">
        <v>43504</v>
      </c>
      <c r="C142">
        <v>98.138999999999996</v>
      </c>
      <c r="D142" s="118">
        <f t="shared" si="13"/>
        <v>-3.5233434193693292E-3</v>
      </c>
      <c r="E142" s="43">
        <v>10654327.24</v>
      </c>
      <c r="K142">
        <v>99.694000000000003</v>
      </c>
      <c r="L142" s="118">
        <f t="shared" si="12"/>
        <v>-3.3789187460012693E-3</v>
      </c>
      <c r="M142" s="43">
        <v>9063506.1699999999</v>
      </c>
      <c r="S142" t="s">
        <v>146</v>
      </c>
      <c r="T142" s="207">
        <f t="shared" si="15"/>
        <v>43504</v>
      </c>
      <c r="U142">
        <v>98.968999999999994</v>
      </c>
      <c r="V142" s="118">
        <f t="shared" si="10"/>
        <v>-3.3433701574002717E-3</v>
      </c>
      <c r="W142" s="43">
        <v>148454.60999999999</v>
      </c>
      <c r="AC142" s="43">
        <v>19866288.02</v>
      </c>
    </row>
    <row r="143" spans="1:29" x14ac:dyDescent="0.3">
      <c r="A143" t="s">
        <v>145</v>
      </c>
      <c r="B143" s="207">
        <v>43507</v>
      </c>
      <c r="C143">
        <v>98.384</v>
      </c>
      <c r="D143" s="118">
        <f t="shared" si="13"/>
        <v>2.4964591039240425E-3</v>
      </c>
      <c r="E143" s="43">
        <v>11293835.48</v>
      </c>
      <c r="K143">
        <v>99.947000000000003</v>
      </c>
      <c r="L143" s="118">
        <f t="shared" si="12"/>
        <v>2.5377655626215301E-3</v>
      </c>
      <c r="M143" s="43">
        <v>9086554.0700000003</v>
      </c>
      <c r="S143" t="s">
        <v>146</v>
      </c>
      <c r="T143" s="207">
        <f t="shared" si="15"/>
        <v>43507</v>
      </c>
      <c r="U143">
        <v>99.233000000000004</v>
      </c>
      <c r="V143" s="118">
        <f t="shared" si="10"/>
        <v>2.6675019450534965E-3</v>
      </c>
      <c r="W143" s="43">
        <v>148850.47</v>
      </c>
      <c r="AC143" s="43">
        <v>20529240.02</v>
      </c>
    </row>
    <row r="144" spans="1:29" x14ac:dyDescent="0.3">
      <c r="A144" t="s">
        <v>145</v>
      </c>
      <c r="B144" s="207">
        <v>43508</v>
      </c>
      <c r="C144">
        <v>98.653000000000006</v>
      </c>
      <c r="D144" s="118">
        <f t="shared" si="13"/>
        <v>2.7341844202308785E-3</v>
      </c>
      <c r="E144" s="43">
        <v>11352233.369999999</v>
      </c>
      <c r="K144">
        <v>100.22499999999999</v>
      </c>
      <c r="L144" s="118">
        <f t="shared" si="12"/>
        <v>2.7814741813159127E-3</v>
      </c>
      <c r="M144" s="43">
        <v>9111820.3599999994</v>
      </c>
      <c r="S144" t="s">
        <v>146</v>
      </c>
      <c r="T144" s="207">
        <f t="shared" si="15"/>
        <v>43508</v>
      </c>
      <c r="U144">
        <v>99.513000000000005</v>
      </c>
      <c r="V144" s="118">
        <f t="shared" si="10"/>
        <v>2.8216419940947368E-3</v>
      </c>
      <c r="W144" s="43">
        <v>149270.5</v>
      </c>
      <c r="AC144" s="43">
        <v>20613324.229999997</v>
      </c>
    </row>
    <row r="145" spans="1:29" x14ac:dyDescent="0.3">
      <c r="A145" t="s">
        <v>145</v>
      </c>
      <c r="B145" s="207">
        <v>43509</v>
      </c>
      <c r="C145">
        <v>98.986000000000004</v>
      </c>
      <c r="D145" s="118">
        <f t="shared" si="13"/>
        <v>3.3754675478698815E-3</v>
      </c>
      <c r="E145" s="43">
        <v>11383833.210000001</v>
      </c>
      <c r="K145">
        <v>100.556</v>
      </c>
      <c r="L145" s="118">
        <f t="shared" si="12"/>
        <v>3.3025692192567568E-3</v>
      </c>
      <c r="M145" s="43">
        <v>9141917.5</v>
      </c>
      <c r="S145" t="s">
        <v>146</v>
      </c>
      <c r="T145" s="207">
        <f t="shared" si="15"/>
        <v>43509</v>
      </c>
      <c r="U145">
        <v>99.846000000000004</v>
      </c>
      <c r="V145" s="118">
        <f t="shared" si="10"/>
        <v>3.3462964637784864E-3</v>
      </c>
      <c r="W145" s="43">
        <v>149769.71</v>
      </c>
      <c r="AC145" s="43">
        <v>20675520.420000002</v>
      </c>
    </row>
    <row r="146" spans="1:29" x14ac:dyDescent="0.3">
      <c r="A146" t="s">
        <v>145</v>
      </c>
      <c r="B146" s="207">
        <v>43510</v>
      </c>
      <c r="C146">
        <v>98.926000000000002</v>
      </c>
      <c r="D146" s="118">
        <f t="shared" si="13"/>
        <v>-6.0614632372257837E-4</v>
      </c>
      <c r="E146" s="43">
        <v>11370232.18</v>
      </c>
      <c r="K146">
        <v>100.496</v>
      </c>
      <c r="L146" s="118">
        <f t="shared" si="12"/>
        <v>-5.9668244560251438E-4</v>
      </c>
      <c r="M146" s="43">
        <v>8030507.21</v>
      </c>
      <c r="S146" t="s">
        <v>146</v>
      </c>
      <c r="T146" s="207">
        <f t="shared" si="15"/>
        <v>43510</v>
      </c>
      <c r="U146">
        <v>99.790999999999997</v>
      </c>
      <c r="V146" s="118">
        <f t="shared" si="10"/>
        <v>-5.5084830639196003E-4</v>
      </c>
      <c r="W146" s="43">
        <v>149686.54999999999</v>
      </c>
      <c r="AC146" s="43">
        <v>19550425.940000001</v>
      </c>
    </row>
    <row r="147" spans="1:29" x14ac:dyDescent="0.3">
      <c r="A147" t="s">
        <v>145</v>
      </c>
      <c r="B147" s="207">
        <v>43511</v>
      </c>
      <c r="C147">
        <v>99.022000000000006</v>
      </c>
      <c r="D147" s="118">
        <f t="shared" si="13"/>
        <v>9.7042233588751081E-4</v>
      </c>
      <c r="E147" s="43">
        <v>11385010.23</v>
      </c>
      <c r="K147">
        <v>100.598</v>
      </c>
      <c r="L147" s="118">
        <f t="shared" si="12"/>
        <v>1.0149657697819947E-3</v>
      </c>
      <c r="M147" s="43">
        <v>8088673.5700000003</v>
      </c>
      <c r="S147" t="s">
        <v>146</v>
      </c>
      <c r="T147" s="207">
        <f t="shared" si="15"/>
        <v>43511</v>
      </c>
      <c r="U147">
        <v>99.894999999999996</v>
      </c>
      <c r="V147" s="118">
        <f t="shared" si="10"/>
        <v>1.0421781523384244E-3</v>
      </c>
      <c r="W147" s="43">
        <v>149843.98000000001</v>
      </c>
      <c r="AC147" s="43">
        <v>19623527.780000001</v>
      </c>
    </row>
    <row r="148" spans="1:29" x14ac:dyDescent="0.3">
      <c r="A148" t="s">
        <v>145</v>
      </c>
      <c r="B148" s="207">
        <v>43514</v>
      </c>
      <c r="C148">
        <v>99.186999999999998</v>
      </c>
      <c r="D148" s="118">
        <f t="shared" si="13"/>
        <v>1.6662963785825102E-3</v>
      </c>
      <c r="E148" s="43">
        <v>11419624.83</v>
      </c>
      <c r="K148">
        <v>100.77800000000001</v>
      </c>
      <c r="L148" s="118">
        <f t="shared" si="12"/>
        <v>1.7892999860833481E-3</v>
      </c>
      <c r="M148" s="43">
        <v>8103206.5800000001</v>
      </c>
      <c r="S148" t="s">
        <v>146</v>
      </c>
      <c r="T148" s="207">
        <f t="shared" si="15"/>
        <v>43514</v>
      </c>
      <c r="U148">
        <v>100.07</v>
      </c>
      <c r="V148" s="118">
        <f t="shared" si="10"/>
        <v>1.7518394314028907E-3</v>
      </c>
      <c r="W148" s="43">
        <v>150105.62</v>
      </c>
      <c r="AC148" s="43">
        <v>19672937.030000001</v>
      </c>
    </row>
    <row r="149" spans="1:29" x14ac:dyDescent="0.3">
      <c r="A149" t="s">
        <v>145</v>
      </c>
      <c r="B149" s="207">
        <v>43515</v>
      </c>
      <c r="C149">
        <v>99.484999999999999</v>
      </c>
      <c r="D149" s="118">
        <f t="shared" si="13"/>
        <v>3.0044259832437969E-3</v>
      </c>
      <c r="E149" s="43">
        <v>11555554.220000001</v>
      </c>
      <c r="K149">
        <v>101.09</v>
      </c>
      <c r="L149" s="118">
        <f t="shared" si="12"/>
        <v>3.0959137907082823E-3</v>
      </c>
      <c r="M149" s="43">
        <v>8128250.4699999997</v>
      </c>
      <c r="S149" t="s">
        <v>146</v>
      </c>
      <c r="T149" s="207">
        <f t="shared" si="15"/>
        <v>43515</v>
      </c>
      <c r="U149">
        <v>100.321</v>
      </c>
      <c r="V149" s="118">
        <f t="shared" si="10"/>
        <v>2.5082442290396134E-3</v>
      </c>
      <c r="W149" s="43">
        <v>150481.61000000002</v>
      </c>
      <c r="AC149" s="43">
        <v>19834286.300000001</v>
      </c>
    </row>
    <row r="150" spans="1:29" x14ac:dyDescent="0.3">
      <c r="A150" t="s">
        <v>145</v>
      </c>
      <c r="B150" s="207">
        <v>43516</v>
      </c>
      <c r="C150">
        <v>99.718999999999994</v>
      </c>
      <c r="D150" s="118">
        <f t="shared" si="13"/>
        <v>2.3521133839272679E-3</v>
      </c>
      <c r="E150" s="43">
        <v>11607991.23</v>
      </c>
      <c r="K150">
        <v>101.334</v>
      </c>
      <c r="L150" s="118">
        <f t="shared" si="12"/>
        <v>2.4136907706004962E-3</v>
      </c>
      <c r="M150" s="43">
        <v>8147915.4199999999</v>
      </c>
      <c r="S150" t="s">
        <v>146</v>
      </c>
      <c r="T150" s="207">
        <f t="shared" si="15"/>
        <v>43516</v>
      </c>
      <c r="U150">
        <v>100.518</v>
      </c>
      <c r="V150" s="118">
        <f t="shared" si="10"/>
        <v>1.9636965341254253E-3</v>
      </c>
      <c r="W150" s="43">
        <v>150778.07</v>
      </c>
      <c r="AC150" s="43">
        <v>19906684.719999999</v>
      </c>
    </row>
    <row r="151" spans="1:29" x14ac:dyDescent="0.3">
      <c r="A151" t="s">
        <v>145</v>
      </c>
      <c r="B151" s="207">
        <v>43517</v>
      </c>
      <c r="C151">
        <v>99.293000000000006</v>
      </c>
      <c r="D151" s="118">
        <f t="shared" si="13"/>
        <v>-4.2720043321732293E-3</v>
      </c>
      <c r="E151" s="43">
        <v>11871309.199999999</v>
      </c>
      <c r="K151">
        <v>100.9</v>
      </c>
      <c r="L151" s="118">
        <f t="shared" si="12"/>
        <v>-4.2828665600883609E-3</v>
      </c>
      <c r="M151" s="43">
        <v>8112968.6500000004</v>
      </c>
      <c r="S151" t="s">
        <v>146</v>
      </c>
      <c r="T151" s="207">
        <f t="shared" si="15"/>
        <v>43517</v>
      </c>
      <c r="U151">
        <v>100.176</v>
      </c>
      <c r="V151" s="118">
        <f t="shared" si="10"/>
        <v>-3.4023756939055572E-3</v>
      </c>
      <c r="W151" s="43">
        <v>150265.12</v>
      </c>
      <c r="AC151" s="43">
        <v>20134542.970000003</v>
      </c>
    </row>
    <row r="152" spans="1:29" x14ac:dyDescent="0.3">
      <c r="A152" t="s">
        <v>145</v>
      </c>
      <c r="B152" s="207">
        <v>43518</v>
      </c>
      <c r="C152">
        <v>99.58</v>
      </c>
      <c r="D152" s="118">
        <f t="shared" si="13"/>
        <v>2.8904353781231684E-3</v>
      </c>
      <c r="E152" s="43">
        <v>11927584.359999999</v>
      </c>
      <c r="K152">
        <v>101.199</v>
      </c>
      <c r="L152" s="118">
        <f t="shared" si="12"/>
        <v>2.9633300297322585E-3</v>
      </c>
      <c r="M152" s="43">
        <v>8137029.1100000003</v>
      </c>
      <c r="S152" t="s">
        <v>146</v>
      </c>
      <c r="T152" s="207">
        <f t="shared" si="15"/>
        <v>43518</v>
      </c>
      <c r="U152">
        <v>100.417</v>
      </c>
      <c r="V152" s="118">
        <f t="shared" si="10"/>
        <v>2.4057658521003944E-3</v>
      </c>
      <c r="W152" s="43">
        <v>150626.54999999999</v>
      </c>
      <c r="AC152" s="43">
        <v>20215240.02</v>
      </c>
    </row>
    <row r="153" spans="1:29" x14ac:dyDescent="0.3">
      <c r="A153" t="s">
        <v>145</v>
      </c>
      <c r="B153" s="207">
        <v>43521</v>
      </c>
      <c r="C153">
        <v>100.11</v>
      </c>
      <c r="D153" s="118">
        <f t="shared" si="13"/>
        <v>5.3223538863225173E-3</v>
      </c>
      <c r="E153" s="43">
        <v>12004126.09</v>
      </c>
      <c r="K153">
        <v>101.748</v>
      </c>
      <c r="L153" s="118">
        <f t="shared" si="12"/>
        <v>5.4249547920435237E-3</v>
      </c>
      <c r="M153" s="43">
        <v>8181185.9000000004</v>
      </c>
      <c r="S153" t="s">
        <v>146</v>
      </c>
      <c r="T153" s="207">
        <f t="shared" si="15"/>
        <v>43521</v>
      </c>
      <c r="U153">
        <v>100.864</v>
      </c>
      <c r="V153" s="118">
        <f t="shared" si="10"/>
        <v>4.4514375056017297E-3</v>
      </c>
      <c r="W153" s="43">
        <v>151296.09</v>
      </c>
      <c r="AC153" s="43">
        <v>20336608.080000002</v>
      </c>
    </row>
    <row r="154" spans="1:29" x14ac:dyDescent="0.3">
      <c r="A154" t="s">
        <v>145</v>
      </c>
      <c r="B154" s="207">
        <v>43522</v>
      </c>
      <c r="C154">
        <v>99.933999999999997</v>
      </c>
      <c r="D154" s="118">
        <f t="shared" si="13"/>
        <v>-1.7580661272600384E-3</v>
      </c>
      <c r="E154" s="43">
        <v>11983387.029999999</v>
      </c>
      <c r="K154">
        <v>101.574</v>
      </c>
      <c r="L154" s="118">
        <f t="shared" si="12"/>
        <v>-1.7101073239769171E-3</v>
      </c>
      <c r="M154" s="43">
        <v>8167158.4900000002</v>
      </c>
      <c r="S154" t="s">
        <v>146</v>
      </c>
      <c r="T154" s="207">
        <f t="shared" si="15"/>
        <v>43522</v>
      </c>
      <c r="U154">
        <v>100.72799999999999</v>
      </c>
      <c r="V154" s="118">
        <f t="shared" si="10"/>
        <v>-1.3483502538071956E-3</v>
      </c>
      <c r="W154" s="43">
        <v>151093.34</v>
      </c>
      <c r="AC154" s="43">
        <v>20301638.859999999</v>
      </c>
    </row>
    <row r="155" spans="1:29" x14ac:dyDescent="0.3">
      <c r="A155" t="s">
        <v>145</v>
      </c>
      <c r="B155" s="207">
        <v>43523</v>
      </c>
      <c r="C155">
        <v>99.888000000000005</v>
      </c>
      <c r="D155" s="118">
        <f t="shared" si="13"/>
        <v>-4.6030380050821051E-4</v>
      </c>
      <c r="E155" s="43">
        <v>11977465.59</v>
      </c>
      <c r="K155">
        <v>101.53100000000001</v>
      </c>
      <c r="L155" s="118">
        <f t="shared" si="12"/>
        <v>-4.2333668064653551E-4</v>
      </c>
      <c r="M155" s="43">
        <v>7662125.9699999997</v>
      </c>
      <c r="S155" t="s">
        <v>146</v>
      </c>
      <c r="T155" s="207">
        <f t="shared" si="15"/>
        <v>43523</v>
      </c>
      <c r="U155">
        <v>100.697</v>
      </c>
      <c r="V155" s="118">
        <f t="shared" si="10"/>
        <v>-3.0775951076156272E-4</v>
      </c>
      <c r="W155" s="43">
        <v>151046.63999999998</v>
      </c>
      <c r="AC155" s="43">
        <v>19790638.199999999</v>
      </c>
    </row>
    <row r="156" spans="1:29" x14ac:dyDescent="0.3">
      <c r="A156" t="s">
        <v>145</v>
      </c>
      <c r="B156" s="207">
        <v>43524</v>
      </c>
      <c r="C156">
        <v>99.783000000000001</v>
      </c>
      <c r="D156" s="118">
        <f t="shared" si="13"/>
        <v>-1.0511773185968298E-3</v>
      </c>
      <c r="E156" s="43">
        <v>11947628.970000001</v>
      </c>
      <c r="K156">
        <v>101.428</v>
      </c>
      <c r="L156" s="118">
        <f t="shared" si="12"/>
        <v>-1.0144684874571208E-3</v>
      </c>
      <c r="M156" s="43">
        <v>7654348.2300000004</v>
      </c>
      <c r="S156" t="s">
        <v>146</v>
      </c>
      <c r="T156" s="207">
        <f t="shared" si="15"/>
        <v>43524</v>
      </c>
      <c r="U156">
        <v>100.619</v>
      </c>
      <c r="V156" s="118">
        <f t="shared" si="10"/>
        <v>-7.7460103081528064E-4</v>
      </c>
      <c r="W156" s="43">
        <v>150928.95999999999</v>
      </c>
      <c r="AC156" s="43">
        <v>19752906.160000004</v>
      </c>
    </row>
    <row r="157" spans="1:29" x14ac:dyDescent="0.3">
      <c r="A157" t="s">
        <v>145</v>
      </c>
      <c r="B157" s="207">
        <v>43525</v>
      </c>
      <c r="C157">
        <v>99.893000000000001</v>
      </c>
      <c r="D157" s="118">
        <f t="shared" si="13"/>
        <v>1.1023921910546797E-3</v>
      </c>
      <c r="E157" s="43">
        <v>11938746.16</v>
      </c>
      <c r="K157">
        <v>101.54600000000001</v>
      </c>
      <c r="L157" s="118">
        <f t="shared" si="12"/>
        <v>1.1633868359821609E-3</v>
      </c>
      <c r="M157" s="43">
        <v>7663320.9500000002</v>
      </c>
      <c r="S157" t="s">
        <v>146</v>
      </c>
      <c r="T157" s="207">
        <f t="shared" si="15"/>
        <v>43525</v>
      </c>
      <c r="U157">
        <v>100.71599999999999</v>
      </c>
      <c r="V157" s="118">
        <f t="shared" si="10"/>
        <v>9.640326379709574E-4</v>
      </c>
      <c r="W157" s="43">
        <v>151075.48000000001</v>
      </c>
      <c r="AC157" s="43">
        <v>19753142.59</v>
      </c>
    </row>
    <row r="158" spans="1:29" x14ac:dyDescent="0.3">
      <c r="B158" s="207">
        <v>43528</v>
      </c>
      <c r="C158">
        <v>99.856999999999999</v>
      </c>
      <c r="D158" s="118">
        <f t="shared" si="13"/>
        <v>-3.6038561260554047E-4</v>
      </c>
      <c r="E158" s="43">
        <v>11918108.810000001</v>
      </c>
      <c r="K158">
        <v>101.51</v>
      </c>
      <c r="L158" s="118">
        <f t="shared" si="12"/>
        <v>-3.5451913418549363E-4</v>
      </c>
      <c r="M158" s="43">
        <v>7660565.3799999999</v>
      </c>
      <c r="S158" t="s">
        <v>146</v>
      </c>
      <c r="T158" s="207">
        <f t="shared" si="15"/>
        <v>43528</v>
      </c>
      <c r="U158">
        <v>100.697</v>
      </c>
      <c r="V158" s="118">
        <f t="shared" si="10"/>
        <v>-1.886492712179777E-4</v>
      </c>
      <c r="W158" s="43">
        <v>151046.91</v>
      </c>
      <c r="AC158" s="43">
        <v>19729721.100000001</v>
      </c>
    </row>
    <row r="159" spans="1:29" x14ac:dyDescent="0.3">
      <c r="B159" s="207">
        <v>43529</v>
      </c>
      <c r="C159">
        <v>99.557000000000002</v>
      </c>
      <c r="D159" s="118">
        <f t="shared" si="13"/>
        <v>-3.0042961434851856E-3</v>
      </c>
      <c r="E159" s="43">
        <v>11873127.439999999</v>
      </c>
      <c r="K159">
        <v>101.208</v>
      </c>
      <c r="L159" s="118">
        <f t="shared" si="12"/>
        <v>-2.97507634715799E-3</v>
      </c>
      <c r="M159" s="43">
        <v>7638423.3899999997</v>
      </c>
      <c r="S159" t="s">
        <v>146</v>
      </c>
      <c r="T159" s="207">
        <f t="shared" si="15"/>
        <v>43529</v>
      </c>
      <c r="U159">
        <v>100.461</v>
      </c>
      <c r="V159" s="118">
        <f t="shared" si="10"/>
        <v>-2.3436646573383735E-3</v>
      </c>
      <c r="W159" s="43">
        <v>150691.78</v>
      </c>
      <c r="AC159" s="43">
        <v>19662242.609999999</v>
      </c>
    </row>
    <row r="160" spans="1:29" x14ac:dyDescent="0.3">
      <c r="B160" s="207">
        <v>43530</v>
      </c>
      <c r="C160">
        <v>99.682000000000002</v>
      </c>
      <c r="D160" s="118">
        <f t="shared" si="13"/>
        <v>1.255562140281441E-3</v>
      </c>
      <c r="E160" s="43">
        <v>11878395.789999999</v>
      </c>
      <c r="K160">
        <v>101.33799999999999</v>
      </c>
      <c r="L160" s="118">
        <f t="shared" si="12"/>
        <v>1.2844834400442817E-3</v>
      </c>
      <c r="M160" s="43">
        <v>7648246.5499999998</v>
      </c>
      <c r="S160" t="s">
        <v>146</v>
      </c>
      <c r="T160" s="207">
        <f t="shared" si="15"/>
        <v>43530</v>
      </c>
      <c r="U160">
        <v>100.568</v>
      </c>
      <c r="V160" s="118">
        <f t="shared" si="10"/>
        <v>1.0650899353978893E-3</v>
      </c>
      <c r="W160" s="43">
        <v>150852.09999999998</v>
      </c>
      <c r="AC160" s="43">
        <v>19677494.440000001</v>
      </c>
    </row>
    <row r="161" spans="2:29" x14ac:dyDescent="0.3">
      <c r="B161" s="207">
        <v>43531</v>
      </c>
      <c r="C161">
        <v>99.213999999999999</v>
      </c>
      <c r="D161" s="118">
        <f t="shared" si="13"/>
        <v>-4.6949298770089243E-3</v>
      </c>
      <c r="E161" s="204">
        <v>11810791.58</v>
      </c>
      <c r="K161">
        <v>100.867</v>
      </c>
      <c r="L161" s="118">
        <f t="shared" si="12"/>
        <v>-4.64781227180322E-3</v>
      </c>
      <c r="M161" s="43">
        <v>7640678.9199999999</v>
      </c>
      <c r="S161" t="s">
        <v>146</v>
      </c>
      <c r="T161" s="207">
        <f t="shared" si="15"/>
        <v>43531</v>
      </c>
      <c r="U161">
        <v>100.196</v>
      </c>
      <c r="V161" s="118">
        <f t="shared" si="10"/>
        <v>-3.6989897382865289E-3</v>
      </c>
      <c r="W161" s="43">
        <v>150295.22</v>
      </c>
      <c r="AC161" s="43">
        <v>19601765.719999999</v>
      </c>
    </row>
    <row r="162" spans="2:29" x14ac:dyDescent="0.3">
      <c r="B162" s="207">
        <v>43532</v>
      </c>
      <c r="C162">
        <v>98.454999999999998</v>
      </c>
      <c r="D162" s="118">
        <f t="shared" si="13"/>
        <v>-7.6501300219726787E-3</v>
      </c>
      <c r="E162" s="43">
        <v>11722605.08</v>
      </c>
      <c r="K162">
        <v>100.09699999999999</v>
      </c>
      <c r="L162" s="118">
        <f t="shared" si="12"/>
        <v>-7.6338148254633253E-3</v>
      </c>
      <c r="M162" s="43">
        <v>7592295.8300000001</v>
      </c>
      <c r="S162" t="s">
        <v>146</v>
      </c>
      <c r="T162" s="207">
        <f t="shared" si="15"/>
        <v>43532</v>
      </c>
      <c r="U162">
        <v>99.483999999999995</v>
      </c>
      <c r="V162" s="118">
        <f t="shared" si="10"/>
        <v>-7.1060720986866333E-3</v>
      </c>
      <c r="W162" s="43">
        <v>149227.06</v>
      </c>
      <c r="AC162" s="43">
        <v>19464127.969999999</v>
      </c>
    </row>
    <row r="163" spans="2:29" x14ac:dyDescent="0.3">
      <c r="B163" s="207">
        <v>43535</v>
      </c>
      <c r="C163">
        <v>99.064999999999998</v>
      </c>
      <c r="D163" s="118">
        <f t="shared" si="13"/>
        <v>6.1957239347925075E-3</v>
      </c>
      <c r="E163" s="43">
        <v>11867042.470000001</v>
      </c>
      <c r="K163">
        <v>100.718</v>
      </c>
      <c r="L163" s="118">
        <f t="shared" si="12"/>
        <v>6.2039821373269799E-3</v>
      </c>
      <c r="M163" s="43">
        <v>7142355.5</v>
      </c>
      <c r="S163" t="s">
        <v>146</v>
      </c>
      <c r="T163" s="207">
        <f t="shared" si="15"/>
        <v>43535</v>
      </c>
      <c r="U163">
        <v>100.09099999999999</v>
      </c>
      <c r="V163" s="118">
        <f t="shared" si="10"/>
        <v>6.101483655663209E-3</v>
      </c>
      <c r="W163" s="43">
        <v>150136.69</v>
      </c>
      <c r="AC163" s="43">
        <v>19159534.66</v>
      </c>
    </row>
    <row r="164" spans="2:29" x14ac:dyDescent="0.3">
      <c r="B164" s="207">
        <v>43536</v>
      </c>
      <c r="C164">
        <v>99.596000000000004</v>
      </c>
      <c r="D164" s="118">
        <f t="shared" si="13"/>
        <v>5.3601170948367471E-3</v>
      </c>
      <c r="E164" s="43">
        <v>11993279.720000001</v>
      </c>
      <c r="K164">
        <v>101.258</v>
      </c>
      <c r="L164" s="118">
        <f t="shared" si="12"/>
        <v>5.3615043984192035E-3</v>
      </c>
      <c r="M164" s="43">
        <v>7240109.6500000004</v>
      </c>
      <c r="S164" t="s">
        <v>146</v>
      </c>
      <c r="T164" s="207">
        <f t="shared" si="15"/>
        <v>43536</v>
      </c>
      <c r="U164">
        <v>100.523</v>
      </c>
      <c r="V164" s="118">
        <f t="shared" si="10"/>
        <v>4.3160723741395568E-3</v>
      </c>
      <c r="W164" s="43">
        <v>150785.78999999998</v>
      </c>
      <c r="AC164" s="43">
        <v>19384175.16</v>
      </c>
    </row>
    <row r="165" spans="2:29" x14ac:dyDescent="0.3">
      <c r="B165" s="207">
        <v>43537</v>
      </c>
      <c r="C165">
        <v>99.888000000000005</v>
      </c>
      <c r="D165" s="118">
        <f t="shared" si="13"/>
        <v>2.9318446523955988E-3</v>
      </c>
      <c r="E165" s="43">
        <v>12055680.6</v>
      </c>
      <c r="K165">
        <v>101.559</v>
      </c>
      <c r="L165" s="118">
        <f t="shared" si="12"/>
        <v>2.9726046337079648E-3</v>
      </c>
      <c r="M165" s="43">
        <v>7261632.0300000003</v>
      </c>
      <c r="S165" t="s">
        <v>146</v>
      </c>
      <c r="T165" s="207">
        <f t="shared" si="15"/>
        <v>43537</v>
      </c>
      <c r="U165">
        <v>100.76600000000001</v>
      </c>
      <c r="V165" s="118">
        <f t="shared" si="10"/>
        <v>2.4173572217305317E-3</v>
      </c>
      <c r="W165" s="43">
        <v>151149.63</v>
      </c>
      <c r="AC165" s="43">
        <v>19468462.259999998</v>
      </c>
    </row>
    <row r="166" spans="2:29" x14ac:dyDescent="0.3">
      <c r="B166" s="207">
        <v>43538</v>
      </c>
      <c r="C166">
        <v>99.819000000000003</v>
      </c>
      <c r="D166" s="118">
        <f t="shared" si="13"/>
        <v>-6.9077366650649452E-4</v>
      </c>
      <c r="E166" s="43">
        <v>12026403.76</v>
      </c>
      <c r="K166">
        <v>101.491</v>
      </c>
      <c r="L166" s="118">
        <f t="shared" si="12"/>
        <v>-6.6956153565900234E-4</v>
      </c>
      <c r="M166" s="43">
        <v>7282081.6200000001</v>
      </c>
      <c r="T166" s="207">
        <f t="shared" si="15"/>
        <v>43538</v>
      </c>
      <c r="U166">
        <v>100.71599999999999</v>
      </c>
      <c r="V166" s="118">
        <f t="shared" si="10"/>
        <v>-4.9619911478093748E-4</v>
      </c>
      <c r="W166" s="43">
        <v>151074.01</v>
      </c>
      <c r="AC166" s="43">
        <v>19459559.390000001</v>
      </c>
    </row>
    <row r="167" spans="2:29" x14ac:dyDescent="0.3">
      <c r="B167" s="207">
        <v>43539</v>
      </c>
      <c r="C167">
        <v>100.01300000000001</v>
      </c>
      <c r="D167" s="118">
        <f t="shared" si="13"/>
        <v>1.9435177671585091E-3</v>
      </c>
      <c r="E167" s="43">
        <v>12076544.060000001</v>
      </c>
      <c r="K167">
        <v>101.69</v>
      </c>
      <c r="L167" s="118">
        <f t="shared" si="12"/>
        <v>1.9607649939403782E-3</v>
      </c>
      <c r="M167" s="43">
        <v>7303220.3099999996</v>
      </c>
      <c r="T167" s="207">
        <f t="shared" si="15"/>
        <v>43539</v>
      </c>
      <c r="U167">
        <v>100.877</v>
      </c>
      <c r="V167" s="118">
        <f t="shared" si="10"/>
        <v>1.5985543508478806E-3</v>
      </c>
      <c r="W167" s="43">
        <v>151315.85</v>
      </c>
      <c r="AC167" s="43">
        <v>19531080.220000003</v>
      </c>
    </row>
    <row r="168" spans="2:29" x14ac:dyDescent="0.3">
      <c r="B168" s="207">
        <v>43542</v>
      </c>
      <c r="C168">
        <v>100.26600000000001</v>
      </c>
      <c r="D168" s="118">
        <f t="shared" si="13"/>
        <v>2.5296711427513774E-3</v>
      </c>
      <c r="E168" s="43">
        <v>12116021.560000001</v>
      </c>
      <c r="K168">
        <v>101.95099999999999</v>
      </c>
      <c r="L168" s="118">
        <f t="shared" si="12"/>
        <v>2.5666240534958362E-3</v>
      </c>
      <c r="M168" s="43">
        <v>5795204.0099999998</v>
      </c>
      <c r="T168" s="207">
        <f t="shared" si="15"/>
        <v>43542</v>
      </c>
      <c r="U168">
        <v>101.095</v>
      </c>
      <c r="V168" s="118">
        <f t="shared" si="10"/>
        <v>2.1610476124389599E-3</v>
      </c>
      <c r="W168" s="43">
        <v>151643.19</v>
      </c>
      <c r="AC168" s="43">
        <v>18062868.760000002</v>
      </c>
    </row>
    <row r="169" spans="2:29" x14ac:dyDescent="0.3">
      <c r="B169" s="207">
        <v>43543</v>
      </c>
      <c r="C169">
        <v>100.283</v>
      </c>
      <c r="D169" s="118">
        <f t="shared" si="13"/>
        <v>1.6954899966092896E-4</v>
      </c>
      <c r="E169" s="43">
        <v>12224079.460000001</v>
      </c>
      <c r="K169">
        <v>101.97199999999999</v>
      </c>
      <c r="L169" s="118">
        <f t="shared" si="12"/>
        <v>2.059813047443626E-4</v>
      </c>
      <c r="M169" s="43">
        <v>5835990.5999999996</v>
      </c>
      <c r="T169" s="207">
        <f t="shared" si="15"/>
        <v>43543</v>
      </c>
      <c r="U169">
        <v>101.11499999999999</v>
      </c>
      <c r="V169" s="118">
        <f t="shared" si="10"/>
        <v>1.978337207577674E-4</v>
      </c>
      <c r="W169" s="43">
        <v>151672.95000000001</v>
      </c>
      <c r="AC169" s="43">
        <v>18211743.010000002</v>
      </c>
    </row>
    <row r="170" spans="2:29" x14ac:dyDescent="0.3">
      <c r="B170" s="207">
        <v>43544</v>
      </c>
      <c r="C170">
        <v>100.238</v>
      </c>
      <c r="D170" s="118">
        <f t="shared" si="13"/>
        <v>-4.4873009383450402E-4</v>
      </c>
      <c r="E170" s="43">
        <v>12224843.68</v>
      </c>
      <c r="K170">
        <v>101.929</v>
      </c>
      <c r="L170" s="118">
        <f t="shared" si="12"/>
        <v>-4.2168438394840635E-4</v>
      </c>
      <c r="M170" s="43">
        <v>5915873.2300000004</v>
      </c>
      <c r="T170" s="207">
        <f t="shared" si="15"/>
        <v>43544</v>
      </c>
      <c r="U170">
        <v>101.084</v>
      </c>
      <c r="V170" s="118">
        <f t="shared" si="10"/>
        <v>-3.0658161499275138E-4</v>
      </c>
      <c r="W170" s="43">
        <v>151626.89000000001</v>
      </c>
      <c r="AC170" s="43">
        <v>18292343.800000001</v>
      </c>
    </row>
    <row r="171" spans="2:29" x14ac:dyDescent="0.3">
      <c r="B171" s="207">
        <v>43545</v>
      </c>
      <c r="C171">
        <v>100.35</v>
      </c>
      <c r="D171" s="118">
        <f t="shared" si="13"/>
        <v>1.1173407290647752E-3</v>
      </c>
      <c r="E171" s="43">
        <v>12244866.09</v>
      </c>
      <c r="K171">
        <v>102.045</v>
      </c>
      <c r="L171" s="118">
        <f t="shared" si="12"/>
        <v>1.1380470719815072E-3</v>
      </c>
      <c r="M171" s="43">
        <v>5971852.3799999999</v>
      </c>
      <c r="T171" s="207">
        <f t="shared" si="15"/>
        <v>43545</v>
      </c>
      <c r="U171">
        <v>101.18</v>
      </c>
      <c r="V171" s="118">
        <f t="shared" si="10"/>
        <v>9.4970519567882938E-4</v>
      </c>
      <c r="W171" s="43">
        <v>151770.41</v>
      </c>
      <c r="AC171" s="43">
        <v>18368488.879999999</v>
      </c>
    </row>
    <row r="172" spans="2:29" x14ac:dyDescent="0.3">
      <c r="B172" s="207">
        <v>43546</v>
      </c>
      <c r="C172">
        <v>100.187</v>
      </c>
      <c r="D172" s="118">
        <f t="shared" si="13"/>
        <v>-1.6243148978574151E-3</v>
      </c>
      <c r="E172" s="43">
        <v>12203279.57</v>
      </c>
      <c r="K172">
        <v>101.88200000000001</v>
      </c>
      <c r="L172" s="118">
        <f t="shared" si="12"/>
        <v>-1.5973345092851199E-3</v>
      </c>
      <c r="M172" s="43">
        <v>6098323.9699999997</v>
      </c>
      <c r="T172" s="207">
        <f t="shared" si="15"/>
        <v>43546</v>
      </c>
      <c r="U172">
        <v>101.053</v>
      </c>
      <c r="V172" s="118">
        <f t="shared" si="10"/>
        <v>-1.255188772484761E-3</v>
      </c>
      <c r="W172" s="43">
        <v>151580.42000000001</v>
      </c>
      <c r="AC172" s="43">
        <v>18453183.960000001</v>
      </c>
    </row>
    <row r="173" spans="2:29" x14ac:dyDescent="0.3">
      <c r="B173" s="207">
        <v>43549</v>
      </c>
      <c r="C173">
        <v>99.658000000000001</v>
      </c>
      <c r="D173" s="118">
        <f t="shared" si="13"/>
        <v>-5.2801261640731401E-3</v>
      </c>
      <c r="E173" s="43">
        <v>12153898.6</v>
      </c>
      <c r="K173">
        <v>101.35299999999999</v>
      </c>
      <c r="L173" s="118">
        <f t="shared" si="12"/>
        <v>-5.1922812665633478E-3</v>
      </c>
      <c r="M173" s="43">
        <v>6099163.0700000003</v>
      </c>
      <c r="T173" s="207">
        <f t="shared" si="15"/>
        <v>43549</v>
      </c>
      <c r="U173">
        <v>100.642</v>
      </c>
      <c r="V173" s="118">
        <f t="shared" si="10"/>
        <v>-4.0671726717662615E-3</v>
      </c>
      <c r="W173" s="43">
        <v>150964.08000000002</v>
      </c>
      <c r="AC173" s="43">
        <v>18404025.75</v>
      </c>
    </row>
    <row r="174" spans="2:29" x14ac:dyDescent="0.3">
      <c r="B174" s="207">
        <v>43550</v>
      </c>
      <c r="C174">
        <v>99.635000000000005</v>
      </c>
      <c r="D174" s="118">
        <f t="shared" si="13"/>
        <v>-2.3078929940389958E-4</v>
      </c>
      <c r="E174" s="43">
        <v>12137562.050000001</v>
      </c>
      <c r="K174">
        <v>101.34</v>
      </c>
      <c r="L174" s="118">
        <f t="shared" si="12"/>
        <v>-1.2826458022940912E-4</v>
      </c>
      <c r="M174" s="43">
        <v>6098350.9100000001</v>
      </c>
      <c r="T174" s="207">
        <f t="shared" si="15"/>
        <v>43550</v>
      </c>
      <c r="U174">
        <v>100.63500000000001</v>
      </c>
      <c r="V174" s="118">
        <f t="shared" si="10"/>
        <v>-6.9553466743421666E-5</v>
      </c>
      <c r="W174" s="43">
        <v>150952.85999999999</v>
      </c>
      <c r="AC174" s="43">
        <v>18386865.82</v>
      </c>
    </row>
    <row r="175" spans="2:29" x14ac:dyDescent="0.3">
      <c r="B175" s="207">
        <v>43551</v>
      </c>
      <c r="C175">
        <v>99.4</v>
      </c>
      <c r="D175" s="118">
        <f t="shared" si="13"/>
        <v>-2.3586089225673401E-3</v>
      </c>
      <c r="E175" s="43">
        <v>12064773.68</v>
      </c>
      <c r="K175">
        <v>101.11199999999999</v>
      </c>
      <c r="L175" s="118">
        <f t="shared" si="12"/>
        <v>-2.2498519834222019E-3</v>
      </c>
      <c r="M175" s="43">
        <v>6090727.71</v>
      </c>
      <c r="T175" s="207">
        <f t="shared" si="15"/>
        <v>43551</v>
      </c>
      <c r="U175">
        <v>100.45699999999999</v>
      </c>
      <c r="V175" s="118">
        <f t="shared" si="10"/>
        <v>-1.7687683211607963E-3</v>
      </c>
      <c r="W175" s="43">
        <v>150686.65000000002</v>
      </c>
      <c r="AC175" s="43">
        <v>18306188.039999999</v>
      </c>
    </row>
    <row r="176" spans="2:29" x14ac:dyDescent="0.3">
      <c r="B176" s="207">
        <v>43552</v>
      </c>
      <c r="C176">
        <v>98.927999999999997</v>
      </c>
      <c r="D176" s="118">
        <f t="shared" si="13"/>
        <v>-4.7484909456740887E-3</v>
      </c>
      <c r="E176" s="43">
        <v>12007524.1</v>
      </c>
      <c r="K176">
        <v>100.639</v>
      </c>
      <c r="L176" s="118">
        <f t="shared" si="12"/>
        <v>-4.6779808529155975E-3</v>
      </c>
      <c r="M176" s="43">
        <v>6062254.0099999998</v>
      </c>
      <c r="T176" s="207">
        <f t="shared" si="15"/>
        <v>43552</v>
      </c>
      <c r="U176">
        <v>100.084</v>
      </c>
      <c r="V176" s="118">
        <f t="shared" si="10"/>
        <v>-3.7130314462903158E-3</v>
      </c>
      <c r="W176" s="43">
        <v>150127.37</v>
      </c>
      <c r="AC176" s="43">
        <v>18219905.48</v>
      </c>
    </row>
    <row r="177" spans="2:29" x14ac:dyDescent="0.3">
      <c r="B177" s="207">
        <v>43553</v>
      </c>
      <c r="C177">
        <v>99.31</v>
      </c>
      <c r="D177" s="118">
        <f t="shared" si="13"/>
        <v>3.8613941452370071E-3</v>
      </c>
      <c r="E177" s="43">
        <v>12070748.59</v>
      </c>
      <c r="K177">
        <v>101.018</v>
      </c>
      <c r="L177" s="118">
        <f t="shared" si="12"/>
        <v>3.7659356710619818E-3</v>
      </c>
      <c r="M177" s="43">
        <v>6072223.2400000002</v>
      </c>
      <c r="O177" s="118"/>
      <c r="T177" s="207">
        <f t="shared" si="15"/>
        <v>43553</v>
      </c>
      <c r="U177">
        <v>100.389</v>
      </c>
      <c r="V177" s="118">
        <f t="shared" si="10"/>
        <v>3.0474401502738058E-3</v>
      </c>
      <c r="W177" s="43">
        <v>150584.44</v>
      </c>
      <c r="AC177" s="43">
        <v>18293556.27</v>
      </c>
    </row>
    <row r="178" spans="2:29" x14ac:dyDescent="0.3">
      <c r="B178" s="207">
        <v>43556</v>
      </c>
      <c r="C178">
        <v>99.75</v>
      </c>
      <c r="D178" s="118">
        <f t="shared" si="13"/>
        <v>4.4305709394825143E-3</v>
      </c>
      <c r="E178" s="43">
        <v>12125560.310000001</v>
      </c>
      <c r="K178">
        <v>101.45699999999999</v>
      </c>
      <c r="L178" s="118">
        <f t="shared" si="12"/>
        <v>4.345760161555301E-3</v>
      </c>
      <c r="M178" s="43">
        <v>6111725.3499999996</v>
      </c>
      <c r="T178" s="207">
        <f t="shared" si="15"/>
        <v>43556</v>
      </c>
      <c r="U178">
        <v>100.748</v>
      </c>
      <c r="V178" s="118">
        <f t="shared" si="10"/>
        <v>3.5760890137366275E-3</v>
      </c>
      <c r="W178" s="43">
        <v>151123.38</v>
      </c>
      <c r="AC178" s="43">
        <v>18388409.039999999</v>
      </c>
    </row>
    <row r="179" spans="2:29" x14ac:dyDescent="0.3">
      <c r="B179" s="207">
        <v>43557</v>
      </c>
      <c r="C179">
        <v>99.697999999999993</v>
      </c>
      <c r="D179" s="118">
        <f t="shared" si="13"/>
        <v>-5.2130325814547795E-4</v>
      </c>
      <c r="E179" s="43">
        <v>12099998.779999999</v>
      </c>
      <c r="K179">
        <v>101.41200000000001</v>
      </c>
      <c r="L179" s="118">
        <f t="shared" si="12"/>
        <v>-4.435376563468596E-4</v>
      </c>
      <c r="M179" s="43">
        <v>6153594.7400000002</v>
      </c>
      <c r="T179" s="207">
        <f t="shared" si="15"/>
        <v>43557</v>
      </c>
      <c r="U179">
        <v>100.71599999999999</v>
      </c>
      <c r="V179" s="118">
        <f t="shared" si="10"/>
        <v>-3.1762417119951536E-4</v>
      </c>
      <c r="W179" s="43">
        <v>151074.19</v>
      </c>
      <c r="AC179" s="43">
        <v>18404667.710000001</v>
      </c>
    </row>
    <row r="180" spans="2:29" x14ac:dyDescent="0.3">
      <c r="B180" s="207">
        <v>43558</v>
      </c>
      <c r="C180">
        <v>100.145</v>
      </c>
      <c r="D180" s="118">
        <f t="shared" si="13"/>
        <v>4.4835402916809652E-3</v>
      </c>
      <c r="E180" s="43">
        <v>12163952.550000001</v>
      </c>
      <c r="K180">
        <v>101.879</v>
      </c>
      <c r="L180" s="118">
        <f t="shared" si="12"/>
        <v>4.6049777146688342E-3</v>
      </c>
      <c r="M180" s="43">
        <v>6205393.3700000001</v>
      </c>
      <c r="T180" s="207">
        <f t="shared" si="15"/>
        <v>43558</v>
      </c>
      <c r="U180">
        <v>101.09099999999999</v>
      </c>
      <c r="V180" s="118">
        <f t="shared" si="10"/>
        <v>3.7233408793042599E-3</v>
      </c>
      <c r="W180" s="43">
        <v>151637.44</v>
      </c>
      <c r="AC180" s="43">
        <v>18520983.360000003</v>
      </c>
    </row>
    <row r="181" spans="2:29" x14ac:dyDescent="0.3">
      <c r="B181" s="207">
        <v>43559</v>
      </c>
      <c r="C181">
        <v>100.295</v>
      </c>
      <c r="D181" s="118">
        <f t="shared" si="13"/>
        <v>1.4978281491837553E-3</v>
      </c>
      <c r="E181" s="43">
        <v>13775512.880000001</v>
      </c>
      <c r="K181">
        <v>102.032</v>
      </c>
      <c r="L181" s="118">
        <f t="shared" si="12"/>
        <v>1.5017815251425759E-3</v>
      </c>
      <c r="M181" s="43">
        <v>6215580.8099999996</v>
      </c>
      <c r="T181" s="207">
        <f t="shared" si="15"/>
        <v>43559</v>
      </c>
      <c r="U181">
        <v>101.21599999999999</v>
      </c>
      <c r="V181" s="118">
        <f t="shared" si="10"/>
        <v>1.2365096793978125E-3</v>
      </c>
      <c r="W181" s="43">
        <v>151824.87</v>
      </c>
      <c r="AC181" s="43">
        <v>20142918.560000002</v>
      </c>
    </row>
    <row r="182" spans="2:29" x14ac:dyDescent="0.3">
      <c r="B182" s="207">
        <v>43560</v>
      </c>
      <c r="C182">
        <v>100.39</v>
      </c>
      <c r="D182" s="118">
        <f t="shared" si="13"/>
        <v>9.4720574305795502E-4</v>
      </c>
      <c r="E182" s="43">
        <v>13765766.529999999</v>
      </c>
      <c r="K182">
        <v>102.13800000000001</v>
      </c>
      <c r="L182" s="118">
        <f t="shared" si="12"/>
        <v>1.0388897600752678E-3</v>
      </c>
      <c r="M182" s="43">
        <v>6229217.1100000003</v>
      </c>
      <c r="T182" s="207">
        <f t="shared" si="15"/>
        <v>43560</v>
      </c>
      <c r="U182">
        <v>101.303</v>
      </c>
      <c r="V182" s="118">
        <f t="shared" si="10"/>
        <v>8.5954789756570449E-4</v>
      </c>
      <c r="W182" s="43">
        <v>151955.75</v>
      </c>
      <c r="AC182" s="43">
        <v>20146939.390000001</v>
      </c>
    </row>
    <row r="183" spans="2:29" x14ac:dyDescent="0.3">
      <c r="B183" s="207">
        <v>43563</v>
      </c>
      <c r="C183">
        <v>100.322</v>
      </c>
      <c r="D183" s="118">
        <f t="shared" si="13"/>
        <v>-6.7735830261972385E-4</v>
      </c>
      <c r="E183" s="43">
        <v>13763087.23</v>
      </c>
      <c r="K183">
        <v>102.078</v>
      </c>
      <c r="L183" s="118">
        <f t="shared" si="12"/>
        <v>-5.8744052164716454E-4</v>
      </c>
      <c r="M183" s="43">
        <v>6236165.6699999999</v>
      </c>
      <c r="T183" s="207">
        <f t="shared" si="15"/>
        <v>43563</v>
      </c>
      <c r="U183">
        <v>101.26600000000001</v>
      </c>
      <c r="V183" s="118">
        <f t="shared" si="10"/>
        <v>-3.6524091093048661E-4</v>
      </c>
      <c r="W183" s="43">
        <v>151899.98000000001</v>
      </c>
      <c r="AC183" s="43">
        <v>20151152.879999999</v>
      </c>
    </row>
    <row r="184" spans="2:29" x14ac:dyDescent="0.3">
      <c r="B184" s="207">
        <v>43564</v>
      </c>
      <c r="C184">
        <v>100.374</v>
      </c>
      <c r="D184" s="118">
        <f t="shared" si="13"/>
        <v>5.1833097426290387E-4</v>
      </c>
      <c r="E184" s="43">
        <v>13795674.52</v>
      </c>
      <c r="K184">
        <v>102.133</v>
      </c>
      <c r="L184" s="118">
        <f t="shared" si="12"/>
        <v>5.3880365994629642E-4</v>
      </c>
      <c r="M184" s="43">
        <v>6246329.3399999999</v>
      </c>
      <c r="T184" s="207">
        <f t="shared" si="15"/>
        <v>43564</v>
      </c>
      <c r="U184">
        <v>101.313</v>
      </c>
      <c r="V184" s="118">
        <f t="shared" si="10"/>
        <v>4.64124187782744E-4</v>
      </c>
      <c r="W184" s="43">
        <v>151969.88</v>
      </c>
      <c r="AC184" s="43">
        <v>20193973.739999998</v>
      </c>
    </row>
    <row r="185" spans="2:29" x14ac:dyDescent="0.3">
      <c r="B185" s="207">
        <v>43565</v>
      </c>
      <c r="C185">
        <v>100.764</v>
      </c>
      <c r="D185" s="118">
        <f t="shared" si="13"/>
        <v>3.885468348377108E-3</v>
      </c>
      <c r="E185" s="43">
        <v>13852847.390000001</v>
      </c>
      <c r="K185">
        <v>102.52800000000001</v>
      </c>
      <c r="L185" s="118">
        <f t="shared" si="12"/>
        <v>3.8675060949939777E-3</v>
      </c>
      <c r="M185" s="43">
        <v>6368156.4299999997</v>
      </c>
      <c r="T185" s="207">
        <f t="shared" si="15"/>
        <v>43565</v>
      </c>
      <c r="U185">
        <v>101.63</v>
      </c>
      <c r="V185" s="118">
        <f t="shared" si="10"/>
        <v>3.128917315645463E-3</v>
      </c>
      <c r="W185" s="43">
        <v>152446.45000000001</v>
      </c>
      <c r="AC185" s="43">
        <v>20373450.27</v>
      </c>
    </row>
    <row r="186" spans="2:29" x14ac:dyDescent="0.3">
      <c r="B186" s="207">
        <v>43566</v>
      </c>
      <c r="C186">
        <v>100.53400000000001</v>
      </c>
      <c r="D186" s="118">
        <f t="shared" si="13"/>
        <v>-2.2825612321859534E-3</v>
      </c>
      <c r="E186" s="43">
        <v>13802375.76</v>
      </c>
      <c r="K186">
        <v>102.285</v>
      </c>
      <c r="L186" s="118">
        <f t="shared" ref="L186:L200" si="16">K186/K185-1</f>
        <v>-2.3700842696630087E-3</v>
      </c>
      <c r="M186" s="43">
        <v>6408248.8499999996</v>
      </c>
      <c r="T186" s="207">
        <f t="shared" si="15"/>
        <v>43566</v>
      </c>
      <c r="U186">
        <v>101.44</v>
      </c>
      <c r="V186" s="118">
        <f t="shared" si="10"/>
        <v>-1.8695267145527605E-3</v>
      </c>
      <c r="W186" s="43">
        <v>152161.47</v>
      </c>
      <c r="AC186" s="43">
        <v>20362786.079999998</v>
      </c>
    </row>
    <row r="187" spans="2:29" x14ac:dyDescent="0.3">
      <c r="B187" s="207">
        <v>43567</v>
      </c>
      <c r="C187">
        <v>100.502</v>
      </c>
      <c r="D187" s="118">
        <f t="shared" si="13"/>
        <v>-3.1830027652346438E-4</v>
      </c>
      <c r="E187" s="43">
        <v>13818595.029999999</v>
      </c>
      <c r="K187">
        <v>102.265</v>
      </c>
      <c r="L187" s="118">
        <f t="shared" si="16"/>
        <v>-1.9553209170453112E-4</v>
      </c>
      <c r="M187" s="43">
        <v>6425588.0800000001</v>
      </c>
      <c r="T187" s="207">
        <f t="shared" si="15"/>
        <v>43567</v>
      </c>
      <c r="U187">
        <v>101.428</v>
      </c>
      <c r="V187" s="118">
        <f t="shared" si="10"/>
        <v>-1.1829652996842022E-4</v>
      </c>
      <c r="W187" s="43">
        <v>152142.76</v>
      </c>
      <c r="AC187" s="43">
        <v>20396325.870000001</v>
      </c>
    </row>
    <row r="188" spans="2:29" x14ac:dyDescent="0.3">
      <c r="B188" s="207">
        <v>43570</v>
      </c>
      <c r="C188">
        <v>100.31100000000001</v>
      </c>
      <c r="D188" s="118">
        <f t="shared" si="13"/>
        <v>-1.900459692344314E-3</v>
      </c>
      <c r="E188" s="43">
        <v>13799925.33</v>
      </c>
      <c r="K188">
        <v>102.075</v>
      </c>
      <c r="L188" s="118">
        <f t="shared" si="16"/>
        <v>-1.8579181538160849E-3</v>
      </c>
      <c r="M188" s="43">
        <v>6434164.5099999998</v>
      </c>
      <c r="T188" s="207">
        <f t="shared" si="15"/>
        <v>43570</v>
      </c>
      <c r="U188">
        <v>101.28700000000001</v>
      </c>
      <c r="V188" s="118">
        <f t="shared" ref="V188:V252" si="17">U188/U187-1</f>
        <v>-1.3901486768939098E-3</v>
      </c>
      <c r="W188" s="43">
        <v>151931.04999999999</v>
      </c>
      <c r="AC188" s="43">
        <v>20386020.890000001</v>
      </c>
    </row>
    <row r="189" spans="2:29" x14ac:dyDescent="0.3">
      <c r="B189" s="207">
        <v>43571</v>
      </c>
      <c r="C189">
        <v>100.325</v>
      </c>
      <c r="D189" s="118">
        <f t="shared" si="13"/>
        <v>1.3956594989572579E-4</v>
      </c>
      <c r="E189" s="43">
        <v>13790099.960000001</v>
      </c>
      <c r="K189">
        <v>102.095</v>
      </c>
      <c r="L189" s="118">
        <f t="shared" si="16"/>
        <v>1.9593436198861447E-4</v>
      </c>
      <c r="M189" s="43">
        <v>6484754.3899999997</v>
      </c>
      <c r="T189" s="207">
        <f t="shared" si="15"/>
        <v>43571</v>
      </c>
      <c r="U189">
        <v>101.306</v>
      </c>
      <c r="V189" s="118">
        <f t="shared" si="17"/>
        <v>1.8758577112554242E-4</v>
      </c>
      <c r="W189" s="43">
        <v>151959.9</v>
      </c>
      <c r="AC189" s="43">
        <v>20426814.25</v>
      </c>
    </row>
    <row r="190" spans="2:29" x14ac:dyDescent="0.3">
      <c r="B190" s="207">
        <v>43572</v>
      </c>
      <c r="C190">
        <v>100.161</v>
      </c>
      <c r="D190" s="118">
        <f t="shared" si="13"/>
        <v>-1.6346872663842715E-3</v>
      </c>
      <c r="E190" s="43">
        <v>13864732.779999999</v>
      </c>
      <c r="K190">
        <v>101.926</v>
      </c>
      <c r="L190" s="118">
        <f t="shared" si="16"/>
        <v>-1.6553210245359162E-3</v>
      </c>
      <c r="M190" s="43">
        <v>6503933.4199999999</v>
      </c>
      <c r="T190" s="207">
        <f t="shared" si="15"/>
        <v>43572</v>
      </c>
      <c r="U190">
        <v>101.175</v>
      </c>
      <c r="V190" s="118">
        <f t="shared" si="17"/>
        <v>-1.2931119578307726E-3</v>
      </c>
      <c r="W190" s="43">
        <v>151762.61000000002</v>
      </c>
      <c r="AC190" s="43">
        <v>20520428.809999999</v>
      </c>
    </row>
    <row r="191" spans="2:29" x14ac:dyDescent="0.3">
      <c r="B191" s="207">
        <v>43573</v>
      </c>
      <c r="C191">
        <v>99.688000000000002</v>
      </c>
      <c r="D191" s="118">
        <f t="shared" si="13"/>
        <v>-4.7223969409251332E-3</v>
      </c>
      <c r="E191" s="43">
        <v>13764788.65</v>
      </c>
      <c r="K191">
        <v>101.453</v>
      </c>
      <c r="L191" s="118">
        <f t="shared" si="16"/>
        <v>-4.6406216274551548E-3</v>
      </c>
      <c r="M191" s="43">
        <v>6473766.4199999999</v>
      </c>
      <c r="T191" s="207">
        <f t="shared" si="15"/>
        <v>43573</v>
      </c>
      <c r="U191">
        <v>100.801</v>
      </c>
      <c r="V191" s="118">
        <f t="shared" si="17"/>
        <v>-3.6965653570545376E-3</v>
      </c>
      <c r="W191" s="43">
        <v>151202.68</v>
      </c>
      <c r="AC191" s="43">
        <v>20389757.75</v>
      </c>
    </row>
    <row r="192" spans="2:29" x14ac:dyDescent="0.3">
      <c r="B192" s="207">
        <v>43577</v>
      </c>
      <c r="C192">
        <v>99.923000000000002</v>
      </c>
      <c r="D192" s="118">
        <f t="shared" si="13"/>
        <v>2.3573549474360522E-3</v>
      </c>
      <c r="E192" s="43">
        <v>13792070.67</v>
      </c>
      <c r="K192">
        <v>101.705</v>
      </c>
      <c r="L192" s="118">
        <f t="shared" si="16"/>
        <v>2.4839088050623293E-3</v>
      </c>
      <c r="M192" s="43">
        <v>6507233.9000000004</v>
      </c>
      <c r="T192" s="207">
        <f t="shared" si="15"/>
        <v>43577</v>
      </c>
      <c r="U192">
        <v>101.015</v>
      </c>
      <c r="V192" s="118">
        <f t="shared" si="17"/>
        <v>2.1229948115593089E-3</v>
      </c>
      <c r="W192" s="43">
        <v>151523.84</v>
      </c>
      <c r="AC192" s="43">
        <v>20450828.41</v>
      </c>
    </row>
    <row r="193" spans="2:29" x14ac:dyDescent="0.3">
      <c r="B193" s="207">
        <v>43578</v>
      </c>
      <c r="C193">
        <v>100.27200000000001</v>
      </c>
      <c r="D193" s="118">
        <f t="shared" si="13"/>
        <v>3.4926893708155937E-3</v>
      </c>
      <c r="E193" s="43">
        <v>13827458.6</v>
      </c>
      <c r="K193">
        <v>102.06399999999999</v>
      </c>
      <c r="L193" s="118">
        <f t="shared" si="16"/>
        <v>3.5298166265178565E-3</v>
      </c>
      <c r="M193" s="43">
        <v>6530782.6100000003</v>
      </c>
      <c r="T193" s="207">
        <f t="shared" si="15"/>
        <v>43578</v>
      </c>
      <c r="U193">
        <v>101.30500000000001</v>
      </c>
      <c r="V193" s="118">
        <f t="shared" si="17"/>
        <v>2.870860763253047E-3</v>
      </c>
      <c r="W193" s="43">
        <v>151958.57</v>
      </c>
      <c r="AC193" s="43">
        <v>20510199.780000001</v>
      </c>
    </row>
    <row r="194" spans="2:29" x14ac:dyDescent="0.3">
      <c r="B194" s="207">
        <v>43579</v>
      </c>
      <c r="C194">
        <v>99.968000000000004</v>
      </c>
      <c r="D194" s="118">
        <f t="shared" si="13"/>
        <v>-3.0317536301260883E-3</v>
      </c>
      <c r="E194" s="43">
        <v>13758872.5</v>
      </c>
      <c r="K194">
        <v>101.759</v>
      </c>
      <c r="L194" s="118">
        <f t="shared" si="16"/>
        <v>-2.9883210534565885E-3</v>
      </c>
      <c r="M194" s="43">
        <v>6511693.4699999997</v>
      </c>
      <c r="T194" s="207">
        <f t="shared" si="15"/>
        <v>43579</v>
      </c>
      <c r="U194">
        <v>101.065</v>
      </c>
      <c r="V194" s="118">
        <f t="shared" si="17"/>
        <v>-2.3690834608361966E-3</v>
      </c>
      <c r="W194" s="43">
        <v>151598.27000000002</v>
      </c>
      <c r="AC194" s="43">
        <v>20422164.239999998</v>
      </c>
    </row>
    <row r="195" spans="2:29" x14ac:dyDescent="0.3">
      <c r="B195" s="207">
        <v>43580</v>
      </c>
      <c r="C195">
        <v>100.22499999999999</v>
      </c>
      <c r="D195" s="118">
        <f t="shared" si="13"/>
        <v>2.570822663252148E-3</v>
      </c>
      <c r="E195" s="43">
        <v>13763907.289999999</v>
      </c>
      <c r="K195">
        <v>102.024</v>
      </c>
      <c r="L195" s="118">
        <f t="shared" si="16"/>
        <v>2.6041922581785393E-3</v>
      </c>
      <c r="M195" s="43">
        <v>6528669.6900000004</v>
      </c>
      <c r="T195" s="207">
        <f t="shared" si="15"/>
        <v>43580</v>
      </c>
      <c r="U195">
        <v>101.28</v>
      </c>
      <c r="V195" s="118">
        <f t="shared" si="17"/>
        <v>2.1273437886508706E-3</v>
      </c>
      <c r="W195" s="43">
        <v>151920.1</v>
      </c>
      <c r="AC195" s="43">
        <v>20444497.080000002</v>
      </c>
    </row>
    <row r="196" spans="2:29" x14ac:dyDescent="0.3">
      <c r="B196" s="207">
        <v>43581</v>
      </c>
      <c r="C196">
        <v>99.912999999999997</v>
      </c>
      <c r="D196" s="118">
        <f t="shared" si="13"/>
        <v>-3.1129957595410485E-3</v>
      </c>
      <c r="E196" s="43">
        <v>13745751.51</v>
      </c>
      <c r="K196">
        <v>101.706</v>
      </c>
      <c r="L196" s="118">
        <f t="shared" si="16"/>
        <v>-3.116913667372323E-3</v>
      </c>
      <c r="M196" s="43">
        <v>6508291.7800000003</v>
      </c>
      <c r="T196" s="207">
        <f t="shared" si="15"/>
        <v>43581</v>
      </c>
      <c r="U196">
        <v>101.029</v>
      </c>
      <c r="V196" s="118">
        <f t="shared" si="17"/>
        <v>-2.4782780410742555E-3</v>
      </c>
      <c r="W196" s="43">
        <v>151544.56</v>
      </c>
      <c r="AC196" s="43">
        <v>20405587.849999998</v>
      </c>
    </row>
    <row r="197" spans="2:29" x14ac:dyDescent="0.3">
      <c r="B197" s="207">
        <v>43584</v>
      </c>
      <c r="C197">
        <v>100.324</v>
      </c>
      <c r="D197" s="118">
        <f t="shared" si="13"/>
        <v>4.1135788135677753E-3</v>
      </c>
      <c r="E197" s="43">
        <v>13786090.300000001</v>
      </c>
      <c r="K197">
        <v>102.134</v>
      </c>
      <c r="L197" s="118">
        <f t="shared" si="16"/>
        <v>4.2082079719976129E-3</v>
      </c>
      <c r="M197" s="43">
        <v>6534993.3300000001</v>
      </c>
      <c r="T197" s="207">
        <f t="shared" si="15"/>
        <v>43584</v>
      </c>
      <c r="U197">
        <v>101.38</v>
      </c>
      <c r="V197" s="118">
        <f t="shared" si="17"/>
        <v>3.4742499678310779E-3</v>
      </c>
      <c r="W197" s="43">
        <v>152071.24</v>
      </c>
      <c r="AC197" s="43">
        <v>20473154.870000001</v>
      </c>
    </row>
    <row r="198" spans="2:29" x14ac:dyDescent="0.3">
      <c r="B198" s="207">
        <v>43585</v>
      </c>
      <c r="C198">
        <v>100.32899999999999</v>
      </c>
      <c r="D198" s="118">
        <f t="shared" ref="D198:D258" si="18">C198/C197-1</f>
        <v>4.9838523184853045E-5</v>
      </c>
      <c r="E198" s="43">
        <v>13795798.85</v>
      </c>
      <c r="K198">
        <v>102.14</v>
      </c>
      <c r="L198" s="118">
        <f t="shared" si="16"/>
        <v>5.8746352830540971E-5</v>
      </c>
      <c r="M198" s="43">
        <v>6513932.3600000003</v>
      </c>
      <c r="T198" s="207">
        <f t="shared" si="15"/>
        <v>43585</v>
      </c>
      <c r="U198">
        <v>101.38800000000001</v>
      </c>
      <c r="V198" s="118">
        <f t="shared" si="17"/>
        <v>7.8911027816319645E-5</v>
      </c>
      <c r="W198" s="43">
        <v>152083.42000000001</v>
      </c>
      <c r="AC198" s="43">
        <v>20461814.630000003</v>
      </c>
    </row>
    <row r="199" spans="2:29" x14ac:dyDescent="0.3">
      <c r="B199" s="207">
        <v>43587</v>
      </c>
      <c r="C199">
        <v>99.722999999999999</v>
      </c>
      <c r="D199" s="118">
        <f t="shared" si="18"/>
        <v>-6.0401279789491502E-3</v>
      </c>
      <c r="E199" s="43">
        <v>13698471.109999999</v>
      </c>
      <c r="K199">
        <v>101.524</v>
      </c>
      <c r="L199" s="118">
        <f t="shared" si="16"/>
        <v>-6.0309379283336462E-3</v>
      </c>
      <c r="M199" s="43">
        <v>6487481.5800000001</v>
      </c>
      <c r="T199" s="207">
        <f t="shared" si="15"/>
        <v>43587</v>
      </c>
      <c r="U199">
        <v>100.904</v>
      </c>
      <c r="V199" s="118">
        <f t="shared" si="17"/>
        <v>-4.773740482108435E-3</v>
      </c>
      <c r="W199" s="43">
        <v>151357.44</v>
      </c>
      <c r="AC199" s="43">
        <v>20337310.129999999</v>
      </c>
    </row>
    <row r="200" spans="2:29" x14ac:dyDescent="0.3">
      <c r="B200" s="207">
        <v>43588</v>
      </c>
      <c r="C200">
        <v>100.062</v>
      </c>
      <c r="D200" s="118">
        <f t="shared" si="18"/>
        <v>3.3994163833819258E-3</v>
      </c>
      <c r="E200" s="43">
        <v>13764673.039999999</v>
      </c>
      <c r="K200">
        <v>101.873</v>
      </c>
      <c r="L200" s="118">
        <f t="shared" si="16"/>
        <v>3.4376108112368353E-3</v>
      </c>
      <c r="M200" s="43">
        <v>6538667.4500000002</v>
      </c>
      <c r="T200" s="207">
        <f t="shared" si="15"/>
        <v>43588</v>
      </c>
      <c r="U200">
        <v>101.18600000000001</v>
      </c>
      <c r="V200" s="118">
        <f t="shared" si="17"/>
        <v>2.794735590264219E-3</v>
      </c>
      <c r="W200" s="43">
        <v>151779.95000000001</v>
      </c>
      <c r="AC200" s="43">
        <v>20455120.439999998</v>
      </c>
    </row>
    <row r="201" spans="2:29" x14ac:dyDescent="0.3">
      <c r="B201" s="207">
        <v>43591</v>
      </c>
      <c r="C201">
        <v>99.444000000000003</v>
      </c>
      <c r="D201" s="118">
        <f t="shared" si="18"/>
        <v>-6.1761707741200267E-3</v>
      </c>
      <c r="E201" s="43">
        <v>13655082.390000001</v>
      </c>
      <c r="K201">
        <v>101.259</v>
      </c>
      <c r="L201" s="118">
        <f t="shared" ref="L201:L288" si="19">K201/K200-1</f>
        <v>-6.0271121887055523E-3</v>
      </c>
      <c r="M201" s="43">
        <v>6513200.9100000001</v>
      </c>
      <c r="T201" s="207">
        <f t="shared" si="15"/>
        <v>43591</v>
      </c>
      <c r="U201">
        <v>100.70699999999999</v>
      </c>
      <c r="V201" s="118">
        <f t="shared" si="17"/>
        <v>-4.7338564623565782E-3</v>
      </c>
      <c r="W201" s="43">
        <v>151060.85999999999</v>
      </c>
      <c r="AC201" s="43">
        <v>20319344.16</v>
      </c>
    </row>
    <row r="202" spans="2:29" x14ac:dyDescent="0.3">
      <c r="B202" s="207">
        <v>43592</v>
      </c>
      <c r="C202">
        <v>99.37</v>
      </c>
      <c r="D202" s="118">
        <f t="shared" si="18"/>
        <v>-7.4413740396606087E-4</v>
      </c>
      <c r="E202" s="43">
        <v>13640917.82</v>
      </c>
      <c r="K202">
        <v>101.18899999999999</v>
      </c>
      <c r="L202" s="118">
        <f t="shared" si="19"/>
        <v>-6.9129657610689232E-4</v>
      </c>
      <c r="M202" s="43">
        <v>6508683.4500000002</v>
      </c>
      <c r="T202" s="207">
        <f t="shared" si="15"/>
        <v>43592</v>
      </c>
      <c r="U202">
        <v>100.654</v>
      </c>
      <c r="V202" s="118">
        <f t="shared" si="17"/>
        <v>-5.2627920601344691E-4</v>
      </c>
      <c r="W202" s="43">
        <v>150981.92000000001</v>
      </c>
      <c r="AC202" s="43">
        <v>20300583.190000001</v>
      </c>
    </row>
    <row r="203" spans="2:29" x14ac:dyDescent="0.3">
      <c r="B203" s="207">
        <v>43593</v>
      </c>
      <c r="C203">
        <v>98.558000000000007</v>
      </c>
      <c r="D203" s="118">
        <f t="shared" si="18"/>
        <v>-8.1714803260540814E-3</v>
      </c>
      <c r="E203" s="43">
        <v>13545397.82</v>
      </c>
      <c r="K203">
        <v>100.36</v>
      </c>
      <c r="L203" s="118">
        <f t="shared" si="19"/>
        <v>-8.1925901036673521E-3</v>
      </c>
      <c r="M203" s="43">
        <v>6468521.6500000004</v>
      </c>
      <c r="T203" s="207">
        <f t="shared" si="15"/>
        <v>43593</v>
      </c>
      <c r="U203">
        <v>99.995999999999995</v>
      </c>
      <c r="V203" s="118">
        <f t="shared" si="17"/>
        <v>-6.5372464084885173E-3</v>
      </c>
      <c r="W203" s="43">
        <v>149994.15</v>
      </c>
      <c r="AC203" s="43">
        <v>20163913.619999997</v>
      </c>
    </row>
    <row r="204" spans="2:29" x14ac:dyDescent="0.3">
      <c r="B204" s="207">
        <v>43594</v>
      </c>
      <c r="C204">
        <v>98.322999999999993</v>
      </c>
      <c r="D204" s="118">
        <f t="shared" si="18"/>
        <v>-2.3843827999757705E-3</v>
      </c>
      <c r="E204" s="43">
        <v>13482397.460000001</v>
      </c>
      <c r="K204">
        <v>100.128</v>
      </c>
      <c r="L204" s="118">
        <f t="shared" si="19"/>
        <v>-2.3116779593463921E-3</v>
      </c>
      <c r="M204" s="43">
        <v>6453614.5</v>
      </c>
      <c r="T204" s="207">
        <f t="shared" si="15"/>
        <v>43594</v>
      </c>
      <c r="U204">
        <v>99.769000000000005</v>
      </c>
      <c r="V204" s="118">
        <f t="shared" si="17"/>
        <v>-2.2700908036320522E-3</v>
      </c>
      <c r="W204" s="43">
        <v>149654.63</v>
      </c>
      <c r="AC204" s="43">
        <v>20085666.59</v>
      </c>
    </row>
    <row r="205" spans="2:29" x14ac:dyDescent="0.3">
      <c r="B205" s="207">
        <v>43595</v>
      </c>
      <c r="C205">
        <v>98.228999999999999</v>
      </c>
      <c r="D205" s="118">
        <f t="shared" si="18"/>
        <v>-9.5603266783961249E-4</v>
      </c>
      <c r="E205" s="43">
        <v>13491273.09</v>
      </c>
      <c r="K205">
        <v>100.032</v>
      </c>
      <c r="L205" s="118">
        <f t="shared" si="19"/>
        <v>-9.5877277085332224E-4</v>
      </c>
      <c r="M205" s="43">
        <v>6503155.3099999996</v>
      </c>
      <c r="T205" s="207">
        <f t="shared" si="15"/>
        <v>43595</v>
      </c>
      <c r="U205">
        <v>99.677000000000007</v>
      </c>
      <c r="V205" s="118">
        <f t="shared" si="17"/>
        <v>-9.2213012057851262E-4</v>
      </c>
      <c r="W205" s="43">
        <v>149516.56</v>
      </c>
      <c r="AC205" s="43">
        <v>20143944.959999997</v>
      </c>
    </row>
    <row r="206" spans="2:29" x14ac:dyDescent="0.3">
      <c r="B206" s="207">
        <v>43598</v>
      </c>
      <c r="C206">
        <v>97.433000000000007</v>
      </c>
      <c r="D206" s="118">
        <f t="shared" si="18"/>
        <v>-8.1035132191104031E-3</v>
      </c>
      <c r="E206" s="43">
        <v>13317923.42</v>
      </c>
      <c r="K206">
        <v>99.238</v>
      </c>
      <c r="L206" s="118">
        <f t="shared" si="19"/>
        <v>-7.9374600127958272E-3</v>
      </c>
      <c r="M206" s="43">
        <v>6459697.0899999999</v>
      </c>
      <c r="T206" s="207">
        <f t="shared" si="15"/>
        <v>43598</v>
      </c>
      <c r="U206">
        <v>98.897999999999996</v>
      </c>
      <c r="V206" s="118">
        <f t="shared" si="17"/>
        <v>-7.8152432356513035E-3</v>
      </c>
      <c r="W206" s="43">
        <v>148347.85</v>
      </c>
      <c r="AC206" s="43">
        <v>19925968.359999999</v>
      </c>
    </row>
    <row r="207" spans="2:29" x14ac:dyDescent="0.3">
      <c r="B207" s="207">
        <v>43599</v>
      </c>
      <c r="C207">
        <v>97.034000000000006</v>
      </c>
      <c r="D207" s="118">
        <f t="shared" si="18"/>
        <v>-4.0951217759896963E-3</v>
      </c>
      <c r="E207" s="43">
        <v>13268679.859999999</v>
      </c>
      <c r="K207">
        <v>98.832999999999998</v>
      </c>
      <c r="L207" s="118">
        <f t="shared" si="19"/>
        <v>-4.0810979665047986E-3</v>
      </c>
      <c r="M207" s="43">
        <v>6436151.4199999999</v>
      </c>
      <c r="T207" s="207">
        <f t="shared" si="15"/>
        <v>43599</v>
      </c>
      <c r="U207">
        <v>98.498999999999995</v>
      </c>
      <c r="V207" s="118">
        <f t="shared" si="17"/>
        <v>-4.0344597464053722E-3</v>
      </c>
      <c r="W207" s="43">
        <v>147748.65</v>
      </c>
      <c r="AC207" s="43">
        <v>19852579.93</v>
      </c>
    </row>
    <row r="208" spans="2:29" x14ac:dyDescent="0.3">
      <c r="B208" s="207">
        <v>43600</v>
      </c>
      <c r="C208">
        <v>97.501999999999995</v>
      </c>
      <c r="D208" s="118">
        <f t="shared" si="18"/>
        <v>4.8230517138321272E-3</v>
      </c>
      <c r="E208" s="43">
        <v>13330693.51</v>
      </c>
      <c r="K208">
        <v>99.316000000000003</v>
      </c>
      <c r="L208" s="118">
        <f t="shared" si="19"/>
        <v>4.8870316594660235E-3</v>
      </c>
      <c r="M208" s="43">
        <v>6467599.0700000003</v>
      </c>
      <c r="T208" s="207">
        <f t="shared" si="15"/>
        <v>43600</v>
      </c>
      <c r="U208">
        <v>98.983999999999995</v>
      </c>
      <c r="V208" s="118">
        <f t="shared" si="17"/>
        <v>4.9239078569325301E-3</v>
      </c>
      <c r="W208" s="43">
        <v>148476.67000000001</v>
      </c>
      <c r="AC208" s="43">
        <v>19946769.25</v>
      </c>
    </row>
    <row r="209" spans="2:29" x14ac:dyDescent="0.3">
      <c r="B209" s="207">
        <v>43601</v>
      </c>
      <c r="C209">
        <v>98.13</v>
      </c>
      <c r="D209" s="118">
        <f t="shared" si="18"/>
        <v>6.4408935201329953E-3</v>
      </c>
      <c r="E209" s="43">
        <v>13402406.99</v>
      </c>
      <c r="K209">
        <v>99.960999999999999</v>
      </c>
      <c r="L209" s="118">
        <f t="shared" si="19"/>
        <v>6.4944218454225933E-3</v>
      </c>
      <c r="M209" s="43">
        <v>6509628.2800000003</v>
      </c>
      <c r="T209" s="207">
        <f t="shared" si="15"/>
        <v>43601</v>
      </c>
      <c r="U209">
        <v>99.631</v>
      </c>
      <c r="V209" s="118">
        <f t="shared" si="17"/>
        <v>6.5364099248363949E-3</v>
      </c>
      <c r="W209" s="43">
        <v>149447.67999999999</v>
      </c>
      <c r="AC209" s="43">
        <v>20061482.949999999</v>
      </c>
    </row>
    <row r="210" spans="2:29" x14ac:dyDescent="0.3">
      <c r="B210" s="207">
        <v>43602</v>
      </c>
      <c r="C210">
        <v>97.8</v>
      </c>
      <c r="D210" s="118">
        <f t="shared" si="18"/>
        <v>-3.3628859675940426E-3</v>
      </c>
      <c r="E210" s="43">
        <v>13383336.029999999</v>
      </c>
      <c r="K210">
        <v>99.637</v>
      </c>
      <c r="L210" s="118">
        <f t="shared" si="19"/>
        <v>-3.2412640929962988E-3</v>
      </c>
      <c r="M210" s="43">
        <v>6652822.0899999999</v>
      </c>
      <c r="T210" s="207">
        <f t="shared" si="15"/>
        <v>43602</v>
      </c>
      <c r="U210">
        <v>99.311999999999998</v>
      </c>
      <c r="V210" s="118">
        <f t="shared" si="17"/>
        <v>-3.2018146962291549E-3</v>
      </c>
      <c r="W210" s="43">
        <v>148969.04</v>
      </c>
      <c r="AC210" s="43">
        <v>20185127.159999996</v>
      </c>
    </row>
    <row r="211" spans="2:29" x14ac:dyDescent="0.3">
      <c r="B211" s="207">
        <v>43606</v>
      </c>
      <c r="C211">
        <v>97.605000000000004</v>
      </c>
      <c r="D211" s="118">
        <f t="shared" si="18"/>
        <v>-1.9938650306747796E-3</v>
      </c>
      <c r="E211" s="43">
        <v>13358102.310000001</v>
      </c>
      <c r="K211">
        <v>99.444999999999993</v>
      </c>
      <c r="L211" s="118">
        <f t="shared" si="19"/>
        <v>-1.9269949918203633E-3</v>
      </c>
      <c r="M211" s="43">
        <v>6703364.0300000003</v>
      </c>
      <c r="T211" s="207">
        <f t="shared" si="15"/>
        <v>43606</v>
      </c>
      <c r="U211">
        <v>99.137</v>
      </c>
      <c r="V211" s="118">
        <f t="shared" si="17"/>
        <v>-1.7621234090542393E-3</v>
      </c>
      <c r="W211" s="43">
        <v>148706.98000000001</v>
      </c>
      <c r="AC211" s="43">
        <v>20210173.32</v>
      </c>
    </row>
    <row r="212" spans="2:29" x14ac:dyDescent="0.3">
      <c r="B212" s="207">
        <v>43607</v>
      </c>
      <c r="C212">
        <v>97.751000000000005</v>
      </c>
      <c r="D212" s="118">
        <f t="shared" si="18"/>
        <v>1.495825008964724E-3</v>
      </c>
      <c r="E212" s="43">
        <v>13355843.68</v>
      </c>
      <c r="K212">
        <v>99.6</v>
      </c>
      <c r="L212" s="118">
        <f t="shared" si="19"/>
        <v>1.5586505103324377E-3</v>
      </c>
      <c r="M212" s="43">
        <v>6731773.0199999996</v>
      </c>
      <c r="T212" s="207">
        <f t="shared" si="15"/>
        <v>43607</v>
      </c>
      <c r="U212">
        <v>99.296000000000006</v>
      </c>
      <c r="V212" s="118">
        <f t="shared" si="17"/>
        <v>1.6038411491170468E-3</v>
      </c>
      <c r="W212" s="43">
        <v>148944.71</v>
      </c>
      <c r="AC212" s="43">
        <v>20236561.41</v>
      </c>
    </row>
    <row r="213" spans="2:29" x14ac:dyDescent="0.3">
      <c r="B213" s="207">
        <v>43608</v>
      </c>
      <c r="C213">
        <v>97.096000000000004</v>
      </c>
      <c r="D213" s="118">
        <f t="shared" si="18"/>
        <v>-6.7006987140796337E-3</v>
      </c>
      <c r="E213" s="43">
        <v>13248034.98</v>
      </c>
      <c r="K213">
        <v>98.936000000000007</v>
      </c>
      <c r="L213" s="118">
        <f t="shared" si="19"/>
        <v>-6.6666666666664876E-3</v>
      </c>
      <c r="M213" s="43">
        <v>6688385.3700000001</v>
      </c>
      <c r="T213" s="207">
        <f t="shared" si="15"/>
        <v>43608</v>
      </c>
      <c r="U213">
        <v>98.638000000000005</v>
      </c>
      <c r="V213" s="118">
        <f t="shared" si="17"/>
        <v>-6.6266516274573473E-3</v>
      </c>
      <c r="W213" s="43">
        <v>147957.96</v>
      </c>
      <c r="AC213" s="43">
        <v>20084378.310000002</v>
      </c>
    </row>
    <row r="214" spans="2:29" x14ac:dyDescent="0.3">
      <c r="B214" s="207">
        <v>43609</v>
      </c>
      <c r="C214">
        <v>97.346000000000004</v>
      </c>
      <c r="D214" s="118">
        <f t="shared" si="18"/>
        <v>2.5747713603032629E-3</v>
      </c>
      <c r="E214" s="43">
        <v>13332428.15</v>
      </c>
      <c r="K214">
        <v>99.191999999999993</v>
      </c>
      <c r="L214" s="118">
        <f t="shared" si="19"/>
        <v>2.587531333387183E-3</v>
      </c>
      <c r="M214" s="43">
        <v>6772733.6100000003</v>
      </c>
      <c r="T214" s="207">
        <f t="shared" si="15"/>
        <v>43609</v>
      </c>
      <c r="U214">
        <v>98.897000000000006</v>
      </c>
      <c r="V214" s="118">
        <f t="shared" si="17"/>
        <v>2.625762890569483E-3</v>
      </c>
      <c r="W214" s="43">
        <v>148346.32</v>
      </c>
      <c r="AC214" s="43">
        <v>20253508.080000002</v>
      </c>
    </row>
    <row r="215" spans="2:29" x14ac:dyDescent="0.3">
      <c r="B215" s="207">
        <v>43612</v>
      </c>
      <c r="C215">
        <v>97.332999999999998</v>
      </c>
      <c r="D215" s="118">
        <f t="shared" si="18"/>
        <v>-1.3354426478751069E-4</v>
      </c>
      <c r="E215" s="43">
        <v>13336401.85</v>
      </c>
      <c r="K215">
        <v>99.185000000000002</v>
      </c>
      <c r="L215" s="118">
        <f t="shared" si="19"/>
        <v>-7.0570207274633923E-5</v>
      </c>
      <c r="M215" s="43">
        <v>6824011.6500000004</v>
      </c>
      <c r="T215" s="207">
        <f t="shared" si="15"/>
        <v>43612</v>
      </c>
      <c r="U215">
        <v>98.902000000000001</v>
      </c>
      <c r="V215" s="118">
        <f t="shared" si="17"/>
        <v>5.0557650889349048E-5</v>
      </c>
      <c r="W215" s="43">
        <v>148354.32</v>
      </c>
      <c r="AC215" s="43">
        <v>20308767.82</v>
      </c>
    </row>
    <row r="216" spans="2:29" x14ac:dyDescent="0.3">
      <c r="B216" s="207">
        <v>43613</v>
      </c>
      <c r="C216">
        <v>97.644999999999996</v>
      </c>
      <c r="D216" s="118">
        <f t="shared" si="18"/>
        <v>3.2054904297618148E-3</v>
      </c>
      <c r="E216" s="43">
        <v>13351505.539999999</v>
      </c>
      <c r="K216">
        <v>99.498999999999995</v>
      </c>
      <c r="L216" s="118">
        <f t="shared" si="19"/>
        <v>3.1658012804354208E-3</v>
      </c>
      <c r="M216" s="43">
        <v>6846615.4199999999</v>
      </c>
      <c r="T216" s="207">
        <f t="shared" si="15"/>
        <v>43613</v>
      </c>
      <c r="U216">
        <v>99.22</v>
      </c>
      <c r="V216" s="118">
        <f t="shared" si="17"/>
        <v>3.2153040383409159E-3</v>
      </c>
      <c r="W216" s="43">
        <v>148830.32999999999</v>
      </c>
      <c r="AC216" s="43">
        <v>20346951.289999999</v>
      </c>
    </row>
    <row r="217" spans="2:29" x14ac:dyDescent="0.3">
      <c r="B217" s="207">
        <v>43614</v>
      </c>
      <c r="C217">
        <v>97.063000000000002</v>
      </c>
      <c r="D217" s="118">
        <f t="shared" si="18"/>
        <v>-5.9603666342361583E-3</v>
      </c>
      <c r="E217" s="43">
        <v>13229200.970000001</v>
      </c>
      <c r="K217">
        <v>98.902000000000001</v>
      </c>
      <c r="L217" s="118">
        <f t="shared" si="19"/>
        <v>-6.0000603021135301E-3</v>
      </c>
      <c r="M217" s="43">
        <v>6805688.9900000002</v>
      </c>
      <c r="T217" s="207">
        <f t="shared" si="15"/>
        <v>43614</v>
      </c>
      <c r="U217">
        <v>98.628</v>
      </c>
      <c r="V217" s="118">
        <f t="shared" si="17"/>
        <v>-5.9665390042330513E-3</v>
      </c>
      <c r="W217" s="43">
        <v>147943.32</v>
      </c>
      <c r="AC217" s="43">
        <v>20182833.280000001</v>
      </c>
    </row>
    <row r="218" spans="2:29" x14ac:dyDescent="0.3">
      <c r="B218" s="207">
        <v>43615</v>
      </c>
      <c r="C218">
        <v>97.061999999999998</v>
      </c>
      <c r="D218" s="118">
        <f t="shared" si="18"/>
        <v>-1.0302586979649142E-5</v>
      </c>
      <c r="E218" s="43">
        <v>13252987.93</v>
      </c>
      <c r="K218">
        <v>98.906000000000006</v>
      </c>
      <c r="L218" s="118">
        <f t="shared" si="19"/>
        <v>4.0444075954049197E-5</v>
      </c>
      <c r="M218" s="43">
        <v>6820455.0800000001</v>
      </c>
      <c r="T218" s="207">
        <f t="shared" si="15"/>
        <v>43615</v>
      </c>
      <c r="U218">
        <v>98.637</v>
      </c>
      <c r="V218" s="118">
        <f t="shared" si="17"/>
        <v>9.1251977126116657E-5</v>
      </c>
      <c r="W218" s="43">
        <v>147955.65</v>
      </c>
      <c r="AC218" s="43">
        <v>20221398.659999996</v>
      </c>
    </row>
    <row r="219" spans="2:29" x14ac:dyDescent="0.3">
      <c r="B219" s="207">
        <v>43616</v>
      </c>
      <c r="C219">
        <v>96.94</v>
      </c>
      <c r="D219" s="118">
        <f t="shared" si="18"/>
        <v>-1.256928561125914E-3</v>
      </c>
      <c r="E219" s="43">
        <v>13268550.439999999</v>
      </c>
      <c r="K219">
        <v>98.787000000000006</v>
      </c>
      <c r="L219" s="118">
        <f t="shared" si="19"/>
        <v>-1.2031625988312422E-3</v>
      </c>
      <c r="M219" s="43">
        <v>6812736.6299999999</v>
      </c>
      <c r="T219" s="207">
        <f t="shared" si="15"/>
        <v>43616</v>
      </c>
      <c r="U219">
        <v>98.521000000000001</v>
      </c>
      <c r="V219" s="118">
        <f t="shared" si="17"/>
        <v>-1.176029279073787E-3</v>
      </c>
      <c r="W219" s="43">
        <v>147782.81</v>
      </c>
      <c r="AC219" s="43">
        <v>20229069.879999999</v>
      </c>
    </row>
    <row r="220" spans="2:29" x14ac:dyDescent="0.3">
      <c r="B220" s="207">
        <v>43619</v>
      </c>
      <c r="C220">
        <v>96.528999999999996</v>
      </c>
      <c r="D220" s="118">
        <f t="shared" si="18"/>
        <v>-4.2397359191252981E-3</v>
      </c>
      <c r="E220" s="43">
        <v>13287645.380000001</v>
      </c>
      <c r="K220">
        <v>98.376000000000005</v>
      </c>
      <c r="L220" s="118">
        <f t="shared" si="19"/>
        <v>-4.1604664581371686E-3</v>
      </c>
      <c r="M220" s="43">
        <v>6822943.4900000002</v>
      </c>
      <c r="T220" s="207">
        <f t="shared" si="15"/>
        <v>43619</v>
      </c>
      <c r="U220">
        <v>98.123999999999995</v>
      </c>
      <c r="V220" s="118">
        <f t="shared" si="17"/>
        <v>-4.0295977507334158E-3</v>
      </c>
      <c r="W220" s="43">
        <v>147186.67000000001</v>
      </c>
      <c r="AC220" s="43">
        <v>20257775.540000003</v>
      </c>
    </row>
    <row r="221" spans="2:29" x14ac:dyDescent="0.3">
      <c r="B221" s="207">
        <v>43620</v>
      </c>
      <c r="C221">
        <v>96.683000000000007</v>
      </c>
      <c r="D221" s="118">
        <f t="shared" si="18"/>
        <v>1.595375483015582E-3</v>
      </c>
      <c r="E221" s="43">
        <v>13711610.91</v>
      </c>
      <c r="K221">
        <v>98.531999999999996</v>
      </c>
      <c r="L221" s="118">
        <f t="shared" si="19"/>
        <v>1.5857526225908636E-3</v>
      </c>
      <c r="M221" s="43">
        <v>6833839.7400000002</v>
      </c>
      <c r="T221" s="207">
        <f t="shared" si="15"/>
        <v>43620</v>
      </c>
      <c r="U221">
        <v>98.283000000000001</v>
      </c>
      <c r="V221" s="118">
        <f t="shared" si="17"/>
        <v>1.6203986792222569E-3</v>
      </c>
      <c r="W221" s="43">
        <v>147425.73000000001</v>
      </c>
      <c r="AC221" s="43">
        <v>20692876.379999999</v>
      </c>
    </row>
    <row r="222" spans="2:29" x14ac:dyDescent="0.3">
      <c r="B222" s="207">
        <v>43622</v>
      </c>
      <c r="C222">
        <v>97.539000000000001</v>
      </c>
      <c r="D222" s="118">
        <f t="shared" si="18"/>
        <v>8.8536764477724628E-3</v>
      </c>
      <c r="E222" s="43">
        <v>13903119.23</v>
      </c>
      <c r="K222">
        <v>99.414000000000001</v>
      </c>
      <c r="L222" s="118">
        <f t="shared" si="19"/>
        <v>8.9514066496163558E-3</v>
      </c>
      <c r="M222" s="43">
        <v>6913949.4699999997</v>
      </c>
      <c r="T222" s="207">
        <f t="shared" si="15"/>
        <v>43622</v>
      </c>
      <c r="U222">
        <v>99.171999999999997</v>
      </c>
      <c r="V222" s="118">
        <f t="shared" si="17"/>
        <v>9.0453079372831979E-3</v>
      </c>
      <c r="W222" s="212">
        <v>148758.35999999999</v>
      </c>
      <c r="AC222" s="43">
        <v>20965827.059999999</v>
      </c>
    </row>
    <row r="223" spans="2:29" x14ac:dyDescent="0.3">
      <c r="B223" s="207">
        <v>43623</v>
      </c>
      <c r="C223">
        <v>98.391999999999996</v>
      </c>
      <c r="D223" s="118">
        <f t="shared" si="18"/>
        <v>8.7452198607735898E-3</v>
      </c>
      <c r="E223" s="43">
        <v>14050368.380000001</v>
      </c>
      <c r="K223">
        <v>100.29600000000001</v>
      </c>
      <c r="L223" s="118">
        <f t="shared" si="19"/>
        <v>8.8719898605831293E-3</v>
      </c>
      <c r="M223" s="43">
        <v>6975713.0099999998</v>
      </c>
      <c r="T223" s="207">
        <f t="shared" si="15"/>
        <v>43623</v>
      </c>
      <c r="U223">
        <v>100.044</v>
      </c>
      <c r="V223" s="118">
        <f t="shared" si="17"/>
        <v>8.7928044206024847E-3</v>
      </c>
      <c r="W223" s="43">
        <v>150066.81</v>
      </c>
      <c r="AC223" s="43">
        <v>21176148.199999999</v>
      </c>
    </row>
    <row r="224" spans="2:29" x14ac:dyDescent="0.3">
      <c r="B224" s="207">
        <v>43626</v>
      </c>
      <c r="C224">
        <v>98.481999999999999</v>
      </c>
      <c r="D224" s="118">
        <f t="shared" si="18"/>
        <v>9.1470851288733002E-4</v>
      </c>
      <c r="E224" s="43">
        <v>14014317.880000001</v>
      </c>
      <c r="K224">
        <v>100.38200000000001</v>
      </c>
      <c r="L224" s="118">
        <f t="shared" si="19"/>
        <v>8.5746191273838868E-4</v>
      </c>
      <c r="M224" s="43">
        <v>6996535.9100000001</v>
      </c>
      <c r="T224" s="207">
        <f t="shared" si="15"/>
        <v>43626</v>
      </c>
      <c r="U224">
        <v>100.123</v>
      </c>
      <c r="V224" s="118">
        <f t="shared" si="17"/>
        <v>7.8965255287677394E-4</v>
      </c>
      <c r="W224" s="43">
        <v>150185.37999999998</v>
      </c>
      <c r="AC224" s="43">
        <v>21161039.169999998</v>
      </c>
    </row>
    <row r="225" spans="2:29" x14ac:dyDescent="0.3">
      <c r="B225" s="207">
        <v>43627</v>
      </c>
      <c r="C225">
        <v>99.204999999999998</v>
      </c>
      <c r="D225" s="118">
        <f t="shared" si="18"/>
        <v>7.3414431063545393E-3</v>
      </c>
      <c r="E225" s="43">
        <v>14137999.1</v>
      </c>
      <c r="K225">
        <v>101.127</v>
      </c>
      <c r="L225" s="118">
        <f t="shared" si="19"/>
        <v>7.4216492996750372E-3</v>
      </c>
      <c r="M225" s="43">
        <v>7051468.21</v>
      </c>
      <c r="T225" s="207">
        <f t="shared" si="15"/>
        <v>43627</v>
      </c>
      <c r="U225">
        <v>100.721</v>
      </c>
      <c r="V225" s="118">
        <f t="shared" si="17"/>
        <v>5.9726536360276139E-3</v>
      </c>
      <c r="W225" s="43">
        <v>151082</v>
      </c>
      <c r="AC225" s="43">
        <v>21340549.309999999</v>
      </c>
    </row>
    <row r="226" spans="2:29" x14ac:dyDescent="0.3">
      <c r="B226" s="207">
        <v>43628</v>
      </c>
      <c r="C226">
        <v>99.14</v>
      </c>
      <c r="D226" s="118">
        <f t="shared" si="18"/>
        <v>-6.5520891084114297E-4</v>
      </c>
      <c r="E226" s="43">
        <v>14125566.74</v>
      </c>
      <c r="K226">
        <v>101.06100000000001</v>
      </c>
      <c r="L226" s="118">
        <f t="shared" si="19"/>
        <v>-6.5264469429515692E-4</v>
      </c>
      <c r="M226" s="43">
        <v>7046731.7800000003</v>
      </c>
      <c r="T226" s="207">
        <f t="shared" si="15"/>
        <v>43628</v>
      </c>
      <c r="U226">
        <v>100.672</v>
      </c>
      <c r="V226" s="118">
        <f t="shared" si="17"/>
        <v>-4.8649238986908649E-4</v>
      </c>
      <c r="W226" s="43">
        <v>151008.00999999998</v>
      </c>
      <c r="AC226" s="43">
        <v>21323306.530000001</v>
      </c>
    </row>
    <row r="227" spans="2:29" x14ac:dyDescent="0.3">
      <c r="B227" s="207">
        <v>43629</v>
      </c>
      <c r="C227">
        <v>99.210999999999999</v>
      </c>
      <c r="D227" s="118">
        <f t="shared" si="18"/>
        <v>7.1615896711718641E-4</v>
      </c>
      <c r="E227" s="43">
        <v>14113474.140000001</v>
      </c>
      <c r="K227">
        <v>101.124</v>
      </c>
      <c r="L227" s="118">
        <f t="shared" si="19"/>
        <v>6.2338587585708538E-4</v>
      </c>
      <c r="M227" s="43">
        <v>7085529.8799999999</v>
      </c>
      <c r="T227" s="207">
        <f t="shared" si="15"/>
        <v>43629</v>
      </c>
      <c r="U227">
        <v>100.72499999999999</v>
      </c>
      <c r="V227" s="118">
        <f t="shared" si="17"/>
        <v>5.2646217418939045E-4</v>
      </c>
      <c r="W227" s="43">
        <v>151088.1</v>
      </c>
      <c r="AC227" s="43">
        <v>21350092.120000001</v>
      </c>
    </row>
    <row r="228" spans="2:29" x14ac:dyDescent="0.3">
      <c r="B228" s="207">
        <v>43630</v>
      </c>
      <c r="C228">
        <v>99.106999999999999</v>
      </c>
      <c r="D228" s="118">
        <f t="shared" si="18"/>
        <v>-1.0482708570621613E-3</v>
      </c>
      <c r="E228" s="43">
        <v>14060634.529999999</v>
      </c>
      <c r="K228">
        <v>101.008</v>
      </c>
      <c r="L228" s="118">
        <f t="shared" si="19"/>
        <v>-1.1471065226850152E-3</v>
      </c>
      <c r="M228" s="43">
        <v>7077407.25</v>
      </c>
      <c r="T228" s="207">
        <f t="shared" si="15"/>
        <v>43630</v>
      </c>
      <c r="U228">
        <v>100.636</v>
      </c>
      <c r="V228" s="118">
        <f t="shared" si="17"/>
        <v>-8.8359394390669088E-4</v>
      </c>
      <c r="W228" s="43">
        <v>150954.48000000001</v>
      </c>
      <c r="AC228" s="43">
        <v>21288996.260000002</v>
      </c>
    </row>
    <row r="229" spans="2:29" x14ac:dyDescent="0.3">
      <c r="B229" s="207">
        <v>43633</v>
      </c>
      <c r="C229">
        <v>99.135999999999996</v>
      </c>
      <c r="D229" s="118">
        <f t="shared" si="18"/>
        <v>2.9261303439720443E-4</v>
      </c>
      <c r="E229" s="43">
        <v>14054399.060000001</v>
      </c>
      <c r="K229">
        <v>101.038</v>
      </c>
      <c r="L229" s="118">
        <f t="shared" si="19"/>
        <v>2.9700617772854265E-4</v>
      </c>
      <c r="M229" s="43">
        <v>7157492.3899999997</v>
      </c>
      <c r="T229" s="207">
        <f t="shared" si="15"/>
        <v>43633</v>
      </c>
      <c r="U229">
        <v>100.669</v>
      </c>
      <c r="V229" s="118">
        <f t="shared" si="17"/>
        <v>3.279144640089271E-4</v>
      </c>
      <c r="W229" s="43">
        <v>151004.63999999998</v>
      </c>
      <c r="AC229" s="43">
        <v>21362896.09</v>
      </c>
    </row>
    <row r="230" spans="2:29" x14ac:dyDescent="0.3">
      <c r="B230" s="207">
        <v>43634</v>
      </c>
      <c r="C230">
        <v>99.474000000000004</v>
      </c>
      <c r="D230" s="118">
        <f t="shared" si="18"/>
        <v>3.4094577146546179E-3</v>
      </c>
      <c r="E230" s="43">
        <v>14133305.609999999</v>
      </c>
      <c r="K230">
        <v>101.392</v>
      </c>
      <c r="L230" s="118">
        <f t="shared" si="19"/>
        <v>3.5036322967596512E-3</v>
      </c>
      <c r="M230" s="43">
        <v>7212018.6699999999</v>
      </c>
      <c r="T230" s="207">
        <f t="shared" si="15"/>
        <v>43634</v>
      </c>
      <c r="U230">
        <v>100.956</v>
      </c>
      <c r="V230" s="118">
        <f t="shared" si="17"/>
        <v>2.8509272963872512E-3</v>
      </c>
      <c r="W230" s="43">
        <v>151434.48000000001</v>
      </c>
      <c r="AC230" s="43">
        <v>21496758.760000002</v>
      </c>
    </row>
    <row r="231" spans="2:29" x14ac:dyDescent="0.3">
      <c r="B231" s="207">
        <v>43635</v>
      </c>
      <c r="C231">
        <v>99.668000000000006</v>
      </c>
      <c r="D231" s="118">
        <f t="shared" si="18"/>
        <v>1.9502583589681155E-3</v>
      </c>
      <c r="E231" s="43">
        <v>14288922.699999999</v>
      </c>
      <c r="K231">
        <v>101.599</v>
      </c>
      <c r="L231" s="118">
        <f t="shared" si="19"/>
        <v>2.0415811898375491E-3</v>
      </c>
      <c r="M231" s="43">
        <v>7227532.2999999998</v>
      </c>
      <c r="T231" s="207">
        <f t="shared" si="15"/>
        <v>43635</v>
      </c>
      <c r="U231">
        <v>101.125</v>
      </c>
      <c r="V231" s="118">
        <f t="shared" si="17"/>
        <v>1.6739965925749445E-3</v>
      </c>
      <c r="W231" s="43">
        <v>151687.55000000002</v>
      </c>
      <c r="AC231" s="43">
        <v>21668142.550000001</v>
      </c>
    </row>
    <row r="232" spans="2:29" x14ac:dyDescent="0.3">
      <c r="B232" s="207">
        <v>43636</v>
      </c>
      <c r="C232" s="205">
        <v>100.64400000000001</v>
      </c>
      <c r="D232" s="118">
        <f t="shared" si="18"/>
        <v>9.7925111369747686E-3</v>
      </c>
      <c r="E232" s="43">
        <v>14542264.029999999</v>
      </c>
      <c r="K232">
        <v>102.645</v>
      </c>
      <c r="L232" s="118">
        <f t="shared" si="19"/>
        <v>1.0295376923001198E-2</v>
      </c>
      <c r="M232" s="43">
        <v>7317726.2300000004</v>
      </c>
      <c r="T232" s="207">
        <f t="shared" si="15"/>
        <v>43636</v>
      </c>
      <c r="U232">
        <v>101.96299999999999</v>
      </c>
      <c r="V232" s="118">
        <f t="shared" si="17"/>
        <v>8.2867737948082443E-3</v>
      </c>
      <c r="W232" s="43">
        <v>152944.74000000002</v>
      </c>
      <c r="AC232" s="43">
        <v>22012934.999999996</v>
      </c>
    </row>
    <row r="233" spans="2:29" x14ac:dyDescent="0.3">
      <c r="B233" s="207">
        <v>43637</v>
      </c>
      <c r="C233">
        <v>100.315</v>
      </c>
      <c r="D233" s="118">
        <f t="shared" si="18"/>
        <v>-3.2689479750408479E-3</v>
      </c>
      <c r="E233" s="43">
        <v>14482856.640000001</v>
      </c>
      <c r="K233">
        <v>102.304</v>
      </c>
      <c r="L233" s="118">
        <f t="shared" si="19"/>
        <v>-3.3221296702226066E-3</v>
      </c>
      <c r="M233" s="43">
        <v>7320115.25</v>
      </c>
      <c r="T233" s="207">
        <f t="shared" si="15"/>
        <v>43637</v>
      </c>
      <c r="U233">
        <v>101.694</v>
      </c>
      <c r="V233" s="118">
        <f t="shared" si="17"/>
        <v>-2.6382119003951487E-3</v>
      </c>
      <c r="W233" s="43">
        <v>152541.85999999999</v>
      </c>
      <c r="AC233" s="43">
        <v>21955513.75</v>
      </c>
    </row>
    <row r="234" spans="2:29" x14ac:dyDescent="0.3">
      <c r="B234" s="207">
        <v>43640</v>
      </c>
      <c r="C234">
        <v>99.876000000000005</v>
      </c>
      <c r="D234" s="118">
        <f t="shared" si="18"/>
        <v>-4.3762149229924496E-3</v>
      </c>
      <c r="E234" s="43">
        <v>14450151.810000001</v>
      </c>
      <c r="K234">
        <v>101.902</v>
      </c>
      <c r="L234" s="118">
        <f t="shared" si="19"/>
        <v>-3.9294651235532996E-3</v>
      </c>
      <c r="M234" s="43">
        <v>7293507</v>
      </c>
      <c r="T234" s="207">
        <f t="shared" si="15"/>
        <v>43640</v>
      </c>
      <c r="U234">
        <v>101.383</v>
      </c>
      <c r="V234" s="118">
        <f t="shared" si="17"/>
        <v>-3.0581941904144205E-3</v>
      </c>
      <c r="W234" s="43">
        <v>152074.9</v>
      </c>
      <c r="AC234" s="43">
        <v>21895733.710000001</v>
      </c>
    </row>
    <row r="235" spans="2:29" x14ac:dyDescent="0.3">
      <c r="B235" s="207">
        <v>43641</v>
      </c>
      <c r="C235">
        <v>99.736999999999995</v>
      </c>
      <c r="D235" s="118">
        <f t="shared" si="18"/>
        <v>-1.3917257399176375E-3</v>
      </c>
      <c r="E235" s="43">
        <v>14437292.539999999</v>
      </c>
      <c r="K235">
        <v>101.77200000000001</v>
      </c>
      <c r="L235" s="118">
        <f t="shared" si="19"/>
        <v>-1.2757355105885715E-3</v>
      </c>
      <c r="M235" s="43">
        <v>7286087.0899999999</v>
      </c>
      <c r="T235" s="207">
        <f t="shared" si="15"/>
        <v>43641</v>
      </c>
      <c r="U235">
        <v>101.283</v>
      </c>
      <c r="V235" s="118">
        <f t="shared" si="17"/>
        <v>-9.8635865973584202E-4</v>
      </c>
      <c r="W235" s="43">
        <v>151924.92000000001</v>
      </c>
      <c r="AC235" s="43">
        <v>21875304.550000001</v>
      </c>
    </row>
    <row r="236" spans="2:29" x14ac:dyDescent="0.3">
      <c r="B236" s="207">
        <v>43642</v>
      </c>
      <c r="C236">
        <v>99.216999999999999</v>
      </c>
      <c r="D236" s="118">
        <f t="shared" si="18"/>
        <v>-5.2137120627249178E-3</v>
      </c>
      <c r="E236" s="43">
        <v>13743812.869999999</v>
      </c>
      <c r="K236">
        <v>101.227</v>
      </c>
      <c r="L236" s="118">
        <f t="shared" si="19"/>
        <v>-5.3551074951853073E-3</v>
      </c>
      <c r="M236" s="43">
        <v>7247274.8600000003</v>
      </c>
      <c r="T236" s="207">
        <f t="shared" si="15"/>
        <v>43642</v>
      </c>
      <c r="U236">
        <v>100.85</v>
      </c>
      <c r="V236" s="118">
        <f t="shared" si="17"/>
        <v>-4.2751498277104893E-3</v>
      </c>
      <c r="W236" s="43">
        <v>151276.30000000002</v>
      </c>
      <c r="AC236" s="43">
        <v>21142364.030000001</v>
      </c>
    </row>
    <row r="237" spans="2:29" x14ac:dyDescent="0.3">
      <c r="B237" s="207">
        <v>43643</v>
      </c>
      <c r="C237">
        <v>99.498999999999995</v>
      </c>
      <c r="D237" s="118">
        <f t="shared" si="18"/>
        <v>2.8422548555186999E-3</v>
      </c>
      <c r="E237" s="43">
        <v>13787372.85</v>
      </c>
      <c r="K237">
        <v>101.524</v>
      </c>
      <c r="L237" s="118">
        <f t="shared" si="19"/>
        <v>2.9339998221817876E-3</v>
      </c>
      <c r="M237" s="43">
        <v>7270640</v>
      </c>
      <c r="T237" s="207">
        <f t="shared" si="15"/>
        <v>43643</v>
      </c>
      <c r="U237">
        <v>101.09099999999999</v>
      </c>
      <c r="V237" s="118">
        <f t="shared" si="17"/>
        <v>2.3896876549329704E-3</v>
      </c>
      <c r="W237" s="43">
        <v>151637.28</v>
      </c>
      <c r="AC237" s="43">
        <v>21209650.130000003</v>
      </c>
    </row>
    <row r="238" spans="2:29" x14ac:dyDescent="0.3">
      <c r="B238" s="207">
        <v>43644</v>
      </c>
      <c r="C238">
        <v>99.591999999999999</v>
      </c>
      <c r="D238" s="118">
        <f t="shared" si="18"/>
        <v>9.3468276063068956E-4</v>
      </c>
      <c r="E238" s="43">
        <v>13797731.289999999</v>
      </c>
      <c r="K238">
        <v>101.621</v>
      </c>
      <c r="L238" s="118">
        <f t="shared" si="19"/>
        <v>9.55439107994005E-4</v>
      </c>
      <c r="M238" s="43">
        <v>7276792.8700000001</v>
      </c>
      <c r="T238" s="207">
        <f t="shared" si="15"/>
        <v>43644</v>
      </c>
      <c r="U238">
        <v>101.172</v>
      </c>
      <c r="V238" s="118">
        <f t="shared" si="17"/>
        <v>8.0125827224986068E-4</v>
      </c>
      <c r="W238" s="43">
        <v>151758.03999999998</v>
      </c>
      <c r="AC238" s="43">
        <v>21226282.199999999</v>
      </c>
    </row>
    <row r="239" spans="2:29" x14ac:dyDescent="0.3">
      <c r="B239" s="207">
        <v>43647</v>
      </c>
      <c r="C239">
        <v>100.149</v>
      </c>
      <c r="D239" s="118">
        <f t="shared" si="18"/>
        <v>5.592818700297153E-3</v>
      </c>
      <c r="E239" s="43">
        <v>13861067.91</v>
      </c>
      <c r="K239">
        <v>102.19199999999999</v>
      </c>
      <c r="L239" s="118">
        <f t="shared" si="19"/>
        <v>5.6189173497602773E-3</v>
      </c>
      <c r="M239" s="43">
        <v>7319091.0800000001</v>
      </c>
      <c r="T239" s="207">
        <f t="shared" si="15"/>
        <v>43647</v>
      </c>
      <c r="U239">
        <v>101.636</v>
      </c>
      <c r="V239" s="118">
        <f t="shared" si="17"/>
        <v>4.5862491598465116E-3</v>
      </c>
      <c r="W239" s="43">
        <v>152455.46000000002</v>
      </c>
      <c r="AC239" s="43">
        <v>21332614.450000003</v>
      </c>
    </row>
    <row r="240" spans="2:29" x14ac:dyDescent="0.3">
      <c r="B240" s="207">
        <v>43648</v>
      </c>
      <c r="C240">
        <v>100.27200000000001</v>
      </c>
      <c r="D240" s="118">
        <f t="shared" si="18"/>
        <v>1.2281700266603135E-3</v>
      </c>
      <c r="E240" s="43">
        <v>13862742.34</v>
      </c>
      <c r="K240">
        <v>102.315</v>
      </c>
      <c r="L240" s="118">
        <f t="shared" si="19"/>
        <v>1.2036167214655169E-3</v>
      </c>
      <c r="M240" s="43">
        <v>7328122.4800000004</v>
      </c>
      <c r="T240" s="207">
        <f t="shared" si="15"/>
        <v>43648</v>
      </c>
      <c r="U240">
        <v>101.738</v>
      </c>
      <c r="V240" s="118">
        <f t="shared" si="17"/>
        <v>1.0035814081625904E-3</v>
      </c>
      <c r="W240" s="43">
        <v>152607.43</v>
      </c>
      <c r="AC240" s="43">
        <v>21343472.25</v>
      </c>
    </row>
    <row r="241" spans="2:29" x14ac:dyDescent="0.3">
      <c r="B241" s="207">
        <v>43649</v>
      </c>
      <c r="C241">
        <v>100.542</v>
      </c>
      <c r="D241" s="118">
        <f t="shared" si="18"/>
        <v>2.6926759214935814E-3</v>
      </c>
      <c r="E241" s="43">
        <v>13869875.279999999</v>
      </c>
      <c r="K241">
        <v>102.593</v>
      </c>
      <c r="L241" s="118">
        <f t="shared" si="19"/>
        <v>2.7170991545717449E-3</v>
      </c>
      <c r="M241" s="43">
        <v>7368066.6799999997</v>
      </c>
      <c r="T241" s="207">
        <f t="shared" si="15"/>
        <v>43649</v>
      </c>
      <c r="U241">
        <v>101.96299999999999</v>
      </c>
      <c r="V241" s="118">
        <f t="shared" si="17"/>
        <v>2.2115630344610171E-3</v>
      </c>
      <c r="W241" s="43">
        <v>152944.72</v>
      </c>
      <c r="AC241" s="43">
        <v>21390886.68</v>
      </c>
    </row>
    <row r="242" spans="2:29" x14ac:dyDescent="0.3">
      <c r="B242" s="207">
        <v>43650</v>
      </c>
      <c r="C242">
        <v>100.593</v>
      </c>
      <c r="D242" s="118">
        <f t="shared" si="18"/>
        <v>5.0725070119961302E-4</v>
      </c>
      <c r="E242" s="43">
        <v>13879967.460000001</v>
      </c>
      <c r="K242">
        <v>102.639</v>
      </c>
      <c r="L242" s="118">
        <f t="shared" si="19"/>
        <v>4.483736707181496E-4</v>
      </c>
      <c r="M242" s="43">
        <v>7386802.8600000003</v>
      </c>
      <c r="T242" s="207">
        <f t="shared" si="15"/>
        <v>43650</v>
      </c>
      <c r="U242">
        <v>102.003</v>
      </c>
      <c r="V242" s="118">
        <f t="shared" si="17"/>
        <v>3.9229916734506709E-4</v>
      </c>
      <c r="W242" s="43">
        <v>153004.92000000001</v>
      </c>
      <c r="AC242" s="43">
        <v>21419775.240000002</v>
      </c>
    </row>
    <row r="243" spans="2:29" x14ac:dyDescent="0.3">
      <c r="B243" s="207">
        <v>43651</v>
      </c>
      <c r="C243">
        <v>100.307</v>
      </c>
      <c r="D243" s="118">
        <f t="shared" si="18"/>
        <v>-2.8431401787401001E-3</v>
      </c>
      <c r="E243" s="43">
        <v>13830309.57</v>
      </c>
      <c r="K243">
        <v>102.345</v>
      </c>
      <c r="L243" s="118">
        <f t="shared" si="19"/>
        <v>-2.8644082658638714E-3</v>
      </c>
      <c r="M243" s="43">
        <v>7365630.1500000004</v>
      </c>
      <c r="T243" s="207">
        <f t="shared" si="15"/>
        <v>43651</v>
      </c>
      <c r="U243">
        <v>101.77200000000001</v>
      </c>
      <c r="V243" s="118">
        <f t="shared" si="17"/>
        <v>-2.2646392753153943E-3</v>
      </c>
      <c r="W243" s="43">
        <v>152659.29999999999</v>
      </c>
      <c r="AC243" s="43">
        <v>21348599.02</v>
      </c>
    </row>
    <row r="244" spans="2:29" x14ac:dyDescent="0.3">
      <c r="B244" s="207">
        <v>43654</v>
      </c>
      <c r="C244">
        <v>100.31699999999999</v>
      </c>
      <c r="D244" s="118">
        <f t="shared" si="18"/>
        <v>9.9693939605405291E-5</v>
      </c>
      <c r="E244" s="43">
        <v>13801159.560000001</v>
      </c>
      <c r="K244">
        <v>102.357</v>
      </c>
      <c r="L244" s="118">
        <f t="shared" si="19"/>
        <v>1.1725047633004415E-4</v>
      </c>
      <c r="M244" s="43">
        <v>7413497.4199999999</v>
      </c>
      <c r="T244" s="207">
        <f t="shared" si="15"/>
        <v>43654</v>
      </c>
      <c r="U244">
        <v>101.791</v>
      </c>
      <c r="V244" s="118">
        <f t="shared" si="17"/>
        <v>1.8669182093300485E-4</v>
      </c>
      <c r="W244" s="43">
        <v>152687.75</v>
      </c>
      <c r="AC244" s="43">
        <v>21367344.73</v>
      </c>
    </row>
    <row r="245" spans="2:29" x14ac:dyDescent="0.3">
      <c r="B245" s="207">
        <v>43655</v>
      </c>
      <c r="C245">
        <v>100.248</v>
      </c>
      <c r="D245" s="118">
        <f t="shared" si="18"/>
        <v>-6.8781961183039808E-4</v>
      </c>
      <c r="E245" s="43">
        <v>13780601.460000001</v>
      </c>
      <c r="K245">
        <v>102.28400000000001</v>
      </c>
      <c r="L245" s="118">
        <f t="shared" si="19"/>
        <v>-7.1319010912773706E-4</v>
      </c>
      <c r="M245" s="43">
        <v>7408268.29</v>
      </c>
      <c r="T245" s="207">
        <f t="shared" si="15"/>
        <v>43655</v>
      </c>
      <c r="U245">
        <v>101.73699999999999</v>
      </c>
      <c r="V245" s="118">
        <f t="shared" si="17"/>
        <v>-5.304987670815553E-4</v>
      </c>
      <c r="W245" s="43">
        <v>152606.57</v>
      </c>
      <c r="AC245" s="43">
        <v>21341476.32</v>
      </c>
    </row>
    <row r="246" spans="2:29" x14ac:dyDescent="0.3">
      <c r="B246" s="207">
        <v>43656</v>
      </c>
      <c r="C246">
        <v>100.624</v>
      </c>
      <c r="D246" s="118">
        <f t="shared" si="18"/>
        <v>3.750698268294439E-3</v>
      </c>
      <c r="E246" s="43">
        <v>13831163.17</v>
      </c>
      <c r="K246">
        <v>102.651</v>
      </c>
      <c r="L246" s="118">
        <f t="shared" si="19"/>
        <v>3.5880489617143851E-3</v>
      </c>
      <c r="M246" s="43">
        <v>7434199.5199999996</v>
      </c>
      <c r="T246" s="207">
        <f t="shared" si="15"/>
        <v>43656</v>
      </c>
      <c r="U246">
        <v>102.032</v>
      </c>
      <c r="V246" s="118">
        <f t="shared" si="17"/>
        <v>2.8996333683910525E-3</v>
      </c>
      <c r="W246" s="43">
        <v>153049.47</v>
      </c>
      <c r="AC246" s="43">
        <v>21418412.159999996</v>
      </c>
    </row>
    <row r="247" spans="2:29" x14ac:dyDescent="0.3">
      <c r="B247" s="207">
        <v>43657</v>
      </c>
      <c r="C247">
        <v>100.673</v>
      </c>
      <c r="D247" s="118">
        <f t="shared" si="18"/>
        <v>4.8696136110670807E-4</v>
      </c>
      <c r="E247" s="43">
        <v>13894094.439999999</v>
      </c>
      <c r="K247">
        <v>102.709</v>
      </c>
      <c r="L247" s="118">
        <f t="shared" si="19"/>
        <v>5.6502128571578325E-4</v>
      </c>
      <c r="M247" s="43">
        <v>7488387.9199999999</v>
      </c>
      <c r="T247" s="207">
        <f t="shared" si="15"/>
        <v>43657</v>
      </c>
      <c r="U247">
        <v>102.083</v>
      </c>
      <c r="V247" s="118">
        <f t="shared" si="17"/>
        <v>4.9984318645135417E-4</v>
      </c>
      <c r="W247" s="43">
        <v>153124.79</v>
      </c>
      <c r="AC247" s="43">
        <v>21535607.149999999</v>
      </c>
    </row>
    <row r="248" spans="2:29" x14ac:dyDescent="0.3">
      <c r="B248" s="207">
        <v>43658</v>
      </c>
      <c r="C248">
        <v>100.443</v>
      </c>
      <c r="D248" s="118">
        <f t="shared" si="18"/>
        <v>-2.2846244772680713E-3</v>
      </c>
      <c r="E248" s="43">
        <v>13824773.779999999</v>
      </c>
      <c r="K248">
        <v>102.486</v>
      </c>
      <c r="L248" s="118">
        <f t="shared" si="19"/>
        <v>-2.1711826616946928E-3</v>
      </c>
      <c r="M248" s="43">
        <v>7489178.8700000001</v>
      </c>
      <c r="T248" s="207">
        <f t="shared" si="15"/>
        <v>43658</v>
      </c>
      <c r="U248">
        <v>101.908</v>
      </c>
      <c r="V248" s="118">
        <f t="shared" si="17"/>
        <v>-1.7142913119716496E-3</v>
      </c>
      <c r="W248" s="43">
        <v>152862.26999999999</v>
      </c>
      <c r="AC248" s="43">
        <v>21466814.919999998</v>
      </c>
    </row>
    <row r="249" spans="2:29" x14ac:dyDescent="0.3">
      <c r="B249" s="207">
        <v>43661</v>
      </c>
      <c r="C249">
        <v>100.479</v>
      </c>
      <c r="D249" s="118">
        <f t="shared" si="18"/>
        <v>3.5841223380428389E-4</v>
      </c>
      <c r="E249" s="43">
        <v>13870531.859999999</v>
      </c>
      <c r="K249">
        <v>102.548</v>
      </c>
      <c r="L249" s="118">
        <f t="shared" si="19"/>
        <v>6.0496067755599903E-4</v>
      </c>
      <c r="M249" s="43">
        <v>7447828.8399999999</v>
      </c>
      <c r="T249" s="207">
        <f t="shared" si="15"/>
        <v>43661</v>
      </c>
      <c r="U249">
        <v>101.967</v>
      </c>
      <c r="V249" s="118">
        <f t="shared" si="17"/>
        <v>5.7895356596149306E-4</v>
      </c>
      <c r="W249" s="43">
        <v>152951.25999999998</v>
      </c>
      <c r="AC249" s="43">
        <v>21471311.960000001</v>
      </c>
    </row>
    <row r="250" spans="2:29" x14ac:dyDescent="0.3">
      <c r="B250" s="207">
        <v>43662</v>
      </c>
      <c r="C250">
        <v>100.542</v>
      </c>
      <c r="D250" s="118">
        <f t="shared" si="18"/>
        <v>6.2699668587473667E-4</v>
      </c>
      <c r="E250" s="43">
        <v>13862902.43</v>
      </c>
      <c r="K250">
        <v>102.605</v>
      </c>
      <c r="L250" s="118">
        <f t="shared" si="19"/>
        <v>5.5583726645092035E-4</v>
      </c>
      <c r="M250" s="43">
        <v>7452047.6100000003</v>
      </c>
      <c r="T250" s="207">
        <f t="shared" si="15"/>
        <v>43662</v>
      </c>
      <c r="U250">
        <v>102.01600000000001</v>
      </c>
      <c r="V250" s="118">
        <f t="shared" si="17"/>
        <v>4.8054762815419316E-4</v>
      </c>
      <c r="W250" s="43">
        <v>153024.9</v>
      </c>
      <c r="AC250" s="43">
        <v>21467974.939999998</v>
      </c>
    </row>
    <row r="251" spans="2:29" x14ac:dyDescent="0.3">
      <c r="B251" s="207">
        <v>43663</v>
      </c>
      <c r="C251">
        <v>100.208</v>
      </c>
      <c r="D251" s="118">
        <f t="shared" si="18"/>
        <v>-3.3219947882476841E-3</v>
      </c>
      <c r="E251" s="43">
        <v>13890503.76</v>
      </c>
      <c r="K251">
        <v>102.27200000000001</v>
      </c>
      <c r="L251" s="118">
        <f t="shared" si="19"/>
        <v>-3.2454558744700046E-3</v>
      </c>
      <c r="M251" s="43">
        <v>7428628.4199999999</v>
      </c>
      <c r="T251" s="207">
        <f t="shared" si="15"/>
        <v>43663</v>
      </c>
      <c r="U251">
        <v>101.754</v>
      </c>
      <c r="V251" s="118">
        <f t="shared" si="17"/>
        <v>-2.5682245922208358E-3</v>
      </c>
      <c r="W251" s="43">
        <v>152631.76999999999</v>
      </c>
      <c r="AC251" s="43">
        <v>21471763.949999999</v>
      </c>
    </row>
    <row r="252" spans="2:29" x14ac:dyDescent="0.3">
      <c r="B252" s="207">
        <v>43664</v>
      </c>
      <c r="C252">
        <v>99.84</v>
      </c>
      <c r="D252" s="118">
        <f t="shared" si="18"/>
        <v>-3.6723614881046807E-3</v>
      </c>
      <c r="E252" s="43">
        <v>13839468.41</v>
      </c>
      <c r="K252">
        <v>101.896</v>
      </c>
      <c r="L252" s="118">
        <f t="shared" si="19"/>
        <v>-3.6764705882353921E-3</v>
      </c>
      <c r="M252" s="43">
        <v>7404476.2300000004</v>
      </c>
      <c r="T252" s="207">
        <f t="shared" si="15"/>
        <v>43664</v>
      </c>
      <c r="U252">
        <v>101.458</v>
      </c>
      <c r="V252" s="118">
        <f t="shared" si="17"/>
        <v>-2.9089765512904098E-3</v>
      </c>
      <c r="W252" s="43">
        <v>152187.54999999999</v>
      </c>
      <c r="AC252" s="43">
        <v>21396132.190000001</v>
      </c>
    </row>
    <row r="253" spans="2:29" x14ac:dyDescent="0.3">
      <c r="B253" s="207">
        <v>43665</v>
      </c>
      <c r="C253" s="213">
        <v>100.134</v>
      </c>
      <c r="D253" s="214">
        <f t="shared" si="18"/>
        <v>2.9447115384615419E-3</v>
      </c>
      <c r="E253" s="215">
        <v>13900674.84</v>
      </c>
      <c r="K253" s="213">
        <v>102.214</v>
      </c>
      <c r="L253" s="214">
        <f t="shared" si="19"/>
        <v>3.1208290806312711E-3</v>
      </c>
      <c r="M253" s="215">
        <v>7520709.9800000004</v>
      </c>
      <c r="N253" s="213"/>
      <c r="T253" s="207">
        <f t="shared" si="15"/>
        <v>43665</v>
      </c>
      <c r="U253" s="213">
        <v>101.715</v>
      </c>
      <c r="V253" s="214">
        <f t="shared" ref="V253:V258" si="20">U253/U252-1</f>
        <v>2.5330678704489351E-3</v>
      </c>
      <c r="W253" s="215">
        <v>152572.82999999999</v>
      </c>
      <c r="AC253" s="43">
        <v>21573957.649999999</v>
      </c>
    </row>
    <row r="254" spans="2:29" x14ac:dyDescent="0.3">
      <c r="B254" s="207">
        <v>43668</v>
      </c>
      <c r="C254" s="213">
        <v>99.927999999999997</v>
      </c>
      <c r="D254" s="214">
        <f t="shared" si="18"/>
        <v>-2.0572432939860441E-3</v>
      </c>
      <c r="E254" s="215">
        <v>13861874.800000001</v>
      </c>
      <c r="K254" s="213">
        <v>102.012</v>
      </c>
      <c r="L254" s="214">
        <f t="shared" si="19"/>
        <v>-1.9762459154323286E-3</v>
      </c>
      <c r="M254" s="215">
        <v>7512057.8499999996</v>
      </c>
      <c r="N254" s="213"/>
      <c r="T254" s="207">
        <f t="shared" si="15"/>
        <v>43668</v>
      </c>
      <c r="U254" s="213">
        <v>101.563</v>
      </c>
      <c r="V254" s="214">
        <f t="shared" si="20"/>
        <v>-1.4943715282897951E-3</v>
      </c>
      <c r="W254" s="215">
        <v>152345.94999999998</v>
      </c>
      <c r="AC254" s="43">
        <v>21526278.599999998</v>
      </c>
    </row>
    <row r="255" spans="2:29" x14ac:dyDescent="0.3">
      <c r="B255" s="207">
        <v>43669</v>
      </c>
      <c r="C255" s="216">
        <v>100.011</v>
      </c>
      <c r="D255" s="214">
        <f t="shared" si="18"/>
        <v>8.3059803058205262E-4</v>
      </c>
      <c r="E255" s="217">
        <v>13832805.050000001</v>
      </c>
      <c r="K255" s="216">
        <v>102.084</v>
      </c>
      <c r="L255" s="214">
        <f t="shared" si="19"/>
        <v>7.0579931772729587E-4</v>
      </c>
      <c r="M255" s="217">
        <v>7601577.4100000001</v>
      </c>
      <c r="N255" s="213"/>
      <c r="T255" s="207">
        <f t="shared" si="15"/>
        <v>43669</v>
      </c>
      <c r="U255" s="216">
        <v>101.624</v>
      </c>
      <c r="V255" s="214">
        <f t="shared" si="20"/>
        <v>6.006124277542213E-4</v>
      </c>
      <c r="W255" s="217">
        <v>152437.40000000002</v>
      </c>
      <c r="AC255" s="43">
        <v>21586819.859999999</v>
      </c>
    </row>
    <row r="256" spans="2:29" x14ac:dyDescent="0.3">
      <c r="B256" s="207">
        <v>43670</v>
      </c>
      <c r="C256" s="216">
        <v>100.077</v>
      </c>
      <c r="D256" s="214">
        <f t="shared" si="18"/>
        <v>6.5992740798503924E-4</v>
      </c>
      <c r="E256" s="217">
        <v>13820497.85</v>
      </c>
      <c r="K256" s="216">
        <v>102.152</v>
      </c>
      <c r="L256" s="214">
        <f t="shared" si="19"/>
        <v>6.6611809882055617E-4</v>
      </c>
      <c r="M256" s="217">
        <v>7606445.1100000003</v>
      </c>
      <c r="N256" s="213"/>
      <c r="T256" s="207">
        <f t="shared" si="15"/>
        <v>43670</v>
      </c>
      <c r="U256" s="216">
        <v>101.682</v>
      </c>
      <c r="V256" s="214">
        <f t="shared" si="20"/>
        <v>5.7073132330942578E-4</v>
      </c>
      <c r="W256" s="217">
        <v>152523.85</v>
      </c>
      <c r="AC256" s="43">
        <v>21579466.810000002</v>
      </c>
    </row>
    <row r="257" spans="2:29" x14ac:dyDescent="0.3">
      <c r="B257" s="207">
        <v>43671</v>
      </c>
      <c r="C257" s="216">
        <v>100.163</v>
      </c>
      <c r="D257" s="214">
        <f t="shared" si="18"/>
        <v>8.5933830950168932E-4</v>
      </c>
      <c r="E257" s="217">
        <v>13815260.91</v>
      </c>
      <c r="K257" s="216">
        <v>102.239</v>
      </c>
      <c r="L257" s="214">
        <f t="shared" si="19"/>
        <v>8.5167201816904736E-4</v>
      </c>
      <c r="M257" s="217">
        <v>7612878.6200000001</v>
      </c>
      <c r="N257" s="213"/>
      <c r="T257" s="207">
        <f t="shared" si="15"/>
        <v>43671</v>
      </c>
      <c r="U257" s="216">
        <v>101.755</v>
      </c>
      <c r="V257" s="214">
        <f t="shared" si="20"/>
        <v>7.1792450974594857E-4</v>
      </c>
      <c r="W257" s="217">
        <v>152632.87</v>
      </c>
      <c r="AC257" s="43">
        <v>21580772.400000002</v>
      </c>
    </row>
    <row r="258" spans="2:29" x14ac:dyDescent="0.3">
      <c r="B258" s="207">
        <v>43672</v>
      </c>
      <c r="C258" s="216">
        <v>100.084</v>
      </c>
      <c r="D258" s="214">
        <f t="shared" si="18"/>
        <v>-7.8871439553518385E-4</v>
      </c>
      <c r="E258" s="217">
        <v>13768934.52</v>
      </c>
      <c r="K258" s="216">
        <v>102.15600000000001</v>
      </c>
      <c r="L258" s="214">
        <f t="shared" si="19"/>
        <v>-8.1182327683171351E-4</v>
      </c>
      <c r="M258" s="217">
        <v>7634516.9299999997</v>
      </c>
      <c r="N258" s="213"/>
      <c r="T258" s="207">
        <f t="shared" si="15"/>
        <v>43672</v>
      </c>
      <c r="U258" s="216">
        <v>101.69199999999999</v>
      </c>
      <c r="V258" s="214">
        <f t="shared" si="20"/>
        <v>-6.1913419487991117E-4</v>
      </c>
      <c r="W258" s="217">
        <v>152538.15</v>
      </c>
      <c r="AC258" s="43">
        <v>21555989.599999998</v>
      </c>
    </row>
    <row r="259" spans="2:29" x14ac:dyDescent="0.3">
      <c r="B259" s="207">
        <v>43675</v>
      </c>
      <c r="C259" s="216">
        <v>100.276</v>
      </c>
      <c r="D259" s="214">
        <f t="shared" ref="D259:D288" si="21">C259/C258-1</f>
        <v>1.9183885536149248E-3</v>
      </c>
      <c r="E259" s="217">
        <v>13769263.710000001</v>
      </c>
      <c r="K259" s="216">
        <v>102.36499999999999</v>
      </c>
      <c r="L259" s="214">
        <f t="shared" si="19"/>
        <v>2.0458905986919795E-3</v>
      </c>
      <c r="M259" s="217">
        <v>7648979.1399999997</v>
      </c>
      <c r="N259" s="213"/>
      <c r="T259" s="207">
        <f t="shared" si="15"/>
        <v>43675</v>
      </c>
      <c r="U259" s="216">
        <v>101.86799999999999</v>
      </c>
      <c r="V259" s="214">
        <f t="shared" ref="V259:V288" si="22">U259/U258-1</f>
        <v>1.7307162805333398E-3</v>
      </c>
      <c r="W259" s="217">
        <v>152803.17000000001</v>
      </c>
      <c r="AC259" s="43">
        <v>21571046.020000003</v>
      </c>
    </row>
    <row r="260" spans="2:29" x14ac:dyDescent="0.3">
      <c r="B260" s="207">
        <v>43676</v>
      </c>
      <c r="C260" s="216">
        <v>100.22799999999999</v>
      </c>
      <c r="D260" s="214">
        <f t="shared" si="21"/>
        <v>-4.7867884638397307E-4</v>
      </c>
      <c r="E260" s="217">
        <v>13770764.449999999</v>
      </c>
      <c r="K260" s="217">
        <v>102.327</v>
      </c>
      <c r="L260" s="214">
        <f t="shared" si="19"/>
        <v>-3.7122063205197176E-4</v>
      </c>
      <c r="M260" s="217">
        <v>7650148.2000000002</v>
      </c>
      <c r="T260" s="207">
        <f t="shared" si="15"/>
        <v>43676</v>
      </c>
      <c r="U260" s="216">
        <v>101.842</v>
      </c>
      <c r="V260" s="214">
        <f t="shared" si="22"/>
        <v>-2.552322613578184E-4</v>
      </c>
      <c r="W260" s="217">
        <v>152763.79</v>
      </c>
      <c r="AC260" s="152">
        <v>21573676.439999998</v>
      </c>
    </row>
    <row r="261" spans="2:29" x14ac:dyDescent="0.3">
      <c r="B261" s="207">
        <v>43677</v>
      </c>
      <c r="C261" s="216">
        <v>99.962999999999994</v>
      </c>
      <c r="D261" s="214">
        <f t="shared" si="21"/>
        <v>-2.6439717444227684E-3</v>
      </c>
      <c r="E261" s="217">
        <v>13751297.689999999</v>
      </c>
      <c r="K261" s="217">
        <v>102.04600000000001</v>
      </c>
      <c r="L261" s="214">
        <f t="shared" si="19"/>
        <v>-2.7460982927280941E-3</v>
      </c>
      <c r="M261" s="217">
        <v>7631790.9299999997</v>
      </c>
      <c r="T261" s="207">
        <f t="shared" si="15"/>
        <v>43677</v>
      </c>
      <c r="U261" s="216">
        <v>101.621</v>
      </c>
      <c r="V261" s="214">
        <f t="shared" si="22"/>
        <v>-2.1700280827163798E-3</v>
      </c>
      <c r="W261" s="217">
        <v>152432.32000000001</v>
      </c>
      <c r="AC261" s="152">
        <v>21535520.939999998</v>
      </c>
    </row>
    <row r="262" spans="2:29" x14ac:dyDescent="0.3">
      <c r="B262" s="207">
        <v>43678</v>
      </c>
      <c r="C262" s="216">
        <v>99.680999999999997</v>
      </c>
      <c r="D262" s="214">
        <f t="shared" si="21"/>
        <v>-2.8210437862008497E-3</v>
      </c>
      <c r="E262" s="217">
        <v>13648781.02</v>
      </c>
      <c r="K262" s="217">
        <v>101.754</v>
      </c>
      <c r="L262" s="214">
        <f t="shared" si="19"/>
        <v>-2.8614546381043882E-3</v>
      </c>
      <c r="M262" s="217">
        <v>7611948.5599999996</v>
      </c>
      <c r="T262" s="207">
        <f t="shared" si="15"/>
        <v>43678</v>
      </c>
      <c r="U262" s="216">
        <v>101.38800000000001</v>
      </c>
      <c r="V262" s="214">
        <f t="shared" si="22"/>
        <v>-2.2928331742453345E-3</v>
      </c>
      <c r="W262" s="217">
        <v>152082.44999999998</v>
      </c>
      <c r="AC262" s="152">
        <v>21412812.029999997</v>
      </c>
    </row>
    <row r="263" spans="2:29" x14ac:dyDescent="0.3">
      <c r="B263" s="207">
        <v>43679</v>
      </c>
      <c r="C263" s="216">
        <v>99.256</v>
      </c>
      <c r="D263" s="214">
        <f t="shared" si="21"/>
        <v>-4.2636008868289776E-3</v>
      </c>
      <c r="E263" s="217">
        <v>13573804.369999999</v>
      </c>
      <c r="K263" s="217">
        <v>101.331</v>
      </c>
      <c r="L263" s="214">
        <f t="shared" si="19"/>
        <v>-4.1570847337697447E-3</v>
      </c>
      <c r="M263" s="217">
        <v>7603226.6100000003</v>
      </c>
      <c r="T263" s="207">
        <f>B263</f>
        <v>43679</v>
      </c>
      <c r="U263" s="216">
        <v>101.029</v>
      </c>
      <c r="V263" s="214">
        <f t="shared" si="22"/>
        <v>-3.540852960902785E-3</v>
      </c>
      <c r="W263" s="217">
        <v>151544.84</v>
      </c>
      <c r="AC263" s="152">
        <v>21328575.82</v>
      </c>
    </row>
    <row r="264" spans="2:29" x14ac:dyDescent="0.3">
      <c r="B264" s="207">
        <v>43682</v>
      </c>
      <c r="C264" s="216">
        <v>98.694999999999993</v>
      </c>
      <c r="D264" s="214">
        <f t="shared" si="21"/>
        <v>-5.652051261384794E-3</v>
      </c>
      <c r="E264" s="217">
        <v>13449029.52</v>
      </c>
      <c r="K264" s="217">
        <v>100.779</v>
      </c>
      <c r="L264" s="214">
        <f t="shared" si="19"/>
        <v>-5.447493856766461E-3</v>
      </c>
      <c r="M264" s="217">
        <v>7561704.2000000002</v>
      </c>
      <c r="T264" s="207">
        <f t="shared" si="15"/>
        <v>43682</v>
      </c>
      <c r="U264" s="216">
        <v>100.492</v>
      </c>
      <c r="V264" s="214">
        <f t="shared" si="22"/>
        <v>-5.3153055063396293E-3</v>
      </c>
      <c r="W264" s="217">
        <v>150738.22</v>
      </c>
      <c r="AC264" s="152">
        <v>21161471.939999998</v>
      </c>
    </row>
    <row r="265" spans="2:29" x14ac:dyDescent="0.3">
      <c r="B265" s="207">
        <v>43683</v>
      </c>
      <c r="C265" s="216">
        <v>98.302999999999997</v>
      </c>
      <c r="D265" s="214">
        <f t="shared" si="21"/>
        <v>-3.9718324129894844E-3</v>
      </c>
      <c r="E265" s="217">
        <v>13403309.43</v>
      </c>
      <c r="K265" s="217">
        <v>100.384</v>
      </c>
      <c r="L265" s="214">
        <f t="shared" si="19"/>
        <v>-3.9194673493485599E-3</v>
      </c>
      <c r="M265" s="217">
        <v>7656207.9699999997</v>
      </c>
      <c r="T265" s="207">
        <f t="shared" si="15"/>
        <v>43683</v>
      </c>
      <c r="U265" s="216">
        <v>100.10299999999999</v>
      </c>
      <c r="V265" s="214">
        <f t="shared" si="22"/>
        <v>-3.8709549018828282E-3</v>
      </c>
      <c r="W265" s="217">
        <v>150154.74</v>
      </c>
      <c r="AC265" s="152">
        <v>21209672.139999997</v>
      </c>
    </row>
    <row r="266" spans="2:29" x14ac:dyDescent="0.3">
      <c r="B266" s="207">
        <v>43684</v>
      </c>
      <c r="C266">
        <v>97.933000000000007</v>
      </c>
      <c r="D266" s="214">
        <f t="shared" si="21"/>
        <v>-3.7638729235118795E-3</v>
      </c>
      <c r="E266" s="43">
        <v>13330685.01</v>
      </c>
      <c r="K266">
        <v>100.004</v>
      </c>
      <c r="L266" s="214">
        <f t="shared" si="19"/>
        <v>-3.7854638189352974E-3</v>
      </c>
      <c r="M266" s="43">
        <v>7720310.7199999997</v>
      </c>
      <c r="T266" s="207">
        <f t="shared" si="15"/>
        <v>43684</v>
      </c>
      <c r="U266">
        <v>99.727999999999994</v>
      </c>
      <c r="V266" s="214">
        <f t="shared" si="22"/>
        <v>-3.7461414742815391E-3</v>
      </c>
      <c r="W266" s="43">
        <v>149592.03</v>
      </c>
      <c r="AC266" s="43">
        <v>21200587.760000002</v>
      </c>
    </row>
    <row r="267" spans="2:29" x14ac:dyDescent="0.3">
      <c r="B267" s="207">
        <v>43685</v>
      </c>
      <c r="C267" s="216">
        <v>98.808000000000007</v>
      </c>
      <c r="D267" s="214">
        <f t="shared" si="21"/>
        <v>8.9346798321301435E-3</v>
      </c>
      <c r="E267" s="43">
        <v>13445951.15</v>
      </c>
      <c r="K267">
        <v>100.902</v>
      </c>
      <c r="L267" s="214">
        <f t="shared" si="19"/>
        <v>8.9796408143674178E-3</v>
      </c>
      <c r="M267" s="43">
        <v>7904542.5</v>
      </c>
      <c r="T267" s="207">
        <f t="shared" si="15"/>
        <v>43685</v>
      </c>
      <c r="U267" s="216">
        <v>100.628</v>
      </c>
      <c r="V267" s="214">
        <f t="shared" si="22"/>
        <v>9.0245467672067647E-3</v>
      </c>
      <c r="W267" s="43">
        <v>150942.04</v>
      </c>
      <c r="AC267" s="43">
        <v>21501435.689999998</v>
      </c>
    </row>
    <row r="268" spans="2:29" x14ac:dyDescent="0.3">
      <c r="B268" s="207">
        <v>43690</v>
      </c>
      <c r="C268" s="216">
        <v>97.966999999999999</v>
      </c>
      <c r="D268" s="214">
        <f t="shared" si="21"/>
        <v>-8.511456562221742E-3</v>
      </c>
      <c r="E268" s="43">
        <v>13293946.199999999</v>
      </c>
      <c r="K268">
        <v>100.06</v>
      </c>
      <c r="L268" s="214">
        <f t="shared" si="19"/>
        <v>-8.3447305306137975E-3</v>
      </c>
      <c r="M268" s="43">
        <v>8137824.9199999999</v>
      </c>
      <c r="N268" s="218">
        <f>M268-M267</f>
        <v>233282.41999999993</v>
      </c>
      <c r="T268" s="207">
        <v>43690</v>
      </c>
      <c r="U268" s="216">
        <v>99.81</v>
      </c>
      <c r="V268" s="214">
        <f t="shared" si="22"/>
        <v>-8.1289501927892527E-3</v>
      </c>
      <c r="W268" s="43">
        <v>149716.19</v>
      </c>
      <c r="AC268" s="43">
        <v>21581487.309999999</v>
      </c>
    </row>
    <row r="269" spans="2:29" x14ac:dyDescent="0.3">
      <c r="B269" s="207">
        <v>43691</v>
      </c>
      <c r="C269" s="216">
        <v>98.120999999999995</v>
      </c>
      <c r="D269" s="214">
        <f t="shared" si="21"/>
        <v>1.5719579041921783E-3</v>
      </c>
      <c r="E269" s="43">
        <v>13319717.189999999</v>
      </c>
      <c r="K269">
        <v>100.211</v>
      </c>
      <c r="L269" s="214">
        <f t="shared" si="19"/>
        <v>1.509094543274081E-3</v>
      </c>
      <c r="M269" s="43">
        <v>8162031.7400000002</v>
      </c>
      <c r="T269" s="207">
        <f t="shared" ref="T269:T276" si="23">B269</f>
        <v>43691</v>
      </c>
      <c r="U269" s="216">
        <v>99.965000000000003</v>
      </c>
      <c r="V269" s="214">
        <f t="shared" si="22"/>
        <v>1.5529506061517928E-3</v>
      </c>
      <c r="W269" s="43">
        <v>149948.43</v>
      </c>
      <c r="AC269" s="43">
        <v>21631697.359999999</v>
      </c>
    </row>
    <row r="270" spans="2:29" x14ac:dyDescent="0.3">
      <c r="B270" s="207">
        <v>43692</v>
      </c>
      <c r="C270" s="216">
        <v>97.596999999999994</v>
      </c>
      <c r="D270" s="214">
        <f t="shared" si="21"/>
        <v>-5.3403450841308375E-3</v>
      </c>
      <c r="E270" s="43">
        <v>13218076.07</v>
      </c>
      <c r="K270">
        <v>99.680999999999997</v>
      </c>
      <c r="L270" s="214">
        <f t="shared" si="19"/>
        <v>-5.2888405464469601E-3</v>
      </c>
      <c r="M270" s="43">
        <v>11290278.640000001</v>
      </c>
      <c r="T270" s="207">
        <f t="shared" si="23"/>
        <v>43692</v>
      </c>
      <c r="U270" s="216">
        <v>99.441000000000003</v>
      </c>
      <c r="V270" s="214">
        <f t="shared" si="22"/>
        <v>-5.2418346421247985E-3</v>
      </c>
      <c r="W270" s="43">
        <v>149162.88</v>
      </c>
      <c r="AC270" s="43">
        <v>24657517.59</v>
      </c>
    </row>
    <row r="271" spans="2:29" x14ac:dyDescent="0.3">
      <c r="B271" s="207">
        <v>43693</v>
      </c>
      <c r="C271" s="216">
        <v>97.644999999999996</v>
      </c>
      <c r="D271" s="214">
        <f t="shared" si="21"/>
        <v>4.9181839605716426E-4</v>
      </c>
      <c r="E271" s="43">
        <v>13414226.869999999</v>
      </c>
      <c r="K271">
        <v>99.728999999999999</v>
      </c>
      <c r="L271" s="214">
        <f t="shared" si="19"/>
        <v>4.8153610015955195E-4</v>
      </c>
      <c r="M271" s="43">
        <v>11377618.140000001</v>
      </c>
      <c r="T271" s="207">
        <f t="shared" si="23"/>
        <v>43693</v>
      </c>
      <c r="U271" s="216">
        <v>99.492999999999995</v>
      </c>
      <c r="V271" s="214">
        <f t="shared" si="22"/>
        <v>5.2292314035451426E-4</v>
      </c>
      <c r="W271" s="43">
        <v>149240.70000000001</v>
      </c>
      <c r="AC271" s="43">
        <v>24941085.709999997</v>
      </c>
    </row>
    <row r="272" spans="2:29" x14ac:dyDescent="0.3">
      <c r="B272" s="207">
        <v>43696</v>
      </c>
      <c r="C272" s="216">
        <v>98.162999999999997</v>
      </c>
      <c r="D272" s="214">
        <f t="shared" si="21"/>
        <v>5.3049311280659595E-3</v>
      </c>
      <c r="E272" s="43">
        <v>13603941.800000001</v>
      </c>
      <c r="K272">
        <v>100.259</v>
      </c>
      <c r="L272" s="214">
        <f t="shared" si="19"/>
        <v>5.3144020294999539E-3</v>
      </c>
      <c r="M272" s="43">
        <v>11439003.039999999</v>
      </c>
      <c r="T272" s="207">
        <f t="shared" si="23"/>
        <v>43696</v>
      </c>
      <c r="U272" s="216">
        <v>100.035</v>
      </c>
      <c r="V272" s="214">
        <f t="shared" si="22"/>
        <v>5.4476194305126402E-3</v>
      </c>
      <c r="W272" s="43">
        <v>150053.32999999999</v>
      </c>
      <c r="AC272" s="43">
        <v>25192998.169999998</v>
      </c>
    </row>
    <row r="273" spans="2:29" x14ac:dyDescent="0.3">
      <c r="B273" s="207">
        <v>43697</v>
      </c>
      <c r="C273" s="216">
        <v>98.608000000000004</v>
      </c>
      <c r="D273" s="214">
        <f>C273/C272-1</f>
        <v>4.5332762853622643E-3</v>
      </c>
      <c r="E273" s="43">
        <v>13652737.58</v>
      </c>
      <c r="K273">
        <v>100.708</v>
      </c>
      <c r="L273" s="214">
        <f t="shared" si="19"/>
        <v>4.4784009415612669E-3</v>
      </c>
      <c r="M273" s="43">
        <v>11490025.560000001</v>
      </c>
      <c r="T273" s="207">
        <f t="shared" si="23"/>
        <v>43697</v>
      </c>
      <c r="U273" s="216">
        <v>100.488</v>
      </c>
      <c r="V273" s="214">
        <f t="shared" si="22"/>
        <v>4.5284150547308943E-3</v>
      </c>
      <c r="W273" s="43">
        <v>150732.76999999999</v>
      </c>
      <c r="AC273" s="43">
        <v>25293495.91</v>
      </c>
    </row>
    <row r="274" spans="2:29" x14ac:dyDescent="0.3">
      <c r="B274" s="207">
        <v>43698</v>
      </c>
      <c r="C274" s="216">
        <v>98.43</v>
      </c>
      <c r="D274" s="214">
        <f t="shared" si="21"/>
        <v>-1.8051273730326223E-3</v>
      </c>
      <c r="E274" s="43">
        <v>14104654.9</v>
      </c>
      <c r="K274">
        <v>100.539</v>
      </c>
      <c r="L274" s="214">
        <f t="shared" si="19"/>
        <v>-1.6781189180601341E-3</v>
      </c>
      <c r="M274" s="43">
        <v>11512670.25</v>
      </c>
      <c r="T274" s="207">
        <f t="shared" si="23"/>
        <v>43698</v>
      </c>
      <c r="U274" s="216">
        <v>100.32299999999999</v>
      </c>
      <c r="V274" s="214">
        <f t="shared" si="22"/>
        <v>-1.6419871029377253E-3</v>
      </c>
      <c r="W274" s="43">
        <v>150485.99</v>
      </c>
      <c r="AC274" s="43">
        <v>25767811.140000001</v>
      </c>
    </row>
    <row r="275" spans="2:29" x14ac:dyDescent="0.3">
      <c r="B275" s="207">
        <v>43699</v>
      </c>
      <c r="C275" s="216">
        <v>98.680999999999997</v>
      </c>
      <c r="D275" s="214">
        <f t="shared" si="21"/>
        <v>2.5500355582646073E-3</v>
      </c>
      <c r="E275" s="43">
        <v>14097005.130000001</v>
      </c>
      <c r="K275" s="216">
        <v>100.786</v>
      </c>
      <c r="L275" s="214">
        <f t="shared" si="19"/>
        <v>2.4567580739811579E-3</v>
      </c>
      <c r="M275" s="43">
        <v>11656544.130000001</v>
      </c>
      <c r="T275" s="207">
        <f t="shared" si="23"/>
        <v>43699</v>
      </c>
      <c r="U275" s="216">
        <v>100.574</v>
      </c>
      <c r="V275" s="214">
        <f t="shared" si="22"/>
        <v>2.5019188022687988E-3</v>
      </c>
      <c r="W275" s="43">
        <v>150862.41</v>
      </c>
      <c r="AC275" s="43">
        <v>25904411.670000002</v>
      </c>
    </row>
    <row r="276" spans="2:29" x14ac:dyDescent="0.3">
      <c r="B276" s="207">
        <v>43700</v>
      </c>
      <c r="C276" s="216">
        <v>98.628</v>
      </c>
      <c r="D276" s="214">
        <f t="shared" si="21"/>
        <v>-5.370841398040227E-4</v>
      </c>
      <c r="E276" s="43">
        <v>14080325.41</v>
      </c>
      <c r="K276">
        <v>100.729</v>
      </c>
      <c r="L276" s="214">
        <f t="shared" si="19"/>
        <v>-5.6555473974562176E-4</v>
      </c>
      <c r="M276" s="43">
        <v>11656619.689999999</v>
      </c>
      <c r="T276" s="207">
        <f t="shared" si="23"/>
        <v>43700</v>
      </c>
      <c r="U276" s="216">
        <v>100.521</v>
      </c>
      <c r="V276" s="214">
        <f t="shared" si="22"/>
        <v>-5.2697516256683397E-4</v>
      </c>
      <c r="W276" s="43">
        <v>150782.78</v>
      </c>
      <c r="AC276" s="43">
        <v>25887727.879999999</v>
      </c>
    </row>
    <row r="277" spans="2:29" x14ac:dyDescent="0.3">
      <c r="B277" s="207">
        <v>43703</v>
      </c>
      <c r="C277" s="216">
        <v>97.881</v>
      </c>
      <c r="D277" s="214">
        <f t="shared" si="21"/>
        <v>-7.5739141014722344E-3</v>
      </c>
      <c r="E277" s="43">
        <v>13968745.82</v>
      </c>
      <c r="K277">
        <v>99.971000000000004</v>
      </c>
      <c r="L277" s="214">
        <f t="shared" si="19"/>
        <v>-7.5251417168838985E-3</v>
      </c>
      <c r="M277" s="43">
        <v>11578154.210000001</v>
      </c>
      <c r="T277" s="207">
        <v>43703</v>
      </c>
      <c r="U277" s="216">
        <v>99.778999999999996</v>
      </c>
      <c r="V277" s="214">
        <f t="shared" si="22"/>
        <v>-7.3815421653187219E-3</v>
      </c>
      <c r="W277" s="43">
        <v>149669.13</v>
      </c>
      <c r="AC277" s="43">
        <v>25696569.16</v>
      </c>
    </row>
    <row r="278" spans="2:29" x14ac:dyDescent="0.3">
      <c r="B278" s="207">
        <v>43704</v>
      </c>
      <c r="C278" s="216">
        <v>98.116</v>
      </c>
      <c r="D278" s="214">
        <f t="shared" si="21"/>
        <v>2.400874531318653E-3</v>
      </c>
      <c r="E278" s="43">
        <v>13999248.66</v>
      </c>
      <c r="K278">
        <v>100.21</v>
      </c>
      <c r="L278" s="214">
        <f t="shared" si="19"/>
        <v>2.390693301057123E-3</v>
      </c>
      <c r="M278" s="43">
        <v>11487270.08</v>
      </c>
      <c r="T278" s="207">
        <v>43704</v>
      </c>
      <c r="U278" s="216">
        <v>100.021</v>
      </c>
      <c r="V278" s="214">
        <f t="shared" si="22"/>
        <v>2.4253600457011526E-3</v>
      </c>
      <c r="W278" s="43">
        <v>150032.57</v>
      </c>
      <c r="AC278" s="43">
        <v>25636551.310000002</v>
      </c>
    </row>
    <row r="279" spans="2:29" x14ac:dyDescent="0.3">
      <c r="B279" s="207">
        <v>43705</v>
      </c>
      <c r="C279" s="216">
        <v>98.009</v>
      </c>
      <c r="D279" s="214">
        <f t="shared" si="21"/>
        <v>-1.0905458844633342E-3</v>
      </c>
      <c r="E279" s="43">
        <v>13978914.67</v>
      </c>
      <c r="K279">
        <v>100.10899999999999</v>
      </c>
      <c r="L279" s="214">
        <f t="shared" si="19"/>
        <v>-1.007883444765989E-3</v>
      </c>
      <c r="M279" s="43">
        <v>11498145.800000001</v>
      </c>
      <c r="T279" s="207">
        <v>43705</v>
      </c>
      <c r="U279" s="216">
        <v>99.924999999999997</v>
      </c>
      <c r="V279" s="214">
        <f t="shared" si="22"/>
        <v>-9.5979844232718659E-4</v>
      </c>
      <c r="W279" s="43">
        <v>149888.21</v>
      </c>
      <c r="AC279" s="43">
        <v>25626948.68</v>
      </c>
    </row>
    <row r="280" spans="2:29" x14ac:dyDescent="0.3">
      <c r="B280" s="207">
        <v>43706</v>
      </c>
      <c r="C280" s="216">
        <v>98.09</v>
      </c>
      <c r="D280" s="214">
        <f t="shared" si="21"/>
        <v>8.2645471334275022E-4</v>
      </c>
      <c r="E280" s="43">
        <v>13993523.48</v>
      </c>
      <c r="K280">
        <v>100.19199999999999</v>
      </c>
      <c r="L280" s="214">
        <f t="shared" si="19"/>
        <v>8.290962850492356E-4</v>
      </c>
      <c r="M280" s="43">
        <v>11507031.92</v>
      </c>
      <c r="T280" s="207">
        <v>43706</v>
      </c>
      <c r="U280" s="216">
        <v>100.012</v>
      </c>
      <c r="V280" s="214">
        <f t="shared" si="22"/>
        <v>8.7065298974242644E-4</v>
      </c>
      <c r="W280" s="43">
        <v>150018.42000000001</v>
      </c>
      <c r="AC280" s="43">
        <v>25650573.82</v>
      </c>
    </row>
    <row r="281" spans="2:29" x14ac:dyDescent="0.3">
      <c r="B281" s="207">
        <v>43707</v>
      </c>
      <c r="C281" s="216">
        <v>98.373000000000005</v>
      </c>
      <c r="D281" s="214">
        <f t="shared" si="21"/>
        <v>2.885105515343156E-3</v>
      </c>
      <c r="E281" s="43">
        <v>14040930.42</v>
      </c>
      <c r="K281">
        <v>100.48</v>
      </c>
      <c r="L281" s="214">
        <f t="shared" si="19"/>
        <v>2.8744809964869056E-3</v>
      </c>
      <c r="M281" s="43">
        <v>11513751.82</v>
      </c>
      <c r="T281" s="207">
        <v>43707</v>
      </c>
      <c r="U281" s="216">
        <v>100.304</v>
      </c>
      <c r="V281" s="214">
        <f t="shared" si="22"/>
        <v>2.919649642042943E-3</v>
      </c>
      <c r="W281" s="43">
        <v>150457.35999999999</v>
      </c>
      <c r="AC281" s="43">
        <v>25705139.600000001</v>
      </c>
    </row>
    <row r="282" spans="2:29" x14ac:dyDescent="0.3">
      <c r="B282" s="207">
        <v>43710</v>
      </c>
      <c r="C282" s="216">
        <v>98.23</v>
      </c>
      <c r="D282" s="214">
        <f t="shared" si="21"/>
        <v>-1.4536509001453757E-3</v>
      </c>
      <c r="E282" s="43">
        <v>13987222.619999999</v>
      </c>
      <c r="K282">
        <v>100.333</v>
      </c>
      <c r="L282" s="214">
        <f t="shared" si="19"/>
        <v>-1.4629777070064298E-3</v>
      </c>
      <c r="M282" s="43">
        <v>11599037.84</v>
      </c>
      <c r="T282" s="207">
        <f>B282</f>
        <v>43710</v>
      </c>
      <c r="U282" s="216">
        <v>100.17100000000001</v>
      </c>
      <c r="V282" s="214">
        <f t="shared" si="22"/>
        <v>-1.3259690540755598E-3</v>
      </c>
      <c r="W282" s="43">
        <v>150256.65</v>
      </c>
      <c r="AC282" s="43">
        <v>25736517.109999999</v>
      </c>
    </row>
    <row r="283" spans="2:29" x14ac:dyDescent="0.3">
      <c r="B283" s="207">
        <v>43711</v>
      </c>
      <c r="C283" s="216">
        <v>98.254000000000005</v>
      </c>
      <c r="D283" s="214">
        <f t="shared" si="21"/>
        <v>2.4432454443656937E-4</v>
      </c>
      <c r="E283" s="43">
        <v>13967627.310000001</v>
      </c>
      <c r="K283">
        <v>100.349</v>
      </c>
      <c r="L283" s="214">
        <f t="shared" si="19"/>
        <v>1.5946896833551882E-4</v>
      </c>
      <c r="M283" s="43">
        <v>11730191.24</v>
      </c>
      <c r="T283" s="207">
        <f>B283</f>
        <v>43711</v>
      </c>
      <c r="U283" s="216">
        <v>100.191</v>
      </c>
      <c r="V283" s="214">
        <f t="shared" si="22"/>
        <v>1.9965858382153812E-4</v>
      </c>
      <c r="W283" s="43">
        <v>150287.79</v>
      </c>
      <c r="AC283" s="43">
        <v>25848106.34</v>
      </c>
    </row>
    <row r="284" spans="2:29" x14ac:dyDescent="0.3">
      <c r="B284" s="207">
        <v>43712</v>
      </c>
      <c r="C284" s="216">
        <v>98.054000000000002</v>
      </c>
      <c r="D284" s="214">
        <f t="shared" si="21"/>
        <v>-2.0355405377898705E-3</v>
      </c>
      <c r="E284" s="43">
        <v>13998501.119999999</v>
      </c>
      <c r="K284">
        <v>100.167</v>
      </c>
      <c r="L284" s="214">
        <f t="shared" si="19"/>
        <v>-1.8136702906855762E-3</v>
      </c>
      <c r="M284" s="43">
        <v>11708991.939999999</v>
      </c>
      <c r="T284" s="207">
        <f>B284</f>
        <v>43712</v>
      </c>
      <c r="U284" s="216">
        <v>100.014</v>
      </c>
      <c r="V284" s="214">
        <f t="shared" si="22"/>
        <v>-1.7666257448274436E-3</v>
      </c>
      <c r="W284" s="43">
        <v>150021.35999999999</v>
      </c>
      <c r="AC284" s="152">
        <v>25857514.419999998</v>
      </c>
    </row>
    <row r="285" spans="2:29" x14ac:dyDescent="0.3">
      <c r="B285" s="207">
        <v>43713</v>
      </c>
      <c r="C285" s="216">
        <v>98.561999999999998</v>
      </c>
      <c r="D285" s="214">
        <f t="shared" si="21"/>
        <v>5.1808187325350641E-3</v>
      </c>
      <c r="E285" s="43">
        <v>14098598.27</v>
      </c>
      <c r="K285">
        <v>100.697</v>
      </c>
      <c r="L285" s="214">
        <f t="shared" si="19"/>
        <v>5.2911637565267178E-3</v>
      </c>
      <c r="M285" s="43">
        <v>11770550.84</v>
      </c>
      <c r="T285" s="207">
        <f>B285</f>
        <v>43713</v>
      </c>
      <c r="U285" s="216">
        <v>100.547</v>
      </c>
      <c r="V285" s="214">
        <f t="shared" si="22"/>
        <v>5.3292539044533793E-3</v>
      </c>
      <c r="W285" s="43">
        <v>150821.34</v>
      </c>
      <c r="AC285" s="152">
        <v>26019970.449999999</v>
      </c>
    </row>
    <row r="286" spans="2:29" x14ac:dyDescent="0.3">
      <c r="B286" s="207">
        <v>43714</v>
      </c>
      <c r="C286" s="216">
        <v>99.117999999999995</v>
      </c>
      <c r="D286" s="214">
        <f t="shared" si="21"/>
        <v>5.6411192954688438E-3</v>
      </c>
      <c r="E286" s="43">
        <v>14195547.07</v>
      </c>
      <c r="K286">
        <v>101.273</v>
      </c>
      <c r="L286" s="214">
        <f t="shared" si="19"/>
        <v>5.7201306890968251E-3</v>
      </c>
      <c r="M286" s="43">
        <v>11861763.74</v>
      </c>
      <c r="T286" s="207">
        <f>B286</f>
        <v>43714</v>
      </c>
      <c r="U286" s="216">
        <v>101.127</v>
      </c>
      <c r="V286" s="214">
        <f t="shared" si="22"/>
        <v>5.76844659711373E-3</v>
      </c>
      <c r="W286" s="43">
        <v>151691.54999999999</v>
      </c>
      <c r="AC286" s="152">
        <v>26209002.360000003</v>
      </c>
    </row>
    <row r="287" spans="2:29" x14ac:dyDescent="0.3">
      <c r="B287" s="207">
        <v>43717</v>
      </c>
      <c r="C287" s="216">
        <v>99.212999999999994</v>
      </c>
      <c r="D287" s="214">
        <f t="shared" si="21"/>
        <v>9.5845356040280549E-4</v>
      </c>
      <c r="E287" s="43">
        <v>14239046.1</v>
      </c>
      <c r="K287">
        <v>101.381</v>
      </c>
      <c r="L287" s="214">
        <f t="shared" si="19"/>
        <v>1.0664244171694204E-3</v>
      </c>
      <c r="M287" s="43">
        <v>11874245.1</v>
      </c>
      <c r="T287" s="207">
        <v>43717</v>
      </c>
      <c r="U287" s="216">
        <v>101.232</v>
      </c>
      <c r="V287" s="214">
        <f t="shared" si="22"/>
        <v>1.0382983772880827E-3</v>
      </c>
      <c r="W287" s="43">
        <v>151848.95000000001</v>
      </c>
      <c r="AC287" s="152">
        <v>26265140.149999999</v>
      </c>
    </row>
    <row r="288" spans="2:29" x14ac:dyDescent="0.3">
      <c r="B288" s="207">
        <v>43718</v>
      </c>
      <c r="C288" s="216">
        <v>99.061000000000007</v>
      </c>
      <c r="D288" s="214">
        <f t="shared" si="21"/>
        <v>-1.5320572908791297E-3</v>
      </c>
      <c r="E288" s="43">
        <v>14214155.26</v>
      </c>
      <c r="K288">
        <v>101.22499999999999</v>
      </c>
      <c r="L288" s="214">
        <f t="shared" si="19"/>
        <v>-1.538749864373079E-3</v>
      </c>
      <c r="M288" s="43">
        <v>11980963.779999999</v>
      </c>
      <c r="T288" s="207">
        <v>43718</v>
      </c>
      <c r="U288" s="216">
        <v>101.09699999999999</v>
      </c>
      <c r="V288" s="214">
        <f t="shared" si="22"/>
        <v>-1.3335704125178038E-3</v>
      </c>
      <c r="W288" s="43">
        <v>151645.70000000001</v>
      </c>
      <c r="AC288" s="152">
        <v>26346764.739999998</v>
      </c>
    </row>
    <row r="289" spans="2:29" x14ac:dyDescent="0.3">
      <c r="B289" s="207"/>
      <c r="C289" s="216"/>
      <c r="D289" s="214"/>
      <c r="L289" s="214"/>
      <c r="T289" s="207"/>
      <c r="U289" s="216"/>
      <c r="V289" s="214"/>
      <c r="AC289" s="219"/>
    </row>
    <row r="290" spans="2:29" x14ac:dyDescent="0.3">
      <c r="B290" s="207"/>
      <c r="C290" s="216"/>
      <c r="D290" s="214"/>
      <c r="L290" s="214"/>
      <c r="T290" s="207"/>
      <c r="U290" s="216"/>
      <c r="V290" s="214"/>
      <c r="AC290" s="219"/>
    </row>
    <row r="291" spans="2:29" x14ac:dyDescent="0.3">
      <c r="B291" s="207"/>
      <c r="C291" s="216"/>
      <c r="D291" s="214"/>
      <c r="L291" s="214"/>
      <c r="T291" s="207"/>
      <c r="U291" s="216"/>
      <c r="V291" s="214"/>
      <c r="AC291" s="219"/>
    </row>
    <row r="292" spans="2:29" x14ac:dyDescent="0.3">
      <c r="B292" s="207"/>
      <c r="C292" s="216"/>
      <c r="D292" s="214"/>
      <c r="L292" s="214"/>
      <c r="T292" s="207"/>
      <c r="U292" s="216"/>
      <c r="V292" s="214"/>
      <c r="AC292" s="219"/>
    </row>
    <row r="293" spans="2:29" x14ac:dyDescent="0.3">
      <c r="B293" s="207"/>
      <c r="C293" s="216"/>
      <c r="D293" s="214"/>
      <c r="L293" s="214"/>
      <c r="T293" s="207"/>
      <c r="U293" s="216"/>
      <c r="V293" s="214"/>
      <c r="AC293" s="219"/>
    </row>
    <row r="294" spans="2:29" x14ac:dyDescent="0.3">
      <c r="B294" s="207"/>
      <c r="C294" s="216"/>
      <c r="D294" s="214"/>
      <c r="L294" s="214"/>
      <c r="T294" s="207"/>
      <c r="U294" s="216"/>
      <c r="V294" s="214"/>
      <c r="AC294" s="219"/>
    </row>
    <row r="295" spans="2:29" x14ac:dyDescent="0.3">
      <c r="B295" s="207"/>
      <c r="C295" s="216"/>
      <c r="D295" s="214"/>
      <c r="L295" s="214"/>
      <c r="T295" s="207"/>
      <c r="U295" s="216"/>
      <c r="V295" s="214"/>
      <c r="AC295" s="219"/>
    </row>
    <row r="296" spans="2:29" x14ac:dyDescent="0.3">
      <c r="B296" s="207"/>
      <c r="C296" s="216"/>
      <c r="D296" s="214"/>
      <c r="L296" s="214"/>
      <c r="T296" s="207"/>
      <c r="U296" s="216"/>
      <c r="V296" s="214"/>
      <c r="AC296" s="219"/>
    </row>
    <row r="297" spans="2:29" x14ac:dyDescent="0.3">
      <c r="B297" s="207"/>
      <c r="E297" s="43" t="s">
        <v>142</v>
      </c>
      <c r="F297" s="118">
        <f>C138/C116-1</f>
        <v>4.8573804041954549E-2</v>
      </c>
      <c r="M297" s="43" t="s">
        <v>142</v>
      </c>
      <c r="N297" s="118">
        <f>K138/K116-1</f>
        <v>4.9485813926616773E-2</v>
      </c>
      <c r="T297" s="207"/>
      <c r="U297" s="216"/>
      <c r="V297" s="118"/>
      <c r="W297" s="43" t="s">
        <v>142</v>
      </c>
      <c r="X297" s="118">
        <f>U138/U116-1</f>
        <v>5.0828776124464792E-2</v>
      </c>
    </row>
    <row r="298" spans="2:29" x14ac:dyDescent="0.3">
      <c r="E298" s="43" t="s">
        <v>143</v>
      </c>
      <c r="F298" s="118">
        <f>C75/C32-1</f>
        <v>-3.9666905444125988E-2</v>
      </c>
      <c r="M298" s="43" t="s">
        <v>143</v>
      </c>
      <c r="N298" s="118">
        <f>K75/K32-1</f>
        <v>-3.8584735104543189E-2</v>
      </c>
      <c r="T298" s="207"/>
      <c r="V298" s="118"/>
      <c r="W298" s="43" t="s">
        <v>143</v>
      </c>
      <c r="X298" s="118">
        <f>U75/U32-1</f>
        <v>-3.3508502008112395E-2</v>
      </c>
    </row>
    <row r="299" spans="2:29" x14ac:dyDescent="0.3">
      <c r="E299" s="43" t="s">
        <v>144</v>
      </c>
      <c r="F299" s="118">
        <f>C138/C75-1</f>
        <v>1.9145299145299166E-2</v>
      </c>
      <c r="M299" s="43" t="s">
        <v>144</v>
      </c>
      <c r="N299" s="118">
        <f>K138/K75-1</f>
        <v>2.106306656174306E-2</v>
      </c>
      <c r="V299" s="118"/>
      <c r="W299" s="43" t="s">
        <v>144</v>
      </c>
      <c r="X299" s="118">
        <f>U138/U75-1</f>
        <v>2.4932809592722815E-2</v>
      </c>
    </row>
    <row r="300" spans="2:29" x14ac:dyDescent="0.3">
      <c r="E300" s="43" t="s">
        <v>148</v>
      </c>
      <c r="F300" s="118">
        <f>C138/100-1</f>
        <v>-1.6270000000000007E-2</v>
      </c>
      <c r="M300" s="43" t="s">
        <v>148</v>
      </c>
      <c r="N300" s="118">
        <f>K138/100-1</f>
        <v>-9.000000000000119E-4</v>
      </c>
      <c r="W300" s="43" t="s">
        <v>148</v>
      </c>
      <c r="X300" s="118">
        <f>U138/100-1</f>
        <v>-8.4800000000000431E-3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8AE4-680A-4530-A170-8DE43D93F818}">
  <dimension ref="D1"/>
  <sheetViews>
    <sheetView workbookViewId="0">
      <selection activeCell="A2" sqref="A2:D2"/>
    </sheetView>
  </sheetViews>
  <sheetFormatPr defaultRowHeight="14.4" x14ac:dyDescent="0.3"/>
  <cols>
    <col min="4" max="4" width="10.33203125" style="43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2D30FBBBF594EB7963B736C8289F7" ma:contentTypeVersion="10" ma:contentTypeDescription="Create a new document." ma:contentTypeScope="" ma:versionID="f9da73f378aae27b09e5c5f2673a78f1">
  <xsd:schema xmlns:xsd="http://www.w3.org/2001/XMLSchema" xmlns:xs="http://www.w3.org/2001/XMLSchema" xmlns:p="http://schemas.microsoft.com/office/2006/metadata/properties" xmlns:ns2="6c1f7a9f-07c0-4d2a-b9b8-38b8700cab8c" xmlns:ns3="651c54d8-6093-497e-b3b7-9e3800dbe42f" targetNamespace="http://schemas.microsoft.com/office/2006/metadata/properties" ma:root="true" ma:fieldsID="c67916ede081324c4aca7ff198117517" ns2:_="" ns3:_="">
    <xsd:import namespace="6c1f7a9f-07c0-4d2a-b9b8-38b8700cab8c"/>
    <xsd:import namespace="651c54d8-6093-497e-b3b7-9e3800dbe42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1f7a9f-07c0-4d2a-b9b8-38b8700cab8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c54d8-6093-497e-b3b7-9e3800dbe4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5FB2FF-CBAF-4B1D-8CD9-1E3DEFF07C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1f7a9f-07c0-4d2a-b9b8-38b8700cab8c"/>
    <ds:schemaRef ds:uri="651c54d8-6093-497e-b3b7-9e3800dbe4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328B7F-014D-43EC-A3E9-E02F46B22C5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51c54d8-6093-497e-b3b7-9e3800dbe42f"/>
    <ds:schemaRef ds:uri="http://purl.org/dc/elements/1.1/"/>
    <ds:schemaRef ds:uri="http://schemas.microsoft.com/office/2006/metadata/properties"/>
    <ds:schemaRef ds:uri="http://purl.org/dc/terms/"/>
    <ds:schemaRef ds:uri="6c1f7a9f-07c0-4d2a-b9b8-38b8700cab8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BC426C-B955-4C14-A3A5-878E1A25E6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workings</vt:lpstr>
      <vt:lpstr>accruals</vt:lpstr>
      <vt:lpstr>Sheet1 (2)</vt:lpstr>
      <vt:lpstr>final</vt:lpstr>
      <vt:lpstr>Daily NAV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Glenvis Ng</dc:creator>
  <cp:keywords/>
  <dc:description/>
  <cp:lastModifiedBy>dealing</cp:lastModifiedBy>
  <cp:revision/>
  <cp:lastPrinted>2019-06-11T08:37:56Z</cp:lastPrinted>
  <dcterms:created xsi:type="dcterms:W3CDTF">2018-07-16T02:59:13Z</dcterms:created>
  <dcterms:modified xsi:type="dcterms:W3CDTF">2019-09-11T08:19:33Z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0x010100E932D30FBBBF594EB7963B736C8289F7</vt:lpwstr>
  </property>
  <property fmtid="{D5CDD505-2E9C-101B-9397-08002B2CF9AE}" pid="3" name="AuthorIds_UIVersion_21504">
    <vt:lpwstr>15,13</vt:lpwstr>
  </property>
</Properties>
</file>