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jpeg" ContentType="image/jpeg"/>
  <Default Extension="JPG" ContentType="image/.jpg"/>
  <Default Extension="png" ContentType="image/png"/>
  <Default Extension="emf" ContentType="image/x-emf"/>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omments1.xml" ContentType="application/vnd.openxmlformats-officedocument.spreadsheetml.comments+xml"/>
  <Override PartName="/xl/comments10.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nnections.xml" ContentType="application/vnd.openxmlformats-officedocument.spreadsheetml.connection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embeddings/Microsoft_Visio_2003-2010___1.vsd" ContentType="application/vnd.visio"/>
  <Override PartName="/xl/embeddings/Microsoft_Visio_2003-2010___2.vsd" ContentType="application/vnd.visio"/>
  <Override PartName="/xl/embeddings/Microsoft_Visio_2003-2010___3.vsd" ContentType="application/vnd.visio"/>
  <Override PartName="/xl/embeddings/Microsoft_Visio_2003-2010___4.vsd" ContentType="application/vnd.visio"/>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queryTables/queryTable1.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updateLinks="never"/>
  <bookViews>
    <workbookView windowHeight="17940" tabRatio="738" firstSheet="1" activeTab="1"/>
  </bookViews>
  <sheets>
    <sheet name="物质电阻率表" sheetId="11" state="hidden" r:id="rId1"/>
    <sheet name="目录" sheetId="46" r:id="rId2"/>
    <sheet name="1_电阻 电容 并联,电抗计算" sheetId="2" r:id="rId3"/>
    <sheet name="PIC(待补充)" sheetId="5" state="hidden" r:id="rId4"/>
    <sheet name="数组" sheetId="6" state="hidden" r:id="rId5"/>
    <sheet name="Sheet1" sheetId="7" state="hidden" r:id="rId6"/>
    <sheet name="仪表类" sheetId="18" state="hidden" r:id="rId7"/>
    <sheet name="一般计算公式" sheetId="21" state="hidden" r:id="rId8"/>
    <sheet name="2_电阻表-常用电阻值" sheetId="19" r:id="rId9"/>
    <sheet name="计算采样电路" sheetId="25" state="hidden" r:id="rId10"/>
    <sheet name="D类功放L-C滤波器设计" sheetId="38" state="hidden" r:id="rId11"/>
    <sheet name="3_电容RC充电计算器" sheetId="35" r:id="rId12"/>
    <sheet name="4_电容RC放电计算器 " sheetId="36" r:id="rId13"/>
    <sheet name="5_电阻噪声计算" sheetId="41" r:id="rId14"/>
    <sheet name="6_MOS选型（待优化）" sheetId="45" r:id="rId15"/>
    <sheet name="7_压敏电阻选型" sheetId="43" r:id="rId16"/>
    <sheet name="8_TVS选型（待补充）" sheetId="44" r:id="rId17"/>
    <sheet name="9_放大器配置常用设计公式" sheetId="1" r:id="rId18"/>
    <sheet name="10_运放噪声计算" sheetId="40" r:id="rId19"/>
    <sheet name="11_运放的闪烁噪声" sheetId="39" r:id="rId20"/>
    <sheet name="12_进制转换" sheetId="47" r:id="rId21"/>
    <sheet name="13_常用单位转换" sheetId="50" r:id="rId22"/>
    <sheet name="14_AWG载流量查询表+SWG_AWG线规对照表" sheetId="30" r:id="rId23"/>
    <sheet name="15_ASCII" sheetId="17" r:id="rId24"/>
    <sheet name="16_典型电路计算" sheetId="4" r:id="rId25"/>
    <sheet name="17_无源滤波" sheetId="49" r:id="rId26"/>
    <sheet name="18_有源滤波" sheetId="51" r:id="rId27"/>
    <sheet name="19_BUCK" sheetId="54" r:id="rId28"/>
    <sheet name="20_BOOST（待补充）" sheetId="53" r:id="rId29"/>
    <sheet name="21_反激式开关电源" sheetId="66" r:id="rId30"/>
    <sheet name="22_PCB过孔电流计算器" sheetId="34" r:id="rId31"/>
    <sheet name="23_走线电流计算" sheetId="60" r:id="rId32"/>
    <sheet name="24_上升时间与线长" sheetId="61" r:id="rId33"/>
    <sheet name="25_漆包线数据速查表" sheetId="64" r:id="rId34"/>
    <sheet name="26_同轴线阻抗计算" sheetId="65" r:id="rId35"/>
    <sheet name="27_单板MTBF计算模板" sheetId="42" r:id="rId36"/>
  </sheets>
  <externalReferences>
    <externalReference r:id="rId38"/>
    <externalReference r:id="rId39"/>
  </externalReferences>
  <definedNames>
    <definedName name="_xlnm._FilterDatabase" localSheetId="29" hidden="1">'21_反激式开关电源'!$A$1:$I$17</definedName>
    <definedName name="CAP_BTL">[1]Calculations!$J$7</definedName>
    <definedName name="dd_mode">[1]Dropdowns!$A$2:$A$5</definedName>
    <definedName name="INDC_BTL">[1]Calculations!$J$6</definedName>
    <definedName name="LOAD1_BTL" localSheetId="21">'[2]D类功放L-C滤波器设计'!$R$52</definedName>
    <definedName name="LOAD1_BTL" localSheetId="27">'[2]D类功放L-C滤波器设计'!$R$52</definedName>
    <definedName name="LOAD1_BTL">'D类功放L-C滤波器设计'!$R$52</definedName>
    <definedName name="LOAD2_BTL" localSheetId="21">'[2]D类功放L-C滤波器设计'!$R$53</definedName>
    <definedName name="LOAD2_BTL" localSheetId="27">'[2]D类功放L-C滤波器设计'!$R$53</definedName>
    <definedName name="LOAD2_BTL">'D类功放L-C滤波器设计'!$R$53</definedName>
    <definedName name="LOAD3_BTL" localSheetId="21">'[2]D类功放L-C滤波器设计'!$R$54</definedName>
    <definedName name="LOAD3_BTL" localSheetId="27">'[2]D类功放L-C滤波器设计'!$R$54</definedName>
    <definedName name="LOAD3_BTL">'D类功放L-C滤波器设计'!$R$54</definedName>
    <definedName name="LOAD4_BTL" localSheetId="21">'[2]D类功放L-C滤波器设计'!$R$55</definedName>
    <definedName name="LOAD4_BTL" localSheetId="27">'[2]D类功放L-C滤波器设计'!$R$55</definedName>
    <definedName name="LOAD4_BTL">'D类功放L-C滤波器设计'!$R$55</definedName>
    <definedName name="LOAD5_BTL" localSheetId="21">'[2]D类功放L-C滤波器设计'!$R$56</definedName>
    <definedName name="LOAD5_BTL" localSheetId="27">'[2]D类功放L-C滤波器设计'!$R$56</definedName>
    <definedName name="LOAD5_BTL">'D类功放L-C滤波器设计'!$R$56</definedName>
    <definedName name="_xlnm.Print_Titles" localSheetId="29">'21_反激式开关电源'!$1:$3</definedName>
    <definedName name="var_cutoff" localSheetId="21">'[2]D类功放L-C滤波器设计'!$D$23</definedName>
    <definedName name="var_cutoff" localSheetId="27">'[2]D类功放L-C滤波器设计'!$D$23</definedName>
    <definedName name="var_cutoff">'D类功放L-C滤波器设计'!$D$23</definedName>
    <definedName name="var_load" localSheetId="21">'[2]D类功放L-C滤波器设计'!$D$21</definedName>
    <definedName name="var_load" localSheetId="27">'[2]D类功放L-C滤波器设计'!$D$21</definedName>
    <definedName name="var_load">'D类功放L-C滤波器设计'!$D$21</definedName>
    <definedName name="var_loadfactor" localSheetId="21">'[2]D类功放L-C滤波器设计'!$D$16</definedName>
    <definedName name="var_loadfactor" localSheetId="27">'[2]D类功放L-C滤波器设计'!$D$16</definedName>
    <definedName name="var_loadfactor">'D类功放L-C滤波器设计'!$D$16</definedName>
    <definedName name="var_outputconfig">'D类功放L-C滤波器设计'!$D$14</definedName>
    <definedName name="var_q" localSheetId="21">'[2]D类功放L-C滤波器设计'!$D$25</definedName>
    <definedName name="var_q" localSheetId="27">'[2]D类功放L-C滤波器设计'!$D$25</definedName>
    <definedName name="var_q">'D类功放L-C滤波器设计'!$D$25</definedName>
    <definedName name="var_switchmode" localSheetId="21">'[2]D类功放L-C滤波器设计'!$D$12</definedName>
    <definedName name="var_switchmode" localSheetId="27">'[2]D类功放L-C滤波器设计'!$D$12</definedName>
    <definedName name="var_switchmode">'D类功放L-C滤波器设计'!$D$12</definedName>
    <definedName name="Z_DB043DE1_D13C_404B_960E_07E1D085D1B0_.wvu.PrintTitles" localSheetId="29" hidden="1">'21_反激式开关电源'!$1:$3</definedName>
    <definedName name="电阻表_1" localSheetId="8">'2_电阻表-常用电阻值'!$A$1:$CR$3</definedName>
  </definedNames>
  <calcPr calcId="144525"/>
</workbook>
</file>

<file path=xl/comments1.xml><?xml version="1.0" encoding="utf-8"?>
<comments xmlns="http://schemas.openxmlformats.org/spreadsheetml/2006/main">
  <authors>
    <author>wangjiati</author>
  </authors>
  <commentList>
    <comment ref="I35" authorId="0">
      <text>
        <r>
          <rPr>
            <b/>
            <sz val="9"/>
            <rFont val="宋体"/>
            <charset val="134"/>
          </rPr>
          <t>wangjiati:</t>
        </r>
        <r>
          <rPr>
            <sz val="9"/>
            <rFont val="宋体"/>
            <charset val="134"/>
          </rPr>
          <t xml:space="preserve">
??  负数</t>
        </r>
      </text>
    </comment>
  </commentList>
</comments>
</file>

<file path=xl/comments10.xml><?xml version="1.0" encoding="utf-8"?>
<comments xmlns="http://schemas.openxmlformats.org/spreadsheetml/2006/main">
  <authors>
    <author>62411df0-0d49-44a1-9364-23898207f321</author>
  </authors>
  <commentList>
    <comment ref="C7" authorId="0">
      <text>
        <r>
          <rPr>
            <sz val="11"/>
            <color indexed="8"/>
            <rFont val="宋体"/>
            <scheme val="minor"/>
            <charset val="0"/>
          </rPr>
          <t xml:space="preserve">〞以夢﹎為馬╮: Subtrate Material Selection:
[FR4-4.6,FR5-4.3,Getek ML200C-3.8,Getek ML200D-3.9,Getek ML200M-3.8,Getek RG200D-4.2,Polyimide-3.4,Teflon PTFE-
</t>
        </r>
      </text>
    </comment>
  </commentList>
</comments>
</file>

<file path=xl/comments2.xml><?xml version="1.0" encoding="utf-8"?>
<comments xmlns="http://schemas.openxmlformats.org/spreadsheetml/2006/main">
  <authors>
    <author>wangjiati</author>
  </authors>
  <commentList>
    <comment ref="N4" authorId="0">
      <text>
        <r>
          <rPr>
            <b/>
            <sz val="9"/>
            <rFont val="宋体"/>
            <charset val="134"/>
          </rPr>
          <t>wangjiati:</t>
        </r>
        <r>
          <rPr>
            <sz val="9"/>
            <rFont val="宋体"/>
            <charset val="134"/>
          </rPr>
          <t xml:space="preserve">
作用是车速正偏差.例如 当前车速是100公里.实际显示的确实108</t>
        </r>
      </text>
    </comment>
  </commentList>
</comments>
</file>

<file path=xl/comments3.xml><?xml version="1.0" encoding="utf-8"?>
<comments xmlns="http://schemas.openxmlformats.org/spreadsheetml/2006/main">
  <authors>
    <author>WangJiati</author>
  </authors>
  <commentList>
    <comment ref="C16" authorId="0">
      <text>
        <r>
          <rPr>
            <b/>
            <sz val="9"/>
            <rFont val="宋体"/>
            <charset val="134"/>
          </rPr>
          <t>WangJiati:</t>
        </r>
        <r>
          <rPr>
            <sz val="9"/>
            <rFont val="宋体"/>
            <charset val="134"/>
          </rPr>
          <t xml:space="preserve">
这里输入的是要您要的电阻</t>
        </r>
      </text>
    </comment>
  </commentList>
</comments>
</file>

<file path=xl/comments4.xml><?xml version="1.0" encoding="utf-8"?>
<comments xmlns="http://schemas.openxmlformats.org/spreadsheetml/2006/main">
  <authors>
    <author>a0872821</author>
  </authors>
  <commentList>
    <comment ref="A6" authorId="0">
      <text>
        <r>
          <rPr>
            <b/>
            <sz val="9"/>
            <rFont val="Tahoma"/>
            <charset val="134"/>
          </rPr>
          <t>Enter a resistor value. Thermal noise density values at three temperatures are are calculated to the right.
Note… this does not affect the diplayed graph.</t>
        </r>
      </text>
    </comment>
  </commentList>
</comments>
</file>

<file path=xl/comments5.xml><?xml version="1.0" encoding="utf-8"?>
<comments xmlns="http://schemas.openxmlformats.org/spreadsheetml/2006/main">
  <authors>
    <author>a0872821</author>
  </authors>
  <commentList>
    <comment ref="E3" authorId="0">
      <text>
        <r>
          <rPr>
            <b/>
            <sz val="9"/>
            <rFont val="Tahoma"/>
            <charset val="134"/>
          </rPr>
          <t>Noise sources are referred to the non-inverting input (RTI).</t>
        </r>
      </text>
    </comment>
    <comment ref="A5" authorId="0">
      <text>
        <r>
          <rPr>
            <b/>
            <sz val="9"/>
            <rFont val="Tahoma"/>
            <charset val="134"/>
          </rPr>
          <t xml:space="preserve">The source is assumed to be purely resistive and a fixed value, though it is possible to change the effective resistance of a source with a transformer.
There is never a noise advantage in adding a series resistor to increase the source resistance.
</t>
        </r>
      </text>
    </comment>
    <comment ref="F5" authorId="0">
      <text>
        <r>
          <rPr>
            <b/>
            <sz val="9"/>
            <rFont val="Tahoma"/>
            <charset val="134"/>
          </rPr>
          <t>In a low noise amplifier, the thermal noise of source resistance should dominate. Reduce the effective source resistance, if possible.
With a given source resistance, improve noise performance by reducing the other contributors below this cell.</t>
        </r>
      </text>
    </comment>
    <comment ref="G5" authorId="0">
      <text>
        <r>
          <rPr>
            <b/>
            <sz val="9"/>
            <rFont val="Tahoma"/>
            <charset val="134"/>
          </rPr>
          <t xml:space="preserve">Contributes directly to input referred noise.
</t>
        </r>
      </text>
    </comment>
    <comment ref="A6" authorId="0">
      <text>
        <r>
          <rPr>
            <b/>
            <sz val="9"/>
            <rFont val="Tahoma"/>
            <charset val="134"/>
          </rPr>
          <t>This specification is found in most good op amp data sheets. Note that this is a spot noise number, at one specific frequency. Spot noise will vary with frequency. See spectral density graph in most data sheets.</t>
        </r>
      </text>
    </comment>
    <comment ref="F6" authorId="0">
      <text>
        <r>
          <rPr>
            <b/>
            <sz val="9"/>
            <rFont val="Tahoma"/>
            <charset val="134"/>
          </rPr>
          <t>Reduce this contribution by selecting an op amp with lower voltage noise.</t>
        </r>
      </text>
    </comment>
    <comment ref="G6" authorId="0">
      <text>
        <r>
          <rPr>
            <b/>
            <sz val="9"/>
            <rFont val="Tahoma"/>
            <charset val="134"/>
          </rPr>
          <t>Contributes directly to input-referred noise.</t>
        </r>
      </text>
    </comment>
    <comment ref="A7" authorId="0">
      <text>
        <r>
          <rPr>
            <b/>
            <sz val="9"/>
            <rFont val="Tahoma"/>
            <charset val="134"/>
          </rPr>
          <t>The current noise is assumed to have the same value for both inverting and non-inverting inputs.
Note that current-feedback op amps have a much larger current noise on the inverting input. This worksheet could be modified for this type of amplifier.</t>
        </r>
      </text>
    </comment>
    <comment ref="F7" authorId="0">
      <text>
        <r>
          <rPr>
            <b/>
            <sz val="9"/>
            <rFont val="Tahoma"/>
            <charset val="134"/>
          </rPr>
          <t xml:space="preserve">Reduce this contribution by selecting an op amp with lower current noise. </t>
        </r>
      </text>
    </comment>
    <comment ref="G7" authorId="0">
      <text>
        <r>
          <rPr>
            <b/>
            <sz val="9"/>
            <rFont val="Tahoma"/>
            <charset val="134"/>
          </rPr>
          <t>Non-inverting input current noise flows in source resistance contributing to RTI noise.</t>
        </r>
      </text>
    </comment>
    <comment ref="F8" authorId="0">
      <text>
        <r>
          <rPr>
            <b/>
            <sz val="9"/>
            <rFont val="Tahoma"/>
            <charset val="134"/>
          </rPr>
          <t>Reduce this contribution by reducing R1//R2 or selecting an op amp with lower current noise.</t>
        </r>
      </text>
    </comment>
    <comment ref="G8" authorId="0">
      <text>
        <r>
          <rPr>
            <b/>
            <sz val="9"/>
            <rFont val="Tahoma"/>
            <charset val="134"/>
          </rPr>
          <t>Inverting input current noise reacts with R1 in parallel with R2 to create RTI noise contribution.
 = In * R2 / G</t>
        </r>
      </text>
    </comment>
    <comment ref="A9" authorId="0">
      <text>
        <r>
          <rPr>
            <b/>
            <sz val="9"/>
            <rFont val="Tahoma"/>
            <charset val="134"/>
          </rPr>
          <t>R1 and R2 set the amplifier gain.
For G=1, enter very large number such as 1e12 for R1 and zero for R2.</t>
        </r>
      </text>
    </comment>
    <comment ref="F9" authorId="0">
      <text>
        <r>
          <rPr>
            <b/>
            <sz val="9"/>
            <rFont val="Tahoma"/>
            <charset val="134"/>
          </rPr>
          <t>Reduce this contribution by reducing the value of R1.</t>
        </r>
      </text>
    </comment>
    <comment ref="G9" authorId="0">
      <text>
        <r>
          <rPr>
            <b/>
            <sz val="9"/>
            <rFont val="Tahoma"/>
            <charset val="134"/>
          </rPr>
          <t>R1's thermal noise is amplified to the output by the inverting gain, -R2/R1. Then referred to non-inverting input by dividing by 1+R2/R1.</t>
        </r>
      </text>
    </comment>
    <comment ref="F10" authorId="0">
      <text>
        <r>
          <rPr>
            <b/>
            <sz val="9"/>
            <rFont val="Tahoma"/>
            <charset val="134"/>
          </rPr>
          <t>Reduce this contribution by reducing R1//R2.</t>
        </r>
      </text>
    </comment>
    <comment ref="G10" authorId="0">
      <text>
        <r>
          <rPr>
            <b/>
            <sz val="9"/>
            <rFont val="Tahoma"/>
            <charset val="134"/>
          </rPr>
          <t>R2's thermal noise contributes directly to output noise. Then referred to input by dividing by the non-inverting gain, 1+R2/R1.</t>
        </r>
      </text>
    </comment>
    <comment ref="G11" authorId="0">
      <text>
        <r>
          <rPr>
            <b/>
            <sz val="9"/>
            <rFont val="Tahoma"/>
            <charset val="134"/>
          </rPr>
          <t>G=1+R2/R1</t>
        </r>
      </text>
    </comment>
    <comment ref="G13" authorId="0">
      <text>
        <r>
          <rPr>
            <b/>
            <sz val="9"/>
            <rFont val="Tahoma"/>
            <charset val="134"/>
          </rPr>
          <t>Total RTI noise, including thermal noise of Rs and accumulated noise sources of the op amp and feedback network.
Equals the root-sum-of-squares of all the RTI contributors listed above.</t>
        </r>
      </text>
    </comment>
    <comment ref="F15" authorId="0">
      <text>
        <r>
          <rPr>
            <b/>
            <sz val="9"/>
            <rFont val="Tahoma"/>
            <charset val="134"/>
          </rPr>
          <t>Output noise is equal to the total RTI noise times the non-inverting gain.</t>
        </r>
      </text>
    </comment>
    <comment ref="B17" authorId="0">
      <text>
        <r>
          <rPr>
            <b/>
            <sz val="9"/>
            <rFont val="Tahoma"/>
            <charset val="134"/>
          </rPr>
          <t>R1+R2 acts as a load resistance on the op amp. Most common signal op amps can drive 2k-ohms. This cell is set to alarm on values less than 2000 as a caution that the load may be too low for some op amps.</t>
        </r>
      </text>
    </comment>
    <comment ref="B18" authorId="0">
      <text>
        <r>
          <rPr>
            <b/>
            <sz val="9"/>
            <rFont val="Tahoma"/>
            <charset val="134"/>
          </rPr>
          <t>A measure in dB of the noise contributed by the amplfier and feedback network. 0dB is a "perfect" amplfier that adds no noise to that of the source resistance.</t>
        </r>
      </text>
    </comment>
  </commentList>
</comments>
</file>

<file path=xl/comments6.xml><?xml version="1.0" encoding="utf-8"?>
<comments xmlns="http://schemas.openxmlformats.org/spreadsheetml/2006/main">
  <authors>
    <author>a0872821</author>
  </authors>
  <commentList>
    <comment ref="B4" authorId="0">
      <text>
        <r>
          <rPr>
            <b/>
            <sz val="9"/>
            <rFont val="Tahoma"/>
            <charset val="134"/>
          </rPr>
          <t xml:space="preserve">Enter a frequency at which to specify the 1/f noise.
</t>
        </r>
      </text>
    </comment>
    <comment ref="C4" authorId="0">
      <text>
        <r>
          <rPr>
            <b/>
            <sz val="9"/>
            <rFont val="Tahoma"/>
            <charset val="134"/>
          </rPr>
          <t xml:space="preserve">Enter a value for the 1/f noise at the frequency entered in the cell to the left. This value should be a point on the 1/f line, not influenced by the flatband noise.
</t>
        </r>
      </text>
    </comment>
    <comment ref="D4" authorId="0">
      <text>
        <r>
          <rPr>
            <b/>
            <sz val="9"/>
            <rFont val="Tahoma"/>
            <charset val="134"/>
          </rPr>
          <t>Enter the flatband noise voltage density in V/rt-Hz.</t>
        </r>
      </text>
    </comment>
    <comment ref="H27" authorId="0">
      <text>
        <r>
          <rPr>
            <b/>
            <sz val="9"/>
            <rFont val="Tahoma"/>
            <charset val="134"/>
          </rPr>
          <t>Enter the lower freqnecy over which to integrate the total noise.</t>
        </r>
      </text>
    </comment>
    <comment ref="H28" authorId="0">
      <text>
        <r>
          <rPr>
            <b/>
            <sz val="9"/>
            <rFont val="Tahoma"/>
            <charset val="134"/>
          </rPr>
          <t>Enter the upper frequency of the desired integrated bandwidth.</t>
        </r>
      </text>
    </comment>
    <comment ref="I28" authorId="0">
      <text>
        <r>
          <rPr>
            <b/>
            <sz val="9"/>
            <rFont val="Tahoma"/>
            <charset val="134"/>
          </rPr>
          <t>The 1/f noise contribution to the total noise over the entered frequency range.</t>
        </r>
      </text>
    </comment>
    <comment ref="J28" authorId="0">
      <text>
        <r>
          <rPr>
            <b/>
            <sz val="9"/>
            <rFont val="Tahoma"/>
            <charset val="134"/>
          </rPr>
          <t>The flatband noise contribution over the desired frequency range.</t>
        </r>
      </text>
    </comment>
    <comment ref="K28" authorId="0">
      <text>
        <r>
          <rPr>
            <b/>
            <sz val="9"/>
            <rFont val="Tahoma"/>
            <charset val="134"/>
          </rPr>
          <t>The total noise contribution including 1/f and flatband noise integrated over the desired frequency range.</t>
        </r>
      </text>
    </comment>
  </commentList>
</comments>
</file>

<file path=xl/comments7.xml><?xml version="1.0" encoding="utf-8"?>
<comments xmlns="http://schemas.openxmlformats.org/spreadsheetml/2006/main">
  <authors>
    <author>作者</author>
  </authors>
  <commentList>
    <comment ref="A6" authorId="0">
      <text>
        <r>
          <rPr>
            <b/>
            <sz val="9"/>
            <rFont val="宋体"/>
            <charset val="134"/>
          </rPr>
          <t>作者:</t>
        </r>
        <r>
          <rPr>
            <sz val="9"/>
            <rFont val="宋体"/>
            <charset val="134"/>
          </rPr>
          <t xml:space="preserve">
PSI英文全称为Pounds per square inch。P是磅pound，S是平方square，I是英寸inch。把所有的单位换成公制单位就可以算出：1bar≈14.5psi 
1psi=6.895kPa=0.06895bar 欧美等国家习惯使用psi作单位 
在中国，我们一般把气体的压力用“公斤”描述（而不是“斤”），体单位是“kg/cm2”,一公斤压力就是 一公斤的力作用在一个平方厘上。 
而在国外常用的单位是“Psi”，具体单位是“lb/in2”, 就是“磅/平方英寸”，这个单位就像华氏温标（F ）。 
此外，还有Pa（帕斯卡，一牛顿作用在一平方米上），KPa，Mpa，Bar，毫米水柱，毫米汞柱等压力单位。 
1巴(bar)=0.1兆帕(MPa)=100千帕(KPa)=1.0197 公斤/平方厘米 
1标准大气压（ATM）=0.101325兆帕(MPa)=1.0333巴（bar） 
因为单位相差都很小，你又不是工程人员。所以，可以这样记： 
1巴（bar）=1标准大气压（ATM）=1公斤/平方厘米 =100千帕（KPa)=0.1兆帕（MPa） 
psi的 换算如下： 
1标准大气压(atm)=14.696磅/英寸2(psi) 
如果你有闲心，又肯钻研，看看这个换算关系表吧！ 
压力换算关系： 
压力 1巴（bar）=105帕（Pa） 1达因/厘米2 （dyn/cm2）=0.1帕（Pa） 
1托（Torr）=133.322帕（Pa） 1毫米汞柱（mmHg）=133.322帕（Pa） 
1毫米水柱（mmH2O）=9.80665帕（Pa） 
1工程大气压=98.0665千帕（kPa） 
1千帕（kPa）=0.145磅力/英寸2（psi）=0.0102千克力/厘米2（kgf/cm2）=0.0098大气压（atm） 
1磅力/英寸2（psi）=6.895千帕（kPa）=0.0703千克力/厘米2（kg/cm2） =0.0689巴（bar）=0.068大气压（atm） 
1物理大气压（atm）=101.325千帕（kPa）=14.696磅/英寸2（psi）=1.0333巴（bar） 
</t>
        </r>
      </text>
    </comment>
  </commentList>
</comments>
</file>

<file path=xl/comments8.xml><?xml version="1.0" encoding="utf-8"?>
<comments xmlns="http://schemas.openxmlformats.org/spreadsheetml/2006/main">
  <authors>
    <author>jianjun8410</author>
    <author>zhouguoping</author>
  </authors>
  <commentList>
    <comment ref="C58" authorId="0">
      <text>
        <r>
          <rPr>
            <sz val="9"/>
            <rFont val="宋体"/>
            <charset val="134"/>
          </rPr>
          <t xml:space="preserve">1.若芯片不要求绝缘，采用导热油脂或导热垫后，再与散热器安装，RCS典型值：0.1~0.2°C/W；
2.若需要另外加云母片绝缘，RCS可取：1~2°C/W；
</t>
        </r>
      </text>
    </comment>
    <comment ref="C62" authorId="0">
      <text>
        <r>
          <rPr>
            <b/>
            <sz val="9"/>
            <rFont val="宋体"/>
            <charset val="134"/>
          </rPr>
          <t>参考“</t>
        </r>
        <r>
          <rPr>
            <b/>
            <sz val="9"/>
            <rFont val="Arial"/>
            <charset val="134"/>
          </rPr>
          <t>TDK</t>
        </r>
        <r>
          <rPr>
            <b/>
            <sz val="9"/>
            <rFont val="宋体"/>
            <charset val="134"/>
          </rPr>
          <t>磁性材料与骨架经典资料”</t>
        </r>
      </text>
    </comment>
    <comment ref="C74" authorId="1">
      <text>
        <r>
          <rPr>
            <sz val="12"/>
            <color indexed="56"/>
            <rFont val="宋体"/>
            <charset val="134"/>
          </rPr>
          <t>请参照本文档中</t>
        </r>
        <r>
          <rPr>
            <b/>
            <sz val="12"/>
            <color indexed="56"/>
            <rFont val="宋体"/>
            <charset val="134"/>
          </rPr>
          <t>“磁芯参数对照表”TYPE列</t>
        </r>
      </text>
    </comment>
    <comment ref="C75" authorId="0">
      <text>
        <r>
          <rPr>
            <sz val="9"/>
            <rFont val="宋体"/>
            <charset val="134"/>
          </rPr>
          <t xml:space="preserve">
请参照本文档中</t>
        </r>
        <r>
          <rPr>
            <b/>
            <sz val="9"/>
            <rFont val="宋体"/>
            <charset val="134"/>
          </rPr>
          <t>“磁芯参数对照表”</t>
        </r>
        <r>
          <rPr>
            <sz val="9"/>
            <rFont val="宋体"/>
            <charset val="134"/>
          </rPr>
          <t>Ap列</t>
        </r>
      </text>
    </comment>
    <comment ref="C76" authorId="0">
      <text>
        <r>
          <rPr>
            <sz val="9"/>
            <rFont val="宋体"/>
            <charset val="134"/>
          </rPr>
          <t xml:space="preserve">
请参照本文档中</t>
        </r>
        <r>
          <rPr>
            <b/>
            <sz val="9"/>
            <rFont val="宋体"/>
            <charset val="134"/>
          </rPr>
          <t>“磁芯参数对照表”</t>
        </r>
        <r>
          <rPr>
            <sz val="9"/>
            <rFont val="宋体"/>
            <charset val="134"/>
          </rPr>
          <t xml:space="preserve">Ae列
</t>
        </r>
      </text>
    </comment>
    <comment ref="C112" authorId="0">
      <text>
        <r>
          <rPr>
            <sz val="9"/>
            <rFont val="宋体"/>
            <charset val="134"/>
          </rPr>
          <t xml:space="preserve">Pp值应介于：
PpMIN和PpMAX之间
</t>
        </r>
      </text>
    </comment>
  </commentList>
</comments>
</file>

<file path=xl/comments9.xml><?xml version="1.0" encoding="utf-8"?>
<comments xmlns="http://schemas.openxmlformats.org/spreadsheetml/2006/main">
  <authors>
    <author>54473dc9-7d5c-435c-8b66-eb729f54711c</author>
  </authors>
  <commentList>
    <comment ref="B6" authorId="0">
      <text>
        <r>
          <rPr>
            <sz val="11"/>
            <color indexed="8"/>
            <rFont val="宋体"/>
            <scheme val="minor"/>
            <charset val="0"/>
          </rPr>
          <t xml:space="preserve">〞以夢﹎為馬╮: satya:
In vacuum, or in a potted assembly, you should use the internal layer guidelines even for the external layers.
</t>
        </r>
      </text>
    </comment>
  </commentList>
</comments>
</file>

<file path=xl/connections.xml><?xml version="1.0" encoding="utf-8"?>
<connections xmlns="http://schemas.openxmlformats.org/spreadsheetml/2006/main">
  <connection id="1" name="电阻表1" type="6" background="1" refreshedVersion="2" saveData="1">
    <textPr sourceFile="D:\wangjiati\Desktop\电阻表.txt" comma="1" semicolon="1">
      <textFields>
        <textField/>
      </textFields>
    </textPr>
  </connection>
</connections>
</file>

<file path=xl/sharedStrings.xml><?xml version="1.0" encoding="utf-8"?>
<sst xmlns="http://schemas.openxmlformats.org/spreadsheetml/2006/main" count="2860" uniqueCount="1805">
  <si>
    <t>EE藏经阁-电路计算Excel合集</t>
  </si>
  <si>
    <t>一级分类</t>
  </si>
  <si>
    <t>二级分类</t>
  </si>
  <si>
    <t>序号</t>
  </si>
  <si>
    <t>基本元器件</t>
  </si>
  <si>
    <t>电阻电容串并联及阻抗</t>
  </si>
  <si>
    <t>常用电阻值</t>
  </si>
  <si>
    <t>RC充电</t>
  </si>
  <si>
    <t>RC放电</t>
  </si>
  <si>
    <t>电阻的噪声</t>
  </si>
  <si>
    <t>MOS选型</t>
  </si>
  <si>
    <t>压敏电阻选型</t>
  </si>
  <si>
    <t>TVS选型</t>
  </si>
  <si>
    <t>运放相关</t>
  </si>
  <si>
    <t>放大器常用配置计算公式-同相、反向、加减法</t>
  </si>
  <si>
    <t>运放的噪声</t>
  </si>
  <si>
    <t>运放的闪烁噪声</t>
  </si>
  <si>
    <t>转换</t>
  </si>
  <si>
    <t>进制转换</t>
  </si>
  <si>
    <t>常用单位转换</t>
  </si>
  <si>
    <t>常用查表</t>
  </si>
  <si>
    <t>AWG载流量查询表+SWG_AWG线规对照表</t>
  </si>
  <si>
    <t>ASCCII</t>
  </si>
  <si>
    <t>常用电路</t>
  </si>
  <si>
    <t>LM317</t>
  </si>
  <si>
    <r>
      <rPr>
        <sz val="11"/>
        <color theme="1"/>
        <rFont val="宋体"/>
        <charset val="134"/>
        <scheme val="minor"/>
      </rPr>
      <t xml:space="preserve">很多江湖武林门派经历几代，一般门派的武功都失传了，但是少林却没有，为什么呢？因为少林才有一个图书馆，那就是藏经阁，藏经阁中记载着少林派历代高僧的绝技，只要你武学天赋高，愿意学，就可以到少林藏经阁学习武功。
</t>
    </r>
    <r>
      <rPr>
        <b/>
        <sz val="11"/>
        <color theme="1"/>
        <rFont val="宋体"/>
        <charset val="134"/>
        <scheme val="minor"/>
      </rPr>
      <t>硬件工程师不只是抄抄DEMO，知其所以然，懂得电路模块的设计考量点，才是高手，路飞见过不少高手对电路的计算能力都很强，本表格旨在整理一些常用的电路计算的合计，以EXCEL的形式分享，第一，可以方便的计算各种电路参数，第二，可以学习参数的计算公式，理解电路设计的逻辑。</t>
    </r>
  </si>
  <si>
    <t>TL431</t>
  </si>
  <si>
    <t>三极管组成的LED恒流电路</t>
  </si>
  <si>
    <t>ADC相关计算</t>
  </si>
  <si>
    <t>LED电流计算</t>
  </si>
  <si>
    <t>滤波</t>
  </si>
  <si>
    <t>无源滤波</t>
  </si>
  <si>
    <t>有源滤波</t>
  </si>
  <si>
    <t>电源</t>
  </si>
  <si>
    <t>BUCK计算</t>
  </si>
  <si>
    <t>BOOST计算</t>
  </si>
  <si>
    <t>反激开关电源计算</t>
  </si>
  <si>
    <t>整理by B站 一路带飞</t>
  </si>
  <si>
    <t>PCB</t>
  </si>
  <si>
    <t>PCB过孔电流</t>
  </si>
  <si>
    <t>share from 公众号路飞的电子设计宝藏</t>
  </si>
  <si>
    <t>走线电流计算</t>
  </si>
  <si>
    <t>微信：yiludaifei</t>
  </si>
  <si>
    <t>上升时间计算</t>
  </si>
  <si>
    <t>感谢30+位朋友对此文档的大力支持，涉及到版权未标明的还请著作方提醒，后续会不断更新</t>
  </si>
  <si>
    <t>线缆计算</t>
  </si>
  <si>
    <t>漆包线数据速查</t>
  </si>
  <si>
    <t>版本管控：</t>
  </si>
  <si>
    <t>同轴线阻抗计算公式</t>
  </si>
  <si>
    <t>20210922：V1.0新建</t>
  </si>
  <si>
    <t>MTBF</t>
  </si>
  <si>
    <t>单板MTBF计算模板</t>
  </si>
  <si>
    <r>
      <rPr>
        <sz val="11"/>
        <color theme="1"/>
        <rFont val="宋体"/>
        <charset val="134"/>
        <scheme val="minor"/>
      </rPr>
      <t>电阻并联（</t>
    </r>
    <r>
      <rPr>
        <sz val="11"/>
        <color indexed="50"/>
        <rFont val="宋体"/>
        <charset val="134"/>
      </rPr>
      <t>使用同一单位</t>
    </r>
    <r>
      <rPr>
        <sz val="11"/>
        <color indexed="8"/>
        <rFont val="宋体"/>
        <charset val="134"/>
      </rPr>
      <t>）</t>
    </r>
  </si>
  <si>
    <t>R1</t>
  </si>
  <si>
    <t>R2</t>
  </si>
  <si>
    <t>Rz 结果</t>
  </si>
  <si>
    <r>
      <rPr>
        <sz val="11"/>
        <color theme="1"/>
        <rFont val="宋体"/>
        <charset val="134"/>
        <scheme val="minor"/>
      </rPr>
      <t>反并联（</t>
    </r>
    <r>
      <rPr>
        <sz val="11"/>
        <color indexed="50"/>
        <rFont val="宋体"/>
        <charset val="134"/>
      </rPr>
      <t>使用同一单位</t>
    </r>
    <r>
      <rPr>
        <sz val="11"/>
        <color indexed="8"/>
        <rFont val="宋体"/>
        <charset val="134"/>
      </rPr>
      <t>）</t>
    </r>
  </si>
  <si>
    <t>Rz</t>
  </si>
  <si>
    <r>
      <rPr>
        <sz val="11"/>
        <color theme="1"/>
        <rFont val="宋体"/>
        <charset val="134"/>
        <scheme val="minor"/>
      </rPr>
      <t>电容串联（</t>
    </r>
    <r>
      <rPr>
        <sz val="11"/>
        <color indexed="50"/>
        <rFont val="宋体"/>
        <charset val="134"/>
      </rPr>
      <t>使用同一单位</t>
    </r>
    <r>
      <rPr>
        <sz val="11"/>
        <color indexed="8"/>
        <rFont val="宋体"/>
        <charset val="134"/>
      </rPr>
      <t>）</t>
    </r>
  </si>
  <si>
    <t>C1</t>
  </si>
  <si>
    <t>C2</t>
  </si>
  <si>
    <t>Cz 结果</t>
  </si>
  <si>
    <t>容抗计算(电容单位为uF)</t>
  </si>
  <si>
    <t>频率(HZ)</t>
  </si>
  <si>
    <t>Xc</t>
  </si>
  <si>
    <t>感抗计算</t>
  </si>
  <si>
    <t>(电感单位为uH)</t>
  </si>
  <si>
    <t>L</t>
  </si>
  <si>
    <t>频率</t>
  </si>
  <si>
    <t>Xl</t>
  </si>
  <si>
    <t>RL串联(电感单位为uH)</t>
  </si>
  <si>
    <t>R:</t>
  </si>
  <si>
    <t>L:</t>
  </si>
  <si>
    <t>频率:</t>
  </si>
  <si>
    <t>Z:</t>
  </si>
  <si>
    <t>RC串联(电容单位为uF)</t>
  </si>
  <si>
    <t>C:</t>
  </si>
  <si>
    <t>LC串联(电感单位为Uh,电容单位为uF)</t>
  </si>
  <si>
    <t>XL:</t>
  </si>
  <si>
    <t>XC</t>
  </si>
  <si>
    <t>RLC串联(电感单位为Uh,电容单位为uF)</t>
  </si>
  <si>
    <t>XC:</t>
  </si>
  <si>
    <t>Timer2 Calculations for PIC12F/16F PWM</t>
  </si>
  <si>
    <t>For CCS C Compiler</t>
  </si>
  <si>
    <t>Miscellaneous Calculations</t>
  </si>
  <si>
    <r>
      <rPr>
        <sz val="12"/>
        <rFont val="Arial"/>
        <charset val="134"/>
      </rPr>
      <t xml:space="preserve">Crystal Frequency ( Fosc)   </t>
    </r>
    <r>
      <rPr>
        <sz val="12"/>
        <rFont val="宋体"/>
        <charset val="134"/>
      </rPr>
      <t>晶振频率</t>
    </r>
    <r>
      <rPr>
        <sz val="12"/>
        <rFont val="Arial"/>
        <charset val="134"/>
      </rPr>
      <t xml:space="preserve"> ( Fosc)</t>
    </r>
  </si>
  <si>
    <t>Hz</t>
  </si>
  <si>
    <r>
      <rPr>
        <sz val="12"/>
        <rFont val="Arial"/>
        <charset val="134"/>
      </rPr>
      <t xml:space="preserve">Prescaler  (1, 4, 16,64)    </t>
    </r>
    <r>
      <rPr>
        <sz val="12"/>
        <rFont val="宋体"/>
        <charset val="134"/>
      </rPr>
      <t>预分频器（</t>
    </r>
    <r>
      <rPr>
        <sz val="12"/>
        <rFont val="Arial"/>
        <charset val="134"/>
      </rPr>
      <t>1</t>
    </r>
    <r>
      <rPr>
        <sz val="12"/>
        <rFont val="宋体"/>
        <charset val="134"/>
      </rPr>
      <t>，</t>
    </r>
    <r>
      <rPr>
        <sz val="12"/>
        <rFont val="Arial"/>
        <charset val="134"/>
      </rPr>
      <t>4</t>
    </r>
    <r>
      <rPr>
        <sz val="12"/>
        <rFont val="宋体"/>
        <charset val="134"/>
      </rPr>
      <t>，</t>
    </r>
    <r>
      <rPr>
        <sz val="12"/>
        <rFont val="Arial"/>
        <charset val="134"/>
      </rPr>
      <t>16,64</t>
    </r>
    <r>
      <rPr>
        <sz val="12"/>
        <rFont val="宋体"/>
        <charset val="134"/>
      </rPr>
      <t>）</t>
    </r>
  </si>
  <si>
    <r>
      <rPr>
        <sz val="12"/>
        <rFont val="Arial"/>
        <charset val="134"/>
      </rPr>
      <t xml:space="preserve">Cycle Time  (Tosc)  </t>
    </r>
    <r>
      <rPr>
        <sz val="12"/>
        <rFont val="宋体"/>
        <charset val="134"/>
      </rPr>
      <t>周期</t>
    </r>
  </si>
  <si>
    <t>Sec</t>
  </si>
  <si>
    <t>PR2 (Timer2 period: 0-255)</t>
  </si>
  <si>
    <t>PWM Period (overflow)</t>
  </si>
  <si>
    <r>
      <rPr>
        <sz val="12"/>
        <rFont val="Arial"/>
        <charset val="134"/>
      </rPr>
      <t xml:space="preserve">Duty Resolution   </t>
    </r>
    <r>
      <rPr>
        <sz val="12"/>
        <rFont val="宋体"/>
        <charset val="134"/>
      </rPr>
      <t>占空比分辨</t>
    </r>
  </si>
  <si>
    <r>
      <rPr>
        <sz val="12"/>
        <rFont val="Wingdings"/>
        <charset val="2"/>
      </rPr>
      <t xml:space="preserve">ß </t>
    </r>
    <r>
      <rPr>
        <sz val="12"/>
        <rFont val="Arial"/>
        <charset val="134"/>
      </rPr>
      <t>1024 is maximum possible (10 bits)</t>
    </r>
  </si>
  <si>
    <t>PostScaler - sets interrupt (1-16)</t>
  </si>
  <si>
    <r>
      <rPr>
        <sz val="12"/>
        <rFont val="Wingdings"/>
        <charset val="2"/>
      </rPr>
      <t xml:space="preserve">ß </t>
    </r>
    <r>
      <rPr>
        <sz val="12"/>
        <rFont val="Arial"/>
        <charset val="134"/>
      </rPr>
      <t>Not used for PWM</t>
    </r>
  </si>
  <si>
    <t>Interrupt period</t>
  </si>
  <si>
    <r>
      <rPr>
        <sz val="12"/>
        <rFont val="Arial"/>
        <charset val="134"/>
      </rPr>
      <t xml:space="preserve">Crystal  </t>
    </r>
    <r>
      <rPr>
        <sz val="12"/>
        <rFont val="宋体"/>
        <charset val="134"/>
      </rPr>
      <t>晶振频率</t>
    </r>
    <r>
      <rPr>
        <sz val="12"/>
        <rFont val="Arial"/>
        <charset val="134"/>
      </rPr>
      <t xml:space="preserve"> </t>
    </r>
  </si>
  <si>
    <r>
      <rPr>
        <sz val="12"/>
        <rFont val="Wingdings"/>
        <charset val="2"/>
      </rPr>
      <t xml:space="preserve">ß </t>
    </r>
    <r>
      <rPr>
        <sz val="12"/>
        <rFont val="Arial"/>
        <charset val="134"/>
      </rPr>
      <t xml:space="preserve">Enter crystal frequency (Hz) </t>
    </r>
    <r>
      <rPr>
        <sz val="12"/>
        <rFont val="宋体"/>
        <charset val="134"/>
      </rPr>
      <t>输入晶振频率（</t>
    </r>
    <r>
      <rPr>
        <sz val="12"/>
        <rFont val="Arial"/>
        <charset val="134"/>
      </rPr>
      <t>Hz)</t>
    </r>
  </si>
  <si>
    <r>
      <rPr>
        <sz val="12"/>
        <rFont val="Arial"/>
        <charset val="134"/>
      </rPr>
      <t xml:space="preserve">Desired Period Frequency  </t>
    </r>
    <r>
      <rPr>
        <sz val="12"/>
        <rFont val="宋体"/>
        <charset val="134"/>
      </rPr>
      <t>想得到的频率</t>
    </r>
  </si>
  <si>
    <r>
      <rPr>
        <sz val="12"/>
        <rFont val="Wingdings"/>
        <charset val="2"/>
      </rPr>
      <t xml:space="preserve">ß </t>
    </r>
    <r>
      <rPr>
        <sz val="12"/>
        <rFont val="Arial"/>
        <charset val="134"/>
      </rPr>
      <t xml:space="preserve">Enter desired PWM frequency  </t>
    </r>
    <r>
      <rPr>
        <sz val="12"/>
        <rFont val="宋体"/>
        <charset val="134"/>
      </rPr>
      <t>输入想要得到的</t>
    </r>
    <r>
      <rPr>
        <sz val="12"/>
        <rFont val="Arial"/>
        <charset val="134"/>
      </rPr>
      <t>PWM</t>
    </r>
    <r>
      <rPr>
        <sz val="12"/>
        <rFont val="宋体"/>
        <charset val="134"/>
      </rPr>
      <t>频率（</t>
    </r>
    <r>
      <rPr>
        <sz val="12"/>
        <rFont val="Arial"/>
        <charset val="134"/>
      </rPr>
      <t>Hz)</t>
    </r>
  </si>
  <si>
    <t>PR2</t>
  </si>
  <si>
    <r>
      <rPr>
        <b/>
        <sz val="12"/>
        <rFont val="Arial"/>
        <charset val="134"/>
      </rPr>
      <t xml:space="preserve">Duty Range  </t>
    </r>
    <r>
      <rPr>
        <b/>
        <sz val="12"/>
        <rFont val="宋体"/>
        <charset val="134"/>
      </rPr>
      <t>占空比范围</t>
    </r>
  </si>
  <si>
    <t>Prescaler = 1</t>
  </si>
  <si>
    <t>Prescaler = 4</t>
  </si>
  <si>
    <t>Prescaler = 16</t>
  </si>
  <si>
    <t>Prescaler = 64</t>
  </si>
  <si>
    <t>setup_ccp1( CCP_PWM );</t>
  </si>
  <si>
    <t>jurgen@jgscraft.com    http://www.jgscraft.com/ledpwm.php</t>
  </si>
  <si>
    <t>PIC16F1XXX 系列 温度指示器模块计算</t>
  </si>
  <si>
    <t>Vref 使用内部参考电压 自动选择</t>
  </si>
  <si>
    <t>VT:</t>
  </si>
  <si>
    <t>温度:</t>
  </si>
  <si>
    <t>VDD:</t>
  </si>
  <si>
    <t>Vref</t>
  </si>
  <si>
    <t>Vtemp:</t>
  </si>
  <si>
    <t>ADC位数</t>
  </si>
  <si>
    <t>ADC:</t>
  </si>
  <si>
    <t>温度变化:</t>
  </si>
  <si>
    <t>ADC变化:</t>
  </si>
  <si>
    <t>dp</t>
  </si>
  <si>
    <t>g</t>
  </si>
  <si>
    <t>f</t>
  </si>
  <si>
    <t>e</t>
  </si>
  <si>
    <t>d</t>
  </si>
  <si>
    <t>c</t>
  </si>
  <si>
    <t>b</t>
  </si>
  <si>
    <t>a</t>
  </si>
  <si>
    <t>倒计时</t>
  </si>
  <si>
    <t>速度</t>
  </si>
  <si>
    <t>品质</t>
  </si>
  <si>
    <t>2011-12-14-15:00:00</t>
  </si>
  <si>
    <t>2011-12-15-9:46:00</t>
  </si>
  <si>
    <t>2011-12-15-19:20</t>
  </si>
  <si>
    <t>2011-12-16-21:40</t>
  </si>
  <si>
    <t>车速表测绘计算</t>
  </si>
  <si>
    <t>测试频率</t>
  </si>
  <si>
    <t>公里数</t>
  </si>
  <si>
    <t>分</t>
  </si>
  <si>
    <t>秒</t>
  </si>
  <si>
    <t>毫秒</t>
  </si>
  <si>
    <t>合计秒</t>
  </si>
  <si>
    <t>每公里脉冲个数</t>
  </si>
  <si>
    <t>脉冲数四舍五入</t>
  </si>
  <si>
    <t>1公里/小时对应频率</t>
  </si>
  <si>
    <t>显示时速</t>
  </si>
  <si>
    <t>偏正误差</t>
  </si>
  <si>
    <t>显示输入频率</t>
  </si>
  <si>
    <t>电压:</t>
  </si>
  <si>
    <t>分压:</t>
  </si>
  <si>
    <t>电阻1:</t>
  </si>
  <si>
    <t>电阻2:</t>
  </si>
  <si>
    <t>结果:</t>
  </si>
  <si>
    <t>差值:</t>
  </si>
  <si>
    <t>二元一次</t>
  </si>
  <si>
    <t>x+y=2y</t>
  </si>
  <si>
    <t>x+27y=9909</t>
  </si>
  <si>
    <t>解答：</t>
  </si>
  <si>
    <t>小数</t>
  </si>
  <si>
    <t>分数</t>
  </si>
  <si>
    <t>x</t>
  </si>
  <si>
    <t>y</t>
  </si>
  <si>
    <t>并联结果电阻:</t>
  </si>
  <si>
    <t>E24系列(5%)</t>
  </si>
  <si>
    <t>E96系列(1%)</t>
  </si>
  <si>
    <t>电源电压 vcc</t>
  </si>
  <si>
    <t>限流电阻 RH</t>
  </si>
  <si>
    <t>x 比例电阻 RX</t>
  </si>
  <si>
    <t>ADC_Vref(V)</t>
  </si>
  <si>
    <t>r 被测电阻 RL</t>
  </si>
  <si>
    <t>AN0(V)</t>
  </si>
  <si>
    <t>v</t>
  </si>
  <si>
    <t>总电流:</t>
  </si>
  <si>
    <t>b ADC位数</t>
  </si>
  <si>
    <t>ADC采样值(取整)</t>
  </si>
  <si>
    <t>反算 被测电阻</t>
  </si>
  <si>
    <t>比例法测量电阻: ADC_Vref 接入ADC转换参考电压, 使用此参考电压对AN0转换后可得到一个比较高的分辨力</t>
  </si>
  <si>
    <t>好处: 所有采样电阻都可以使用小功率,如0805封装,比较高的精度</t>
  </si>
  <si>
    <t>Class-D LC Filter Designer</t>
  </si>
  <si>
    <t>Select the output configuration on the right.</t>
  </si>
  <si>
    <t>Filter Type</t>
  </si>
  <si>
    <t>Differential</t>
  </si>
  <si>
    <t>Output Configuration</t>
  </si>
  <si>
    <t>Load Factor</t>
  </si>
  <si>
    <t>Enter the speaker load, desired cutoff frequency, and quality factor.</t>
  </si>
  <si>
    <t>Gain vs Frequency</t>
  </si>
  <si>
    <t>Zoom (Gain vs Frequency)</t>
  </si>
  <si>
    <r>
      <rPr>
        <b/>
        <sz val="10"/>
        <rFont val="Calibri"/>
        <charset val="134"/>
      </rPr>
      <t>Speaker Load (R</t>
    </r>
    <r>
      <rPr>
        <b/>
        <vertAlign val="subscript"/>
        <sz val="10"/>
        <rFont val="Calibri"/>
        <charset val="134"/>
      </rPr>
      <t>Load</t>
    </r>
    <r>
      <rPr>
        <b/>
        <sz val="10"/>
        <rFont val="Calibri"/>
        <charset val="134"/>
      </rPr>
      <t>)</t>
    </r>
  </si>
  <si>
    <t xml:space="preserve">Ω </t>
  </si>
  <si>
    <t>Cutoff Frequency</t>
  </si>
  <si>
    <t>kHz</t>
  </si>
  <si>
    <t>Quality Factor (Q)</t>
  </si>
  <si>
    <t>The calculated LC filter component values are shown below.</t>
  </si>
  <si>
    <t>Inductor (L)</t>
  </si>
  <si>
    <t>uH</t>
  </si>
  <si>
    <r>
      <rPr>
        <b/>
        <sz val="10"/>
        <rFont val="Calibri"/>
        <charset val="134"/>
      </rPr>
      <t>Capacitor (C</t>
    </r>
    <r>
      <rPr>
        <b/>
        <vertAlign val="subscript"/>
        <sz val="10"/>
        <rFont val="Calibri"/>
        <charset val="134"/>
      </rPr>
      <t xml:space="preserve">g </t>
    </r>
    <r>
      <rPr>
        <b/>
        <sz val="10"/>
        <rFont val="Calibri"/>
        <charset val="134"/>
      </rPr>
      <t>)</t>
    </r>
  </si>
  <si>
    <t>uF</t>
  </si>
  <si>
    <r>
      <rPr>
        <b/>
        <sz val="10"/>
        <rFont val="Calibri"/>
        <charset val="134"/>
      </rPr>
      <t>Capacitor (C</t>
    </r>
    <r>
      <rPr>
        <b/>
        <vertAlign val="subscript"/>
        <sz val="10"/>
        <rFont val="Calibri"/>
        <charset val="134"/>
      </rPr>
      <t>BTL</t>
    </r>
    <r>
      <rPr>
        <b/>
        <sz val="10"/>
        <rFont val="Calibri"/>
        <charset val="134"/>
      </rPr>
      <t>)</t>
    </r>
  </si>
  <si>
    <t>Total Cap SE Equivalent</t>
  </si>
  <si>
    <t>Enter standard inductor and capacitor values below to graph &amp; verify.</t>
  </si>
  <si>
    <r>
      <rPr>
        <b/>
        <sz val="10"/>
        <rFont val="Calibri"/>
        <charset val="134"/>
      </rPr>
      <t>Capacitor (C</t>
    </r>
    <r>
      <rPr>
        <b/>
        <vertAlign val="subscript"/>
        <sz val="10"/>
        <rFont val="Calibri"/>
        <charset val="134"/>
      </rPr>
      <t>g</t>
    </r>
    <r>
      <rPr>
        <b/>
        <sz val="10"/>
        <rFont val="Calibri"/>
        <charset val="134"/>
      </rPr>
      <t xml:space="preserve"> )</t>
    </r>
  </si>
  <si>
    <t>Q</t>
  </si>
  <si>
    <t>Load 1</t>
  </si>
  <si>
    <t>Enter up to 5 different loads to graph.</t>
  </si>
  <si>
    <t>Load 2</t>
  </si>
  <si>
    <t>Load 3</t>
  </si>
  <si>
    <t>Cut-Off Frequency</t>
  </si>
  <si>
    <t>Load 4</t>
  </si>
  <si>
    <t>Ω</t>
  </si>
  <si>
    <t>Load 5</t>
  </si>
  <si>
    <t>参数输入</t>
  </si>
  <si>
    <t>标准单位，不可输入</t>
  </si>
  <si>
    <t>单位选择</t>
  </si>
  <si>
    <t>输出结果</t>
  </si>
  <si>
    <t>参数</t>
  </si>
  <si>
    <t>数值</t>
  </si>
  <si>
    <t>单位</t>
  </si>
  <si>
    <t>》》换算</t>
  </si>
  <si>
    <t>标准单位</t>
  </si>
  <si>
    <t>初始电压V1</t>
  </si>
  <si>
    <t>V</t>
  </si>
  <si>
    <t>mV</t>
  </si>
  <si>
    <t>τ</t>
  </si>
  <si>
    <t>t</t>
  </si>
  <si>
    <t>E</t>
  </si>
  <si>
    <t>V1</t>
  </si>
  <si>
    <t>Uc=E+（V1-E）*[1-e(-t/τ)]</t>
  </si>
  <si>
    <t>电阻阻值R</t>
  </si>
  <si>
    <t>kΩ</t>
  </si>
  <si>
    <t>电容容值C</t>
  </si>
  <si>
    <t>nF</t>
  </si>
  <si>
    <t>F</t>
  </si>
  <si>
    <t>kV</t>
  </si>
  <si>
    <t>充电时间t</t>
  </si>
  <si>
    <t>mS</t>
  </si>
  <si>
    <t>S</t>
  </si>
  <si>
    <t>电容上的初始电压E</t>
  </si>
  <si>
    <t>mΩ</t>
  </si>
  <si>
    <t>kkΩ</t>
  </si>
  <si>
    <t>输出参数</t>
  </si>
  <si>
    <t>时间常数τ</t>
  </si>
  <si>
    <t>uS</t>
  </si>
  <si>
    <t>pF</t>
  </si>
  <si>
    <t>充电电压Uc</t>
  </si>
  <si>
    <t>相关参考</t>
  </si>
  <si>
    <t>电容单位换算</t>
  </si>
  <si>
    <t>1F=10^6uF=10^9nF=10^12pF</t>
  </si>
  <si>
    <t>电阻单位换算</t>
  </si>
  <si>
    <t>1MΩ=10^3kΩ=10^6Ω=10^9mΩ</t>
  </si>
  <si>
    <r>
      <rPr>
        <sz val="14"/>
        <color theme="1"/>
        <rFont val="宋体"/>
        <charset val="134"/>
        <scheme val="minor"/>
      </rPr>
      <t>时间常数</t>
    </r>
    <r>
      <rPr>
        <b/>
        <sz val="14"/>
        <color theme="1"/>
        <rFont val="宋体"/>
        <charset val="134"/>
        <scheme val="minor"/>
      </rPr>
      <t>τ =  RC</t>
    </r>
  </si>
  <si>
    <t>其中电阻单位为Ω，电容单位为μF</t>
  </si>
  <si>
    <r>
      <rPr>
        <sz val="14"/>
        <color theme="1"/>
        <rFont val="宋体"/>
        <charset val="134"/>
        <scheme val="minor"/>
      </rPr>
      <t>充电电压</t>
    </r>
    <r>
      <rPr>
        <b/>
        <sz val="14"/>
        <color theme="1"/>
        <rFont val="宋体"/>
        <charset val="134"/>
        <scheme val="minor"/>
      </rPr>
      <t>Uc=V1*[1-e(-t/τ)]</t>
    </r>
  </si>
  <si>
    <t>其中t单位为s，</t>
  </si>
  <si>
    <r>
      <rPr>
        <sz val="14"/>
        <color theme="1"/>
        <rFont val="宋体"/>
        <charset val="134"/>
        <scheme val="minor"/>
      </rPr>
      <t>充电电压</t>
    </r>
    <r>
      <rPr>
        <b/>
        <sz val="14"/>
        <color theme="1"/>
        <rFont val="宋体"/>
        <charset val="134"/>
        <scheme val="minor"/>
      </rPr>
      <t>Uc=E+（V1-E）*[1-e(-t/τ)]</t>
    </r>
  </si>
  <si>
    <t>e是一个自然常数，e=2.71828</t>
  </si>
  <si>
    <t>当E=0V，t = RC</t>
  </si>
  <si>
    <t>Uc= 0.63V1</t>
  </si>
  <si>
    <t>当E=0V，t = 2RC</t>
  </si>
  <si>
    <t>Uc= 0.86V1</t>
  </si>
  <si>
    <t>当E=0V，t = 3RC</t>
  </si>
  <si>
    <t>Uc= 0.95V1</t>
  </si>
  <si>
    <t>当E=0V，t = 4RC</t>
  </si>
  <si>
    <t>Uc= 0.98V1</t>
  </si>
  <si>
    <t>当E=0V，t = 5RC</t>
  </si>
  <si>
    <t>Uc= 0.99V1</t>
  </si>
  <si>
    <t>初始电压V</t>
  </si>
  <si>
    <t>放电时间t</t>
  </si>
  <si>
    <t>放电电压Uc</t>
  </si>
  <si>
    <r>
      <rPr>
        <sz val="14"/>
        <color theme="1"/>
        <rFont val="宋体"/>
        <charset val="134"/>
        <scheme val="minor"/>
      </rPr>
      <t>充电电压</t>
    </r>
    <r>
      <rPr>
        <b/>
        <sz val="14"/>
        <color theme="1"/>
        <rFont val="宋体"/>
        <charset val="134"/>
        <scheme val="minor"/>
      </rPr>
      <t>Uc=V*e(-t/τ)</t>
    </r>
  </si>
  <si>
    <t>t = RC</t>
  </si>
  <si>
    <t>Uc= 0.37V</t>
  </si>
  <si>
    <t>t = 2RC</t>
  </si>
  <si>
    <t>Uc= 0.14V</t>
  </si>
  <si>
    <t>t = 3RC</t>
  </si>
  <si>
    <t>Uc= 0.05V</t>
  </si>
  <si>
    <t>t = 4RC</t>
  </si>
  <si>
    <t>Uc= 0.02V</t>
  </si>
  <si>
    <t>t = 5RC</t>
  </si>
  <si>
    <t>Uc= 0.01V</t>
  </si>
  <si>
    <t>电容电荷量Q计算</t>
  </si>
  <si>
    <r>
      <rPr>
        <b/>
        <sz val="14"/>
        <color theme="1"/>
        <rFont val="宋体"/>
        <charset val="134"/>
        <scheme val="minor"/>
      </rPr>
      <t>Q=It</t>
    </r>
    <r>
      <rPr>
        <sz val="14"/>
        <color theme="1"/>
        <rFont val="宋体"/>
        <charset val="134"/>
        <scheme val="minor"/>
      </rPr>
      <t>（其中I是电流，单位A ，t是时间，单位s)</t>
    </r>
  </si>
  <si>
    <r>
      <rPr>
        <b/>
        <sz val="14"/>
        <color theme="1"/>
        <rFont val="宋体"/>
        <charset val="134"/>
        <scheme val="minor"/>
      </rPr>
      <t xml:space="preserve">Q=CU </t>
    </r>
    <r>
      <rPr>
        <sz val="14"/>
        <color theme="1"/>
        <rFont val="宋体"/>
        <charset val="134"/>
        <scheme val="minor"/>
      </rPr>
      <t>(其中C指电容，单位F，U指电压，单位V)</t>
    </r>
  </si>
  <si>
    <t>Calculated noise for a specific resistance:</t>
  </si>
  <si>
    <t>Temperature</t>
  </si>
  <si>
    <t>Resistance</t>
  </si>
  <si>
    <t>Enter Value</t>
  </si>
  <si>
    <t>Noise</t>
  </si>
  <si>
    <t>Data table for graph:</t>
  </si>
  <si>
    <t>1k</t>
  </si>
  <si>
    <t>10k</t>
  </si>
  <si>
    <t>100k</t>
  </si>
  <si>
    <t>1M</t>
  </si>
  <si>
    <t>10M</t>
  </si>
  <si>
    <r>
      <rPr>
        <b/>
        <sz val="18"/>
        <rFont val="Times New Roman"/>
        <charset val="134"/>
      </rPr>
      <t>MOSFET</t>
    </r>
    <r>
      <rPr>
        <b/>
        <sz val="18"/>
        <rFont val="宋体"/>
        <charset val="134"/>
      </rPr>
      <t>选用原则</t>
    </r>
  </si>
  <si>
    <r>
      <rPr>
        <b/>
        <sz val="14"/>
        <rFont val="宋体"/>
        <charset val="134"/>
      </rPr>
      <t>一、反应时间</t>
    </r>
    <r>
      <rPr>
        <b/>
        <sz val="14"/>
        <rFont val="Times New Roman"/>
        <charset val="134"/>
      </rPr>
      <t>T(nS)</t>
    </r>
    <r>
      <rPr>
        <b/>
        <sz val="14"/>
        <rFont val="宋体"/>
        <charset val="134"/>
      </rPr>
      <t>：</t>
    </r>
  </si>
  <si>
    <t>分为：</t>
  </si>
  <si>
    <r>
      <rPr>
        <sz val="12"/>
        <rFont val="宋体"/>
        <charset val="134"/>
      </rPr>
      <t>开启时间</t>
    </r>
    <r>
      <rPr>
        <sz val="12"/>
        <rFont val="Times New Roman"/>
        <charset val="134"/>
      </rPr>
      <t>T</t>
    </r>
    <r>
      <rPr>
        <vertAlign val="subscript"/>
        <sz val="12"/>
        <rFont val="Times New Roman"/>
        <charset val="134"/>
      </rPr>
      <t>on</t>
    </r>
  </si>
  <si>
    <r>
      <rPr>
        <sz val="12"/>
        <rFont val="宋体"/>
        <charset val="134"/>
      </rPr>
      <t>关断时间</t>
    </r>
    <r>
      <rPr>
        <sz val="12"/>
        <rFont val="Times New Roman"/>
        <charset val="134"/>
      </rPr>
      <t>T</t>
    </r>
    <r>
      <rPr>
        <vertAlign val="subscript"/>
        <sz val="12"/>
        <rFont val="Times New Roman"/>
        <charset val="134"/>
      </rPr>
      <t>off</t>
    </r>
  </si>
  <si>
    <r>
      <rPr>
        <sz val="12"/>
        <rFont val="宋体"/>
        <charset val="134"/>
      </rPr>
      <t>导通延迟时间</t>
    </r>
    <r>
      <rPr>
        <sz val="12"/>
        <rFont val="Times New Roman"/>
        <charset val="134"/>
      </rPr>
      <t>T</t>
    </r>
    <r>
      <rPr>
        <vertAlign val="subscript"/>
        <sz val="12"/>
        <rFont val="Times New Roman"/>
        <charset val="134"/>
      </rPr>
      <t>d(on)</t>
    </r>
    <r>
      <rPr>
        <sz val="12"/>
        <rFont val="Times New Roman"/>
        <charset val="134"/>
      </rPr>
      <t>+</t>
    </r>
    <r>
      <rPr>
        <sz val="11"/>
        <color theme="1"/>
        <rFont val="宋体"/>
        <charset val="134"/>
        <scheme val="minor"/>
      </rPr>
      <t>上升时间</t>
    </r>
    <r>
      <rPr>
        <sz val="12"/>
        <rFont val="Times New Roman"/>
        <charset val="134"/>
      </rPr>
      <t>T</t>
    </r>
    <r>
      <rPr>
        <vertAlign val="subscript"/>
        <sz val="12"/>
        <rFont val="Times New Roman"/>
        <charset val="134"/>
      </rPr>
      <t>r</t>
    </r>
  </si>
  <si>
    <r>
      <rPr>
        <sz val="12"/>
        <rFont val="宋体"/>
        <charset val="134"/>
      </rPr>
      <t>判断延迟时间</t>
    </r>
    <r>
      <rPr>
        <sz val="12"/>
        <rFont val="Times New Roman"/>
        <charset val="134"/>
      </rPr>
      <t>T</t>
    </r>
    <r>
      <rPr>
        <vertAlign val="subscript"/>
        <sz val="12"/>
        <rFont val="Times New Roman"/>
        <charset val="134"/>
      </rPr>
      <t>d(off)</t>
    </r>
    <r>
      <rPr>
        <sz val="12"/>
        <rFont val="Times New Roman"/>
        <charset val="134"/>
      </rPr>
      <t>+</t>
    </r>
    <r>
      <rPr>
        <sz val="11"/>
        <color theme="1"/>
        <rFont val="宋体"/>
        <charset val="134"/>
        <scheme val="minor"/>
      </rPr>
      <t>下降时间</t>
    </r>
    <r>
      <rPr>
        <sz val="12"/>
        <rFont val="Times New Roman"/>
        <charset val="134"/>
      </rPr>
      <t>T</t>
    </r>
    <r>
      <rPr>
        <vertAlign val="subscript"/>
        <sz val="12"/>
        <rFont val="Times New Roman"/>
        <charset val="134"/>
      </rPr>
      <t>f</t>
    </r>
  </si>
  <si>
    <t>T(nS)</t>
  </si>
  <si>
    <r>
      <rPr>
        <sz val="12"/>
        <rFont val="宋体"/>
        <charset val="134"/>
      </rPr>
      <t>T</t>
    </r>
    <r>
      <rPr>
        <vertAlign val="subscript"/>
        <sz val="12"/>
        <rFont val="宋体"/>
        <charset val="134"/>
      </rPr>
      <t>d(on)</t>
    </r>
    <r>
      <rPr>
        <sz val="11"/>
        <color theme="1"/>
        <rFont val="宋体"/>
        <charset val="134"/>
        <scheme val="minor"/>
      </rPr>
      <t>(nS)</t>
    </r>
  </si>
  <si>
    <r>
      <rPr>
        <sz val="12"/>
        <rFont val="宋体"/>
        <charset val="134"/>
      </rPr>
      <t>T</t>
    </r>
    <r>
      <rPr>
        <vertAlign val="subscript"/>
        <sz val="12"/>
        <rFont val="宋体"/>
        <charset val="134"/>
      </rPr>
      <t>r</t>
    </r>
    <r>
      <rPr>
        <sz val="11"/>
        <color theme="1"/>
        <rFont val="宋体"/>
        <charset val="134"/>
        <scheme val="minor"/>
      </rPr>
      <t>(nS)</t>
    </r>
  </si>
  <si>
    <r>
      <rPr>
        <sz val="12"/>
        <rFont val="宋体"/>
        <charset val="134"/>
      </rPr>
      <t>T</t>
    </r>
    <r>
      <rPr>
        <vertAlign val="subscript"/>
        <sz val="12"/>
        <rFont val="宋体"/>
        <charset val="134"/>
      </rPr>
      <t>d(off)</t>
    </r>
    <r>
      <rPr>
        <sz val="11"/>
        <color theme="1"/>
        <rFont val="宋体"/>
        <charset val="134"/>
        <scheme val="minor"/>
      </rPr>
      <t>(nS)</t>
    </r>
  </si>
  <si>
    <r>
      <rPr>
        <sz val="12"/>
        <rFont val="宋体"/>
        <charset val="134"/>
      </rPr>
      <t>T</t>
    </r>
    <r>
      <rPr>
        <vertAlign val="subscript"/>
        <sz val="12"/>
        <rFont val="宋体"/>
        <charset val="134"/>
      </rPr>
      <t>f</t>
    </r>
    <r>
      <rPr>
        <sz val="11"/>
        <color theme="1"/>
        <rFont val="宋体"/>
        <charset val="134"/>
        <scheme val="minor"/>
      </rPr>
      <t>(nS)</t>
    </r>
  </si>
  <si>
    <r>
      <rPr>
        <b/>
        <sz val="14"/>
        <rFont val="宋体"/>
        <charset val="134"/>
      </rPr>
      <t>二、驱动功率</t>
    </r>
    <r>
      <rPr>
        <b/>
        <sz val="14"/>
        <rFont val="Times New Roman"/>
        <charset val="134"/>
      </rPr>
      <t>P(mW)</t>
    </r>
    <r>
      <rPr>
        <b/>
        <sz val="14"/>
        <rFont val="宋体"/>
        <charset val="134"/>
      </rPr>
      <t>：</t>
    </r>
  </si>
  <si>
    <t>P=</t>
  </si>
  <si>
    <r>
      <rPr>
        <sz val="12"/>
        <rFont val="Times New Roman"/>
        <charset val="134"/>
      </rPr>
      <t>WF=0.5CU</t>
    </r>
    <r>
      <rPr>
        <vertAlign val="superscript"/>
        <sz val="12"/>
        <rFont val="Times New Roman"/>
        <charset val="134"/>
      </rPr>
      <t>2</t>
    </r>
    <r>
      <rPr>
        <sz val="12"/>
        <rFont val="Times New Roman"/>
        <charset val="134"/>
      </rPr>
      <t>F=0.5*U</t>
    </r>
    <r>
      <rPr>
        <vertAlign val="superscript"/>
        <sz val="12"/>
        <rFont val="Times New Roman"/>
        <charset val="134"/>
      </rPr>
      <t>2</t>
    </r>
    <r>
      <rPr>
        <sz val="12"/>
        <rFont val="Times New Roman"/>
        <charset val="134"/>
      </rPr>
      <t>*F*Q/U=0.5*F*QU</t>
    </r>
  </si>
  <si>
    <r>
      <rPr>
        <sz val="12"/>
        <rFont val="宋体"/>
        <charset val="134"/>
      </rPr>
      <t>驱动功率</t>
    </r>
    <r>
      <rPr>
        <sz val="12"/>
        <rFont val="Times New Roman"/>
        <charset val="134"/>
      </rPr>
      <t>P</t>
    </r>
    <r>
      <rPr>
        <sz val="11"/>
        <color theme="1"/>
        <rFont val="宋体"/>
        <charset val="134"/>
        <scheme val="minor"/>
      </rPr>
      <t>（</t>
    </r>
    <r>
      <rPr>
        <sz val="12"/>
        <rFont val="Times New Roman"/>
        <charset val="134"/>
      </rPr>
      <t>mW</t>
    </r>
    <r>
      <rPr>
        <sz val="11"/>
        <color theme="1"/>
        <rFont val="宋体"/>
        <charset val="134"/>
        <scheme val="minor"/>
      </rPr>
      <t>）</t>
    </r>
  </si>
  <si>
    <r>
      <rPr>
        <sz val="12"/>
        <rFont val="宋体"/>
        <charset val="134"/>
      </rPr>
      <t>栅源电荷</t>
    </r>
    <r>
      <rPr>
        <sz val="12"/>
        <rFont val="Times New Roman"/>
        <charset val="134"/>
      </rPr>
      <t>Q</t>
    </r>
    <r>
      <rPr>
        <sz val="11"/>
        <color theme="1"/>
        <rFont val="宋体"/>
        <charset val="134"/>
        <scheme val="minor"/>
      </rPr>
      <t>（</t>
    </r>
    <r>
      <rPr>
        <sz val="12"/>
        <rFont val="Times New Roman"/>
        <charset val="134"/>
      </rPr>
      <t>nC</t>
    </r>
    <r>
      <rPr>
        <sz val="11"/>
        <color theme="1"/>
        <rFont val="宋体"/>
        <charset val="134"/>
        <scheme val="minor"/>
      </rPr>
      <t>）</t>
    </r>
  </si>
  <si>
    <r>
      <rPr>
        <sz val="12"/>
        <rFont val="宋体"/>
        <charset val="134"/>
      </rPr>
      <t>栅源电压</t>
    </r>
    <r>
      <rPr>
        <sz val="12"/>
        <rFont val="Times New Roman"/>
        <charset val="134"/>
      </rPr>
      <t>U</t>
    </r>
    <r>
      <rPr>
        <sz val="11"/>
        <color theme="1"/>
        <rFont val="宋体"/>
        <charset val="134"/>
        <scheme val="minor"/>
      </rPr>
      <t>（</t>
    </r>
    <r>
      <rPr>
        <sz val="12"/>
        <rFont val="Times New Roman"/>
        <charset val="134"/>
      </rPr>
      <t>V</t>
    </r>
    <r>
      <rPr>
        <sz val="11"/>
        <color theme="1"/>
        <rFont val="宋体"/>
        <charset val="134"/>
        <scheme val="minor"/>
      </rPr>
      <t>）</t>
    </r>
  </si>
  <si>
    <r>
      <rPr>
        <sz val="12"/>
        <rFont val="宋体"/>
        <charset val="134"/>
      </rPr>
      <t>驱动信号频率</t>
    </r>
    <r>
      <rPr>
        <sz val="12"/>
        <rFont val="Times New Roman"/>
        <charset val="134"/>
      </rPr>
      <t>F</t>
    </r>
    <r>
      <rPr>
        <sz val="11"/>
        <color theme="1"/>
        <rFont val="宋体"/>
        <charset val="134"/>
        <scheme val="minor"/>
      </rPr>
      <t>（</t>
    </r>
    <r>
      <rPr>
        <sz val="12"/>
        <rFont val="Times New Roman"/>
        <charset val="134"/>
      </rPr>
      <t>KHz</t>
    </r>
    <r>
      <rPr>
        <sz val="11"/>
        <color theme="1"/>
        <rFont val="宋体"/>
        <charset val="134"/>
        <scheme val="minor"/>
      </rPr>
      <t>）</t>
    </r>
  </si>
  <si>
    <r>
      <rPr>
        <b/>
        <sz val="14"/>
        <rFont val="宋体"/>
        <charset val="134"/>
      </rPr>
      <t>三、热效应</t>
    </r>
    <r>
      <rPr>
        <b/>
        <sz val="14"/>
        <rFont val="Times New Roman"/>
        <charset val="134"/>
      </rPr>
      <t>E(J)</t>
    </r>
    <r>
      <rPr>
        <b/>
        <sz val="14"/>
        <rFont val="宋体"/>
        <charset val="134"/>
      </rPr>
      <t>：</t>
    </r>
  </si>
  <si>
    <t>相关：</t>
  </si>
  <si>
    <r>
      <rPr>
        <sz val="12"/>
        <rFont val="宋体"/>
        <charset val="134"/>
      </rPr>
      <t>通态电阻</t>
    </r>
    <r>
      <rPr>
        <sz val="12"/>
        <rFont val="Times New Roman"/>
        <charset val="134"/>
      </rPr>
      <t>R</t>
    </r>
    <r>
      <rPr>
        <vertAlign val="subscript"/>
        <sz val="12"/>
        <rFont val="Times New Roman"/>
        <charset val="134"/>
      </rPr>
      <t>DS</t>
    </r>
    <r>
      <rPr>
        <vertAlign val="subscript"/>
        <sz val="12"/>
        <rFont val="宋体"/>
        <charset val="134"/>
      </rPr>
      <t>（</t>
    </r>
    <r>
      <rPr>
        <vertAlign val="subscript"/>
        <sz val="12"/>
        <rFont val="Times New Roman"/>
        <charset val="134"/>
      </rPr>
      <t>ON</t>
    </r>
    <r>
      <rPr>
        <vertAlign val="subscript"/>
        <sz val="12"/>
        <rFont val="宋体"/>
        <charset val="134"/>
      </rPr>
      <t>）</t>
    </r>
  </si>
  <si>
    <r>
      <rPr>
        <sz val="12"/>
        <rFont val="宋体"/>
        <charset val="134"/>
      </rPr>
      <t>通态漏极电流</t>
    </r>
    <r>
      <rPr>
        <sz val="12"/>
        <rFont val="Times New Roman"/>
        <charset val="134"/>
      </rPr>
      <t>I</t>
    </r>
    <r>
      <rPr>
        <vertAlign val="subscript"/>
        <sz val="12"/>
        <rFont val="Times New Roman"/>
        <charset val="134"/>
      </rPr>
      <t>D</t>
    </r>
    <r>
      <rPr>
        <vertAlign val="subscript"/>
        <sz val="12"/>
        <rFont val="宋体"/>
        <charset val="134"/>
      </rPr>
      <t>（</t>
    </r>
    <r>
      <rPr>
        <vertAlign val="subscript"/>
        <sz val="12"/>
        <rFont val="Times New Roman"/>
        <charset val="134"/>
      </rPr>
      <t>ON</t>
    </r>
    <r>
      <rPr>
        <vertAlign val="subscript"/>
        <sz val="12"/>
        <rFont val="宋体"/>
        <charset val="134"/>
      </rPr>
      <t>）</t>
    </r>
  </si>
  <si>
    <t>压敏电阻选型计算表</t>
  </si>
  <si>
    <r>
      <rPr>
        <b/>
        <sz val="20"/>
        <color theme="1"/>
        <rFont val="宋体"/>
        <charset val="134"/>
        <scheme val="minor"/>
      </rPr>
      <t>U</t>
    </r>
    <r>
      <rPr>
        <b/>
        <vertAlign val="subscript"/>
        <sz val="20"/>
        <color theme="1"/>
        <rFont val="宋体"/>
        <charset val="134"/>
        <scheme val="minor"/>
      </rPr>
      <t>R</t>
    </r>
    <r>
      <rPr>
        <b/>
        <sz val="20"/>
        <color theme="1"/>
        <rFont val="宋体"/>
        <charset val="134"/>
        <scheme val="minor"/>
      </rPr>
      <t>确定曲线</t>
    </r>
  </si>
  <si>
    <t>surge保护需求</t>
  </si>
  <si>
    <t>MOV伏安特性选段</t>
  </si>
  <si>
    <t>surge loadline</t>
  </si>
  <si>
    <r>
      <rPr>
        <b/>
        <sz val="11"/>
        <color theme="1"/>
        <rFont val="宋体"/>
        <charset val="134"/>
        <scheme val="minor"/>
      </rPr>
      <t>文档中</t>
    </r>
    <r>
      <rPr>
        <b/>
        <sz val="11"/>
        <color theme="7" tint="-0.249977111117893"/>
        <rFont val="宋体"/>
        <charset val="134"/>
        <scheme val="minor"/>
      </rPr>
      <t>黄色数据</t>
    </r>
    <r>
      <rPr>
        <b/>
        <sz val="11"/>
        <color theme="1"/>
        <rFont val="宋体"/>
        <charset val="134"/>
        <scheme val="minor"/>
      </rPr>
      <t>为需求，</t>
    </r>
    <r>
      <rPr>
        <b/>
        <sz val="11"/>
        <color rgb="FF0070C0"/>
        <rFont val="宋体"/>
        <charset val="134"/>
        <scheme val="minor"/>
      </rPr>
      <t>蓝色</t>
    </r>
    <r>
      <rPr>
        <b/>
        <sz val="11"/>
        <color theme="1"/>
        <rFont val="宋体"/>
        <charset val="134"/>
        <scheme val="minor"/>
      </rPr>
      <t>为MOV规格值，</t>
    </r>
    <r>
      <rPr>
        <b/>
        <sz val="11"/>
        <color theme="9" tint="-0.249977111117893"/>
        <rFont val="宋体"/>
        <charset val="134"/>
        <scheme val="minor"/>
      </rPr>
      <t>绿色</t>
    </r>
    <r>
      <rPr>
        <b/>
        <sz val="11"/>
        <color theme="1"/>
        <rFont val="宋体"/>
        <charset val="134"/>
        <scheme val="minor"/>
      </rPr>
      <t>为公式计算值。</t>
    </r>
  </si>
  <si>
    <t>X轴/A</t>
  </si>
  <si>
    <t>Y轴/V</t>
  </si>
  <si>
    <t>1、最大工作电压：</t>
  </si>
  <si>
    <r>
      <rPr>
        <b/>
        <sz val="11"/>
        <color theme="1"/>
        <rFont val="宋体"/>
        <charset val="134"/>
        <scheme val="minor"/>
      </rPr>
      <t>V</t>
    </r>
    <r>
      <rPr>
        <b/>
        <vertAlign val="subscript"/>
        <sz val="11"/>
        <color theme="1"/>
        <rFont val="宋体"/>
        <charset val="134"/>
        <scheme val="minor"/>
      </rPr>
      <t>AC</t>
    </r>
  </si>
  <si>
    <t>有效值</t>
  </si>
  <si>
    <r>
      <rPr>
        <b/>
        <sz val="11"/>
        <color theme="1"/>
        <rFont val="宋体"/>
        <charset val="134"/>
        <scheme val="minor"/>
      </rPr>
      <t>V</t>
    </r>
    <r>
      <rPr>
        <b/>
        <vertAlign val="subscript"/>
        <sz val="11"/>
        <color theme="1"/>
        <rFont val="宋体"/>
        <charset val="134"/>
        <scheme val="minor"/>
      </rPr>
      <t>DC</t>
    </r>
  </si>
  <si>
    <t>2、压敏电阻安装位置：</t>
  </si>
  <si>
    <t>L-N</t>
  </si>
  <si>
    <t>L-L、L-N、L-PE、N-PE</t>
  </si>
  <si>
    <t>3.1、surge测试开路电压：</t>
  </si>
  <si>
    <t>国标等级Ⅱ</t>
  </si>
  <si>
    <t xml:space="preserve">         surge波形：</t>
  </si>
  <si>
    <t>1.2/50</t>
  </si>
  <si>
    <t>μs</t>
  </si>
  <si>
    <t>1.2/50μs、10/700μs等</t>
  </si>
  <si>
    <t xml:space="preserve">        连续测试次数：</t>
  </si>
  <si>
    <t>次</t>
  </si>
  <si>
    <r>
      <rPr>
        <b/>
        <sz val="11"/>
        <color theme="1"/>
        <rFont val="宋体"/>
        <charset val="134"/>
        <scheme val="minor"/>
      </rPr>
      <t>取值越精确越多，得到的U</t>
    </r>
    <r>
      <rPr>
        <b/>
        <vertAlign val="subscript"/>
        <sz val="11"/>
        <color theme="1"/>
        <rFont val="宋体"/>
        <charset val="134"/>
        <scheme val="minor"/>
      </rPr>
      <t>R</t>
    </r>
    <r>
      <rPr>
        <b/>
        <sz val="11"/>
        <color theme="1"/>
        <rFont val="宋体"/>
        <charset val="134"/>
        <scheme val="minor"/>
      </rPr>
      <t>值越精确</t>
    </r>
  </si>
  <si>
    <t xml:space="preserve">        时间间隔T：</t>
  </si>
  <si>
    <t>s</t>
  </si>
  <si>
    <t xml:space="preserve">        源阻抗Xs：</t>
  </si>
  <si>
    <t>共模：12Ω；差模：2Ω</t>
  </si>
  <si>
    <t>3.2、surge测试短路电流：</t>
  </si>
  <si>
    <t>A</t>
  </si>
  <si>
    <t xml:space="preserve">        波形：</t>
  </si>
  <si>
    <t>8/20μs</t>
  </si>
  <si>
    <t>8/20μs、10/1000μs等</t>
  </si>
  <si>
    <t xml:space="preserve">        等效方波持续时间：</t>
  </si>
  <si>
    <t>4、电压保护水平</t>
  </si>
  <si>
    <t>XXXX</t>
  </si>
  <si>
    <t>此值需要测试产品不加压敏时能承受的最大浪涌电压</t>
  </si>
  <si>
    <r>
      <rPr>
        <b/>
        <sz val="12"/>
        <color rgb="FFC00000"/>
        <rFont val="宋体"/>
        <charset val="134"/>
        <scheme val="minor"/>
      </rPr>
      <t>步骤1</t>
    </r>
    <r>
      <rPr>
        <b/>
        <sz val="11"/>
        <color theme="1"/>
        <rFont val="宋体"/>
        <charset val="134"/>
        <scheme val="minor"/>
      </rPr>
      <t>：确定压敏电阻最大连续工作电压(MCOV</t>
    </r>
    <r>
      <rPr>
        <b/>
        <sz val="11"/>
        <color theme="1"/>
        <rFont val="宋体"/>
        <charset val="134"/>
        <scheme val="minor"/>
      </rPr>
      <t>)</t>
    </r>
  </si>
  <si>
    <r>
      <rPr>
        <b/>
        <sz val="11"/>
        <color theme="1"/>
        <rFont val="宋体"/>
        <charset val="134"/>
        <scheme val="minor"/>
      </rPr>
      <t>压敏电压U</t>
    </r>
    <r>
      <rPr>
        <b/>
        <vertAlign val="subscript"/>
        <sz val="11"/>
        <color theme="1"/>
        <rFont val="宋体"/>
        <charset val="134"/>
        <scheme val="minor"/>
      </rPr>
      <t>N</t>
    </r>
    <r>
      <rPr>
        <b/>
        <sz val="11"/>
        <color theme="1"/>
        <rFont val="宋体"/>
        <charset val="134"/>
        <scheme val="minor"/>
      </rPr>
      <t>容差(±)：</t>
    </r>
  </si>
  <si>
    <t>％</t>
  </si>
  <si>
    <t>用于交流电路</t>
  </si>
  <si>
    <t>用于直流电路</t>
  </si>
  <si>
    <r>
      <rPr>
        <b/>
        <sz val="11"/>
        <color theme="1"/>
        <rFont val="宋体"/>
        <charset val="134"/>
        <scheme val="minor"/>
      </rPr>
      <t>交流电有效值U</t>
    </r>
    <r>
      <rPr>
        <b/>
        <vertAlign val="subscript"/>
        <sz val="11"/>
        <color theme="1"/>
        <rFont val="宋体"/>
        <charset val="134"/>
        <scheme val="minor"/>
      </rPr>
      <t>RMS</t>
    </r>
    <r>
      <rPr>
        <b/>
        <sz val="11"/>
        <color theme="1"/>
        <rFont val="宋体"/>
        <charset val="134"/>
        <scheme val="minor"/>
      </rPr>
      <t>：</t>
    </r>
  </si>
  <si>
    <r>
      <rPr>
        <b/>
        <sz val="11"/>
        <color theme="1"/>
        <rFont val="宋体"/>
        <charset val="134"/>
        <scheme val="minor"/>
      </rPr>
      <t>直流电U</t>
    </r>
    <r>
      <rPr>
        <b/>
        <vertAlign val="subscript"/>
        <sz val="11"/>
        <color theme="1"/>
        <rFont val="宋体"/>
        <charset val="134"/>
        <scheme val="minor"/>
      </rPr>
      <t>DC</t>
    </r>
    <r>
      <rPr>
        <b/>
        <sz val="11"/>
        <color theme="1"/>
        <rFont val="宋体"/>
        <charset val="134"/>
        <scheme val="minor"/>
      </rPr>
      <t>：</t>
    </r>
  </si>
  <si>
    <r>
      <rPr>
        <b/>
        <sz val="11"/>
        <color theme="1"/>
        <rFont val="宋体"/>
        <charset val="134"/>
        <scheme val="minor"/>
      </rPr>
      <t>U</t>
    </r>
    <r>
      <rPr>
        <b/>
        <vertAlign val="subscript"/>
        <sz val="11"/>
        <color theme="1"/>
        <rFont val="宋体"/>
        <charset val="134"/>
        <scheme val="minor"/>
      </rPr>
      <t>N</t>
    </r>
    <r>
      <rPr>
        <b/>
        <sz val="11"/>
        <color theme="1"/>
        <rFont val="宋体"/>
        <charset val="134"/>
        <scheme val="minor"/>
      </rPr>
      <t>最小值</t>
    </r>
    <r>
      <rPr>
        <b/>
        <vertAlign val="superscript"/>
        <sz val="11"/>
        <color theme="1"/>
        <rFont val="宋体"/>
        <charset val="134"/>
        <scheme val="minor"/>
      </rPr>
      <t>注1</t>
    </r>
    <r>
      <rPr>
        <b/>
        <sz val="11"/>
        <color theme="1"/>
        <rFont val="宋体"/>
        <charset val="134"/>
        <scheme val="minor"/>
      </rPr>
      <t>：</t>
    </r>
  </si>
  <si>
    <r>
      <rPr>
        <b/>
        <sz val="11"/>
        <color theme="1"/>
        <rFont val="宋体"/>
        <charset val="134"/>
        <scheme val="minor"/>
      </rPr>
      <t>U</t>
    </r>
    <r>
      <rPr>
        <b/>
        <vertAlign val="subscript"/>
        <sz val="11"/>
        <color theme="1"/>
        <rFont val="宋体"/>
        <charset val="134"/>
        <scheme val="minor"/>
      </rPr>
      <t>N</t>
    </r>
    <r>
      <rPr>
        <b/>
        <sz val="11"/>
        <color theme="1"/>
        <rFont val="宋体"/>
        <charset val="134"/>
        <scheme val="minor"/>
      </rPr>
      <t>最小值</t>
    </r>
    <r>
      <rPr>
        <b/>
        <vertAlign val="superscript"/>
        <sz val="11"/>
        <color theme="1"/>
        <rFont val="宋体"/>
        <charset val="134"/>
        <scheme val="minor"/>
      </rPr>
      <t>注2</t>
    </r>
    <r>
      <rPr>
        <b/>
        <sz val="11"/>
        <color theme="1"/>
        <rFont val="宋体"/>
        <charset val="134"/>
        <scheme val="minor"/>
      </rPr>
      <t>：</t>
    </r>
  </si>
  <si>
    <r>
      <rPr>
        <b/>
        <sz val="11"/>
        <color theme="1"/>
        <rFont val="宋体"/>
        <charset val="134"/>
        <scheme val="minor"/>
      </rPr>
      <t>根据U</t>
    </r>
    <r>
      <rPr>
        <b/>
        <vertAlign val="subscript"/>
        <sz val="11"/>
        <color theme="1"/>
        <rFont val="宋体"/>
        <charset val="134"/>
        <scheme val="minor"/>
      </rPr>
      <t>N</t>
    </r>
    <r>
      <rPr>
        <b/>
        <sz val="11"/>
        <color theme="1"/>
        <rFont val="宋体"/>
        <charset val="134"/>
        <scheme val="minor"/>
      </rPr>
      <t>预选型号：</t>
    </r>
  </si>
  <si>
    <t>471KD10J</t>
  </si>
  <si>
    <r>
      <rPr>
        <b/>
        <sz val="11"/>
        <color theme="1"/>
        <rFont val="宋体"/>
        <charset val="134"/>
        <scheme val="minor"/>
      </rPr>
      <t>该型号U</t>
    </r>
    <r>
      <rPr>
        <b/>
        <vertAlign val="subscript"/>
        <sz val="11"/>
        <color theme="1"/>
        <rFont val="宋体"/>
        <charset val="134"/>
        <scheme val="minor"/>
      </rPr>
      <t>N</t>
    </r>
    <r>
      <rPr>
        <b/>
        <sz val="11"/>
        <color theme="1"/>
        <rFont val="宋体"/>
        <charset val="134"/>
        <scheme val="minor"/>
      </rPr>
      <t>：</t>
    </r>
  </si>
  <si>
    <t>423~517</t>
  </si>
  <si>
    <t>厂商：</t>
  </si>
  <si>
    <t>君耀</t>
  </si>
  <si>
    <r>
      <rPr>
        <b/>
        <sz val="12"/>
        <color rgb="FFC00000"/>
        <rFont val="宋体"/>
        <charset val="134"/>
        <scheme val="minor"/>
      </rPr>
      <t>步骤2</t>
    </r>
    <r>
      <rPr>
        <b/>
        <sz val="11"/>
        <color theme="1"/>
        <rFont val="宋体"/>
        <charset val="134"/>
        <scheme val="minor"/>
      </rPr>
      <t>：图解确定该型号的导通残压U</t>
    </r>
    <r>
      <rPr>
        <b/>
        <vertAlign val="subscript"/>
        <sz val="11"/>
        <color theme="1"/>
        <rFont val="宋体"/>
        <charset val="134"/>
        <scheme val="minor"/>
      </rPr>
      <t>R</t>
    </r>
    <r>
      <rPr>
        <b/>
        <sz val="11"/>
        <color theme="1"/>
        <rFont val="宋体"/>
        <charset val="134"/>
        <scheme val="minor"/>
      </rPr>
      <t>和冲击电流峰值I</t>
    </r>
    <r>
      <rPr>
        <b/>
        <vertAlign val="subscript"/>
        <sz val="11"/>
        <color theme="1"/>
        <rFont val="宋体"/>
        <charset val="134"/>
        <scheme val="minor"/>
      </rPr>
      <t>pm</t>
    </r>
    <r>
      <rPr>
        <b/>
        <sz val="11"/>
        <color theme="1"/>
        <rFont val="宋体"/>
        <charset val="134"/>
        <scheme val="minor"/>
      </rPr>
      <t>。</t>
    </r>
  </si>
  <si>
    <r>
      <rPr>
        <b/>
        <sz val="11"/>
        <color theme="1"/>
        <rFont val="宋体"/>
        <charset val="134"/>
        <scheme val="minor"/>
      </rPr>
      <t>根据surge开路电压和源阻抗的loadline与该型号压敏电阻的伏安特性曲线的交点，确定U</t>
    </r>
    <r>
      <rPr>
        <b/>
        <vertAlign val="subscript"/>
        <sz val="11"/>
        <color theme="1"/>
        <rFont val="宋体"/>
        <charset val="134"/>
        <scheme val="minor"/>
      </rPr>
      <t>R</t>
    </r>
    <r>
      <rPr>
        <b/>
        <sz val="11"/>
        <color theme="1"/>
        <rFont val="宋体"/>
        <charset val="134"/>
        <scheme val="minor"/>
      </rPr>
      <t>，</t>
    </r>
    <r>
      <rPr>
        <b/>
        <sz val="11"/>
        <color rgb="FFC00000"/>
        <rFont val="宋体"/>
        <charset val="134"/>
        <scheme val="minor"/>
      </rPr>
      <t>且满足U</t>
    </r>
    <r>
      <rPr>
        <b/>
        <vertAlign val="subscript"/>
        <sz val="11"/>
        <color rgb="FFC00000"/>
        <rFont val="宋体"/>
        <charset val="134"/>
        <scheme val="minor"/>
      </rPr>
      <t>R</t>
    </r>
    <r>
      <rPr>
        <b/>
        <sz val="11"/>
        <color rgb="FFC00000"/>
        <rFont val="宋体"/>
        <charset val="134"/>
        <scheme val="minor"/>
      </rPr>
      <t>&lt;电压保护水平。</t>
    </r>
  </si>
  <si>
    <r>
      <rPr>
        <b/>
        <sz val="11"/>
        <color theme="1"/>
        <rFont val="宋体"/>
        <charset val="134"/>
        <scheme val="minor"/>
      </rPr>
      <t>U</t>
    </r>
    <r>
      <rPr>
        <b/>
        <vertAlign val="subscript"/>
        <sz val="11"/>
        <color theme="1"/>
        <rFont val="宋体"/>
        <charset val="134"/>
        <scheme val="minor"/>
      </rPr>
      <t>R</t>
    </r>
    <r>
      <rPr>
        <b/>
        <sz val="11"/>
        <color theme="1"/>
        <rFont val="宋体"/>
        <charset val="134"/>
        <scheme val="minor"/>
      </rPr>
      <t>：</t>
    </r>
  </si>
  <si>
    <r>
      <rPr>
        <b/>
        <sz val="11"/>
        <color theme="1"/>
        <rFont val="宋体"/>
        <charset val="134"/>
        <scheme val="minor"/>
      </rPr>
      <t>导通残压U</t>
    </r>
    <r>
      <rPr>
        <b/>
        <vertAlign val="subscript"/>
        <sz val="11"/>
        <color theme="1"/>
        <rFont val="宋体"/>
        <charset val="134"/>
        <scheme val="minor"/>
      </rPr>
      <t>R</t>
    </r>
    <r>
      <rPr>
        <b/>
        <sz val="11"/>
        <color theme="1"/>
        <rFont val="宋体"/>
        <charset val="134"/>
        <scheme val="minor"/>
      </rPr>
      <t>：</t>
    </r>
  </si>
  <si>
    <r>
      <rPr>
        <b/>
        <sz val="11"/>
        <color theme="1"/>
        <rFont val="宋体"/>
        <charset val="134"/>
        <scheme val="minor"/>
      </rPr>
      <t>冲击电流峰值I</t>
    </r>
    <r>
      <rPr>
        <b/>
        <vertAlign val="subscript"/>
        <sz val="11"/>
        <color theme="1"/>
        <rFont val="宋体"/>
        <charset val="134"/>
        <scheme val="minor"/>
      </rPr>
      <t>pm</t>
    </r>
    <r>
      <rPr>
        <b/>
        <vertAlign val="superscript"/>
        <sz val="11"/>
        <color theme="1"/>
        <rFont val="宋体"/>
        <charset val="134"/>
        <scheme val="minor"/>
      </rPr>
      <t>注3</t>
    </r>
    <r>
      <rPr>
        <b/>
        <sz val="11"/>
        <color theme="1"/>
        <rFont val="宋体"/>
        <charset val="134"/>
        <scheme val="minor"/>
      </rPr>
      <t>：</t>
    </r>
  </si>
  <si>
    <r>
      <rPr>
        <b/>
        <sz val="11"/>
        <color theme="1"/>
        <rFont val="宋体"/>
        <charset val="134"/>
        <scheme val="minor"/>
      </rPr>
      <t>I</t>
    </r>
    <r>
      <rPr>
        <b/>
        <sz val="8"/>
        <color theme="1"/>
        <rFont val="宋体"/>
        <charset val="134"/>
        <scheme val="minor"/>
      </rPr>
      <t>MAX</t>
    </r>
    <r>
      <rPr>
        <b/>
        <sz val="11"/>
        <color theme="1"/>
        <rFont val="宋体"/>
        <charset val="134"/>
        <scheme val="minor"/>
      </rPr>
      <t>(在连续测试次数下)</t>
    </r>
  </si>
  <si>
    <r>
      <rPr>
        <b/>
        <sz val="11"/>
        <color theme="1"/>
        <rFont val="宋体"/>
        <charset val="134"/>
        <scheme val="minor"/>
      </rPr>
      <t>查阅该型号在规定脉冲宽度、冲击次数下最大允许脉冲电流峰值</t>
    </r>
    <r>
      <rPr>
        <b/>
        <sz val="11"/>
        <color rgb="FFC00000"/>
        <rFont val="宋体"/>
        <charset val="134"/>
        <scheme val="minor"/>
      </rPr>
      <t>I</t>
    </r>
    <r>
      <rPr>
        <b/>
        <vertAlign val="subscript"/>
        <sz val="11"/>
        <color rgb="FFC00000"/>
        <rFont val="宋体"/>
        <charset val="134"/>
        <scheme val="minor"/>
      </rPr>
      <t>MAX</t>
    </r>
    <r>
      <rPr>
        <b/>
        <sz val="11"/>
        <color rgb="FFC00000"/>
        <rFont val="宋体"/>
        <charset val="134"/>
        <scheme val="minor"/>
      </rPr>
      <t>&gt;I</t>
    </r>
    <r>
      <rPr>
        <b/>
        <vertAlign val="subscript"/>
        <sz val="11"/>
        <color rgb="FFC00000"/>
        <rFont val="宋体"/>
        <charset val="134"/>
        <scheme val="minor"/>
      </rPr>
      <t>pm</t>
    </r>
    <r>
      <rPr>
        <b/>
        <vertAlign val="subscript"/>
        <sz val="11"/>
        <color theme="1"/>
        <rFont val="宋体"/>
        <charset val="134"/>
        <scheme val="minor"/>
      </rPr>
      <t>，</t>
    </r>
    <r>
      <rPr>
        <b/>
        <sz val="11"/>
        <color theme="1"/>
        <rFont val="宋体"/>
        <charset val="134"/>
        <scheme val="minor"/>
      </rPr>
      <t>若不合格重新选型。</t>
    </r>
  </si>
  <si>
    <r>
      <rPr>
        <b/>
        <sz val="12"/>
        <color rgb="FFC00000"/>
        <rFont val="宋体"/>
        <charset val="134"/>
        <scheme val="minor"/>
      </rPr>
      <t>步骤3</t>
    </r>
    <r>
      <rPr>
        <b/>
        <sz val="11"/>
        <color theme="1"/>
        <rFont val="宋体"/>
        <charset val="134"/>
        <scheme val="minor"/>
      </rPr>
      <t>：计算多次累计下的平均功率</t>
    </r>
  </si>
  <si>
    <r>
      <rPr>
        <b/>
        <sz val="11"/>
        <color theme="1"/>
        <rFont val="宋体"/>
        <charset val="134"/>
        <scheme val="minor"/>
      </rPr>
      <t>累计冲击下的平均功率P</t>
    </r>
    <r>
      <rPr>
        <b/>
        <vertAlign val="superscript"/>
        <sz val="11"/>
        <color theme="1"/>
        <rFont val="宋体"/>
        <charset val="134"/>
        <scheme val="minor"/>
      </rPr>
      <t>注4</t>
    </r>
    <r>
      <rPr>
        <b/>
        <sz val="11"/>
        <color theme="1"/>
        <rFont val="宋体"/>
        <charset val="134"/>
        <scheme val="minor"/>
      </rPr>
      <t>：</t>
    </r>
  </si>
  <si>
    <t>W</t>
  </si>
  <si>
    <r>
      <rPr>
        <b/>
        <sz val="11"/>
        <color theme="1"/>
        <rFont val="宋体"/>
        <charset val="134"/>
        <scheme val="minor"/>
      </rPr>
      <t>型号规格值P</t>
    </r>
    <r>
      <rPr>
        <b/>
        <vertAlign val="subscript"/>
        <sz val="11"/>
        <color theme="1"/>
        <rFont val="宋体"/>
        <charset val="134"/>
        <scheme val="minor"/>
      </rPr>
      <t>o</t>
    </r>
    <r>
      <rPr>
        <b/>
        <sz val="11"/>
        <color theme="1"/>
        <rFont val="宋体"/>
        <charset val="134"/>
        <scheme val="minor"/>
      </rPr>
      <t>：</t>
    </r>
  </si>
  <si>
    <r>
      <rPr>
        <b/>
        <sz val="11"/>
        <color theme="1"/>
        <rFont val="宋体"/>
        <charset val="134"/>
        <scheme val="minor"/>
      </rPr>
      <t>查阅该型号的额定功率P</t>
    </r>
    <r>
      <rPr>
        <b/>
        <vertAlign val="subscript"/>
        <sz val="11"/>
        <color theme="1"/>
        <rFont val="宋体"/>
        <charset val="134"/>
        <scheme val="minor"/>
      </rPr>
      <t>o</t>
    </r>
    <r>
      <rPr>
        <b/>
        <sz val="11"/>
        <color theme="1"/>
        <rFont val="宋体"/>
        <charset val="134"/>
        <scheme val="minor"/>
      </rPr>
      <t>是否大于P，若不合格重新选型重复步骤2、3。</t>
    </r>
  </si>
  <si>
    <t>备注</t>
  </si>
  <si>
    <r>
      <rPr>
        <b/>
        <sz val="11"/>
        <color theme="1"/>
        <rFont val="宋体"/>
        <charset val="134"/>
        <scheme val="minor"/>
      </rPr>
      <t>注1：在交流电路中，压敏电压U</t>
    </r>
    <r>
      <rPr>
        <b/>
        <vertAlign val="subscript"/>
        <sz val="11"/>
        <color theme="1"/>
        <rFont val="宋体"/>
        <charset val="134"/>
        <scheme val="minor"/>
      </rPr>
      <t>N</t>
    </r>
    <r>
      <rPr>
        <b/>
        <sz val="11"/>
        <color theme="1"/>
        <rFont val="宋体"/>
        <charset val="134"/>
        <scheme val="minor"/>
      </rPr>
      <t>容差的下限值应大于交流电压的峰值(√2*U</t>
    </r>
    <r>
      <rPr>
        <b/>
        <vertAlign val="subscript"/>
        <sz val="11"/>
        <color theme="1"/>
        <rFont val="宋体"/>
        <charset val="134"/>
        <scheme val="minor"/>
      </rPr>
      <t>RMS</t>
    </r>
    <r>
      <rPr>
        <b/>
        <sz val="11"/>
        <color theme="1"/>
        <rFont val="宋体"/>
        <charset val="134"/>
        <scheme val="minor"/>
      </rPr>
      <t>)。</t>
    </r>
  </si>
  <si>
    <r>
      <rPr>
        <b/>
        <sz val="11"/>
        <color theme="1"/>
        <rFont val="宋体"/>
        <charset val="134"/>
        <scheme val="minor"/>
      </rPr>
      <t>注2：在直流电路中，压敏电阻消耗的功耗与其在交流有效值U</t>
    </r>
    <r>
      <rPr>
        <b/>
        <sz val="8"/>
        <color theme="1"/>
        <rFont val="宋体"/>
        <charset val="134"/>
        <scheme val="minor"/>
      </rPr>
      <t>RMS</t>
    </r>
    <r>
      <rPr>
        <b/>
        <sz val="11"/>
        <color theme="1"/>
        <rFont val="宋体"/>
        <charset val="134"/>
        <scheme val="minor"/>
      </rPr>
      <t>的功耗大体相等或略小于，所以只有经验公式。</t>
    </r>
  </si>
  <si>
    <r>
      <rPr>
        <b/>
        <sz val="11"/>
        <color theme="1"/>
        <rFont val="宋体"/>
        <charset val="134"/>
        <scheme val="minor"/>
      </rPr>
      <t>注3：一般厂商提供的伏安曲线为正偏差10%时的曲线，所以U</t>
    </r>
    <r>
      <rPr>
        <b/>
        <vertAlign val="subscript"/>
        <sz val="11"/>
        <color theme="1"/>
        <rFont val="宋体"/>
        <charset val="134"/>
        <scheme val="minor"/>
      </rPr>
      <t>R</t>
    </r>
    <r>
      <rPr>
        <b/>
        <sz val="11"/>
        <color theme="1"/>
        <rFont val="宋体"/>
        <charset val="134"/>
        <scheme val="minor"/>
      </rPr>
      <t>是最大导通电压，但I</t>
    </r>
    <r>
      <rPr>
        <b/>
        <vertAlign val="subscript"/>
        <sz val="11"/>
        <color theme="1"/>
        <rFont val="宋体"/>
        <charset val="134"/>
        <scheme val="minor"/>
      </rPr>
      <t>pm</t>
    </r>
    <r>
      <rPr>
        <b/>
        <sz val="11"/>
        <color theme="1"/>
        <rFont val="宋体"/>
        <charset val="134"/>
        <scheme val="minor"/>
      </rPr>
      <t>最大时是在负偏差10%的时候，所以I</t>
    </r>
    <r>
      <rPr>
        <b/>
        <vertAlign val="subscript"/>
        <sz val="11"/>
        <color theme="1"/>
        <rFont val="宋体"/>
        <charset val="134"/>
        <scheme val="minor"/>
      </rPr>
      <t>pm</t>
    </r>
    <r>
      <rPr>
        <b/>
        <sz val="11"/>
        <color theme="1"/>
        <rFont val="宋体"/>
        <charset val="134"/>
        <scheme val="minor"/>
      </rPr>
      <t>需由下图公式计算得到。</t>
    </r>
  </si>
  <si>
    <t>注4：16.4系数为波形等效系数</t>
  </si>
  <si>
    <t>注5：8/20μs电流波形等效方波时长为17.5μs。</t>
  </si>
  <si>
    <t>VIN:</t>
  </si>
  <si>
    <t>Vout:</t>
  </si>
  <si>
    <t>Rf:</t>
  </si>
  <si>
    <t>Rg:</t>
  </si>
  <si>
    <t>Vin:</t>
  </si>
  <si>
    <t>R1:</t>
  </si>
  <si>
    <t>R2:</t>
  </si>
  <si>
    <t>Va:</t>
  </si>
  <si>
    <t>Vb:</t>
  </si>
  <si>
    <t>R3:</t>
  </si>
  <si>
    <t>Vc:</t>
  </si>
  <si>
    <t>RN:</t>
  </si>
  <si>
    <t>Vn:</t>
  </si>
  <si>
    <t>RF:</t>
  </si>
  <si>
    <t>Calculates noise density of a simple non-inverting amplifier.</t>
  </si>
  <si>
    <t>Bruce Trump, February 10, 2013</t>
  </si>
  <si>
    <t xml:space="preserve">     User entries in yellow highlights.  Hover on marked cells for explanations.</t>
  </si>
  <si>
    <t>Background information can be found in these blogs:</t>
  </si>
  <si>
    <t>Thermal</t>
  </si>
  <si>
    <t>RTI Contribution</t>
  </si>
  <si>
    <t>% Noise</t>
  </si>
  <si>
    <t>Resistor Noise—reviewing basics, plus a Fun Quiz</t>
  </si>
  <si>
    <t>Component</t>
  </si>
  <si>
    <t>Entry</t>
  </si>
  <si>
    <t>R Noise</t>
  </si>
  <si>
    <t>Gain</t>
  </si>
  <si>
    <t>V/rt-Hz</t>
  </si>
  <si>
    <t>Contribution</t>
  </si>
  <si>
    <t>Comment</t>
  </si>
  <si>
    <t>Op Amp Noise—the non-inverting amplifier</t>
  </si>
  <si>
    <t>Source Rs =</t>
  </si>
  <si>
    <t>Thermal Noise contribution of source resistance.</t>
  </si>
  <si>
    <t>Op Amp Noise—but what about the feedback?</t>
  </si>
  <si>
    <t>Op Amp V noise =</t>
  </si>
  <si>
    <t>Op amp voltage noise contribution.</t>
  </si>
  <si>
    <t>Other interesting “The Signal” Blog Topics</t>
  </si>
  <si>
    <t>Op Amp I noise =</t>
  </si>
  <si>
    <t>Op Amp non-inverting input current noise contribution</t>
  </si>
  <si>
    <t>Op Amp inverting input current noise contribution</t>
  </si>
  <si>
    <t>Alternative calculation for inverting input bias current contribution using Inoise*(R1//R2)</t>
  </si>
  <si>
    <t>R1 =</t>
  </si>
  <si>
    <t>R1 thermal noise contribution</t>
  </si>
  <si>
    <t>Summing RTI noise of R1 and R2 thermal noise contribution</t>
  </si>
  <si>
    <t>R2 =</t>
  </si>
  <si>
    <t>R2 thermal noise contribution</t>
  </si>
  <si>
    <t>Demonstrates equivalence of RTI noise of R1 and R2 by calculating noise of R1//R2</t>
  </si>
  <si>
    <t>Non-inverting gain.</t>
  </si>
  <si>
    <t>Temperature 'C =</t>
  </si>
  <si>
    <t>Total RTI (input referred) noise</t>
  </si>
  <si>
    <t xml:space="preserve">Output Noise </t>
  </si>
  <si>
    <t>Feedback Load =</t>
  </si>
  <si>
    <t>&lt; R1+R2 is the effective load on the op amp. Cell highlights when R1+R2&lt;2000.</t>
  </si>
  <si>
    <t>Alarm value for R1+R2</t>
  </si>
  <si>
    <t>Noise Figure (dB)</t>
  </si>
  <si>
    <t>Noise added to Rs thermal noise by amplifier, R1 and R2.</t>
  </si>
  <si>
    <t>This table sweeps Rs values for the graph. It uses op amp voltage/current noise and R1, R2 values entered above.</t>
  </si>
  <si>
    <t>Rs</t>
  </si>
  <si>
    <t>Rs Noise</t>
  </si>
  <si>
    <t>Total RTI Noise</t>
  </si>
  <si>
    <t>100M</t>
  </si>
  <si>
    <t>1G</t>
  </si>
  <si>
    <t>Totally unrelated bonus gadget:</t>
  </si>
  <si>
    <t>Input Resistor Value   &gt;&gt;</t>
  </si>
  <si>
    <t>Nearest 1% Value</t>
  </si>
  <si>
    <t>&lt; Formula in this cell formula calculates the nearest standard 1% value to the input resistor value.</t>
  </si>
  <si>
    <t>Use with multiple-resistor calculations to avoid tolerance build-up.</t>
  </si>
  <si>
    <t>Calculates total noise over a bandwith of 1/f + flat noise.</t>
  </si>
  <si>
    <t>Bruce Trump  3-3-2013</t>
  </si>
  <si>
    <t>Frequency</t>
  </si>
  <si>
    <t>1/f</t>
  </si>
  <si>
    <t>Flatband</t>
  </si>
  <si>
    <t>Data Table for Graph:</t>
  </si>
  <si>
    <t>1/f Noise</t>
  </si>
  <si>
    <t>Flat Noise</t>
  </si>
  <si>
    <t>Frequency Range</t>
  </si>
  <si>
    <t>Flat</t>
  </si>
  <si>
    <t>f1 =</t>
  </si>
  <si>
    <t>Total Noise</t>
  </si>
  <si>
    <t>f2 =</t>
  </si>
  <si>
    <t>十进制:</t>
  </si>
  <si>
    <t>转到36进制:</t>
  </si>
  <si>
    <t>转到16进制:</t>
  </si>
  <si>
    <t>MX4</t>
  </si>
  <si>
    <t>36进制返10进制</t>
  </si>
  <si>
    <t>十进制转到Base64:</t>
  </si>
  <si>
    <t>返回首面</t>
  </si>
  <si>
    <t>立方米，立方分米，立方厘米，立方毫米，升，分升，毫升，厘升，公石</t>
  </si>
  <si>
    <t>压力换算系数表</t>
  </si>
  <si>
    <t>公制：千克，克，毫克，吨，公担</t>
  </si>
  <si>
    <t>ppm是体积比浓度：Parts per million</t>
  </si>
  <si>
    <t>光速</t>
  </si>
  <si>
    <t>英制：磅，盎司，克拉，格令，长吨，短吨，英担，美担，英石，打兰</t>
  </si>
  <si>
    <r>
      <rPr>
        <b/>
        <sz val="9"/>
        <color indexed="9"/>
        <rFont val="宋体"/>
        <charset val="134"/>
      </rPr>
      <t>焦耳，卡，千卡，公斤</t>
    </r>
    <r>
      <rPr>
        <b/>
        <sz val="9"/>
        <color indexed="9"/>
        <rFont val="Arial"/>
        <charset val="134"/>
      </rPr>
      <t>·</t>
    </r>
    <r>
      <rPr>
        <b/>
        <sz val="9"/>
        <color indexed="9"/>
        <rFont val="宋体"/>
        <charset val="134"/>
      </rPr>
      <t>米，米制马力</t>
    </r>
    <r>
      <rPr>
        <b/>
        <sz val="9"/>
        <color indexed="9"/>
        <rFont val="Arial"/>
        <charset val="134"/>
      </rPr>
      <t>·</t>
    </r>
    <r>
      <rPr>
        <b/>
        <sz val="9"/>
        <color indexed="9"/>
        <rFont val="宋体"/>
        <charset val="134"/>
      </rPr>
      <t>时，英制马力</t>
    </r>
    <r>
      <rPr>
        <b/>
        <sz val="9"/>
        <color indexed="9"/>
        <rFont val="Arial"/>
        <charset val="134"/>
      </rPr>
      <t>·</t>
    </r>
    <r>
      <rPr>
        <b/>
        <sz val="9"/>
        <color indexed="9"/>
        <rFont val="宋体"/>
        <charset val="134"/>
      </rPr>
      <t>时，千瓦</t>
    </r>
    <r>
      <rPr>
        <b/>
        <sz val="9"/>
        <color indexed="9"/>
        <rFont val="Arial"/>
        <charset val="134"/>
      </rPr>
      <t>·</t>
    </r>
    <r>
      <rPr>
        <b/>
        <sz val="9"/>
        <color indexed="9"/>
        <rFont val="宋体"/>
        <charset val="134"/>
      </rPr>
      <t>时，英热单位，英尺</t>
    </r>
    <r>
      <rPr>
        <b/>
        <sz val="9"/>
        <color indexed="9"/>
        <rFont val="Arial"/>
        <charset val="134"/>
      </rPr>
      <t>·</t>
    </r>
    <r>
      <rPr>
        <b/>
        <sz val="9"/>
        <color indexed="9"/>
        <rFont val="宋体"/>
        <charset val="134"/>
      </rPr>
      <t>磅</t>
    </r>
  </si>
  <si>
    <t>　　ppm是溶液浓度（溶质质量分数）的一种表示方法，ppm表示百万分之一。</t>
  </si>
  <si>
    <t>市制：担，斤，两，钱</t>
  </si>
  <si>
    <t>压力</t>
  </si>
  <si>
    <t>流量</t>
  </si>
  <si>
    <t>长度</t>
  </si>
  <si>
    <t>面积</t>
  </si>
  <si>
    <t>体积</t>
  </si>
  <si>
    <t>重量</t>
  </si>
  <si>
    <t>功</t>
  </si>
  <si>
    <t>功，能和热量</t>
  </si>
  <si>
    <t>Pa</t>
  </si>
  <si>
    <t>Kpa</t>
  </si>
  <si>
    <t>Mpa</t>
  </si>
  <si>
    <t>bar</t>
  </si>
  <si>
    <t>mbar</t>
  </si>
  <si>
    <r>
      <rPr>
        <b/>
        <sz val="12"/>
        <color indexed="9"/>
        <rFont val="宋体"/>
        <charset val="134"/>
      </rPr>
      <t>kgf/cm</t>
    </r>
    <r>
      <rPr>
        <b/>
        <vertAlign val="superscript"/>
        <sz val="12"/>
        <color indexed="9"/>
        <rFont val="宋体"/>
        <charset val="134"/>
      </rPr>
      <t>2</t>
    </r>
  </si>
  <si>
    <r>
      <rPr>
        <b/>
        <sz val="12"/>
        <color indexed="9"/>
        <rFont val="宋体"/>
        <charset val="134"/>
      </rPr>
      <t>kgf/m</t>
    </r>
    <r>
      <rPr>
        <b/>
        <vertAlign val="superscript"/>
        <sz val="12"/>
        <color indexed="9"/>
        <rFont val="宋体"/>
        <charset val="134"/>
      </rPr>
      <t>2</t>
    </r>
  </si>
  <si>
    <t>atm</t>
  </si>
  <si>
    <r>
      <rPr>
        <b/>
        <sz val="12"/>
        <color indexed="9"/>
        <rFont val="宋体"/>
        <charset val="134"/>
      </rPr>
      <t>cmH</t>
    </r>
    <r>
      <rPr>
        <b/>
        <vertAlign val="subscript"/>
        <sz val="12"/>
        <color indexed="9"/>
        <rFont val="宋体"/>
        <charset val="134"/>
      </rPr>
      <t>2</t>
    </r>
    <r>
      <rPr>
        <b/>
        <sz val="12"/>
        <color indexed="9"/>
        <rFont val="宋体"/>
        <charset val="134"/>
      </rPr>
      <t>O</t>
    </r>
  </si>
  <si>
    <t>mmH2O</t>
  </si>
  <si>
    <t>mmHg</t>
  </si>
  <si>
    <t>p.s.i</t>
  </si>
  <si>
    <r>
      <rPr>
        <b/>
        <sz val="12"/>
        <color indexed="9"/>
        <rFont val="宋体"/>
        <charset val="134"/>
      </rPr>
      <t>m</t>
    </r>
    <r>
      <rPr>
        <b/>
        <vertAlign val="superscript"/>
        <sz val="12"/>
        <color indexed="9"/>
        <rFont val="宋体"/>
        <charset val="134"/>
      </rPr>
      <t>3</t>
    </r>
    <r>
      <rPr>
        <b/>
        <sz val="12"/>
        <color indexed="9"/>
        <rFont val="宋体"/>
        <charset val="134"/>
      </rPr>
      <t>/s</t>
    </r>
  </si>
  <si>
    <t>L/s</t>
  </si>
  <si>
    <r>
      <rPr>
        <b/>
        <sz val="12"/>
        <color indexed="9"/>
        <rFont val="宋体"/>
        <charset val="134"/>
      </rPr>
      <t>cm</t>
    </r>
    <r>
      <rPr>
        <b/>
        <vertAlign val="superscript"/>
        <sz val="12"/>
        <color indexed="9"/>
        <rFont val="宋体"/>
        <charset val="134"/>
      </rPr>
      <t>3</t>
    </r>
    <r>
      <rPr>
        <b/>
        <sz val="12"/>
        <color indexed="9"/>
        <rFont val="宋体"/>
        <charset val="134"/>
      </rPr>
      <t>/s</t>
    </r>
  </si>
  <si>
    <r>
      <rPr>
        <b/>
        <sz val="12"/>
        <color indexed="9"/>
        <rFont val="宋体"/>
        <charset val="134"/>
      </rPr>
      <t>m</t>
    </r>
    <r>
      <rPr>
        <b/>
        <vertAlign val="superscript"/>
        <sz val="12"/>
        <color indexed="9"/>
        <rFont val="宋体"/>
        <charset val="134"/>
      </rPr>
      <t>3</t>
    </r>
    <r>
      <rPr>
        <b/>
        <sz val="12"/>
        <color indexed="9"/>
        <rFont val="宋体"/>
        <charset val="134"/>
      </rPr>
      <t>/h</t>
    </r>
  </si>
  <si>
    <r>
      <rPr>
        <b/>
        <sz val="12"/>
        <color indexed="9"/>
        <rFont val="宋体"/>
        <charset val="134"/>
      </rPr>
      <t>m</t>
    </r>
    <r>
      <rPr>
        <b/>
        <vertAlign val="superscript"/>
        <sz val="12"/>
        <color indexed="9"/>
        <rFont val="宋体"/>
        <charset val="134"/>
      </rPr>
      <t>3</t>
    </r>
    <r>
      <rPr>
        <b/>
        <sz val="12"/>
        <color indexed="9"/>
        <rFont val="宋体"/>
        <charset val="134"/>
      </rPr>
      <t>/min</t>
    </r>
  </si>
  <si>
    <t>L/h</t>
  </si>
  <si>
    <t>L/min</t>
  </si>
  <si>
    <t>fl/min</t>
  </si>
  <si>
    <t>gallon/min(UK)</t>
  </si>
  <si>
    <t>gallon/min(USA)</t>
  </si>
  <si>
    <t>公里
km</t>
  </si>
  <si>
    <t>公尺/米
m</t>
  </si>
  <si>
    <t>分米
dm</t>
  </si>
  <si>
    <t>厘米/公分
cm</t>
  </si>
  <si>
    <t>毫米/公厘
mm</t>
  </si>
  <si>
    <t>丝米
dmm</t>
  </si>
  <si>
    <t>忽米
cmm</t>
  </si>
  <si>
    <t>微米
um</t>
  </si>
  <si>
    <t>纳米
nm</t>
  </si>
  <si>
    <t>皮米
pm</t>
  </si>
  <si>
    <t>市尺</t>
  </si>
  <si>
    <t>市丈</t>
  </si>
  <si>
    <t>市引</t>
  </si>
  <si>
    <t>码
yd</t>
  </si>
  <si>
    <t>公寸/英寸
in</t>
  </si>
  <si>
    <t>英尺
ft</t>
  </si>
  <si>
    <t>英里
mile</t>
  </si>
  <si>
    <t>海里</t>
  </si>
  <si>
    <r>
      <rPr>
        <b/>
        <sz val="12"/>
        <color indexed="9"/>
        <rFont val="宋体"/>
        <charset val="134"/>
      </rPr>
      <t>km</t>
    </r>
    <r>
      <rPr>
        <b/>
        <vertAlign val="superscript"/>
        <sz val="12"/>
        <color indexed="9"/>
        <rFont val="宋体"/>
        <charset val="134"/>
      </rPr>
      <t>2</t>
    </r>
  </si>
  <si>
    <r>
      <rPr>
        <b/>
        <sz val="12"/>
        <color indexed="9"/>
        <rFont val="宋体"/>
        <charset val="134"/>
      </rPr>
      <t>hm</t>
    </r>
    <r>
      <rPr>
        <b/>
        <vertAlign val="superscript"/>
        <sz val="12"/>
        <color indexed="9"/>
        <rFont val="宋体"/>
        <charset val="134"/>
      </rPr>
      <t>2</t>
    </r>
  </si>
  <si>
    <t>are</t>
  </si>
  <si>
    <r>
      <rPr>
        <b/>
        <sz val="12"/>
        <color indexed="9"/>
        <rFont val="宋体"/>
        <charset val="134"/>
      </rPr>
      <t>m</t>
    </r>
    <r>
      <rPr>
        <b/>
        <vertAlign val="superscript"/>
        <sz val="12"/>
        <color indexed="9"/>
        <rFont val="宋体"/>
        <charset val="134"/>
      </rPr>
      <t>2</t>
    </r>
  </si>
  <si>
    <r>
      <rPr>
        <b/>
        <sz val="12"/>
        <color indexed="9"/>
        <rFont val="宋体"/>
        <charset val="134"/>
      </rPr>
      <t>dm</t>
    </r>
    <r>
      <rPr>
        <b/>
        <vertAlign val="superscript"/>
        <sz val="12"/>
        <color indexed="9"/>
        <rFont val="宋体"/>
        <charset val="134"/>
      </rPr>
      <t>2</t>
    </r>
  </si>
  <si>
    <r>
      <rPr>
        <b/>
        <sz val="12"/>
        <color indexed="9"/>
        <rFont val="宋体"/>
        <charset val="134"/>
      </rPr>
      <t>cm</t>
    </r>
    <r>
      <rPr>
        <b/>
        <vertAlign val="superscript"/>
        <sz val="12"/>
        <color indexed="9"/>
        <rFont val="宋体"/>
        <charset val="134"/>
      </rPr>
      <t>2</t>
    </r>
  </si>
  <si>
    <r>
      <rPr>
        <b/>
        <sz val="12"/>
        <color indexed="9"/>
        <rFont val="宋体"/>
        <charset val="134"/>
      </rPr>
      <t>mm</t>
    </r>
    <r>
      <rPr>
        <b/>
        <vertAlign val="superscript"/>
        <sz val="12"/>
        <color indexed="9"/>
        <rFont val="宋体"/>
        <charset val="134"/>
      </rPr>
      <t>2</t>
    </r>
  </si>
  <si>
    <t>顷</t>
  </si>
  <si>
    <t>亩</t>
  </si>
  <si>
    <t>平方尺</t>
  </si>
  <si>
    <t>平方寸</t>
  </si>
  <si>
    <t>英亩/acre</t>
  </si>
  <si>
    <t>平方英里/sq-mile</t>
  </si>
  <si>
    <t>平方码</t>
  </si>
  <si>
    <t>平方英尺</t>
  </si>
  <si>
    <t>平方英寸</t>
  </si>
  <si>
    <t>平方竿</t>
  </si>
  <si>
    <t>立方米</t>
  </si>
  <si>
    <t>立方分米</t>
  </si>
  <si>
    <t>立方厘米</t>
  </si>
  <si>
    <t>立方毫米</t>
  </si>
  <si>
    <t>升</t>
  </si>
  <si>
    <t>分升</t>
  </si>
  <si>
    <t>厘升</t>
  </si>
  <si>
    <t>毫升</t>
  </si>
  <si>
    <t>公石</t>
  </si>
  <si>
    <t>立方英尺</t>
  </si>
  <si>
    <t>立方英寸</t>
  </si>
  <si>
    <t>立方码</t>
  </si>
  <si>
    <t>亩英尺</t>
  </si>
  <si>
    <t>英制加仑</t>
  </si>
  <si>
    <t>美制加仑</t>
  </si>
  <si>
    <t>美桶（barrel)</t>
  </si>
  <si>
    <t>千克</t>
  </si>
  <si>
    <t>克</t>
  </si>
  <si>
    <t>毫克</t>
  </si>
  <si>
    <t>吨</t>
  </si>
  <si>
    <t>公担</t>
  </si>
  <si>
    <t>磅</t>
  </si>
  <si>
    <t>盎司</t>
  </si>
  <si>
    <t>克拉</t>
  </si>
  <si>
    <t>格令</t>
  </si>
  <si>
    <t>长吨</t>
  </si>
  <si>
    <t>短吨</t>
  </si>
  <si>
    <t>英担</t>
  </si>
  <si>
    <t>美担</t>
  </si>
  <si>
    <t>英石</t>
  </si>
  <si>
    <t>打兰</t>
  </si>
  <si>
    <t>担</t>
  </si>
  <si>
    <t>斤</t>
  </si>
  <si>
    <t>两</t>
  </si>
  <si>
    <t>钱</t>
  </si>
  <si>
    <t>瓦</t>
  </si>
  <si>
    <t>千瓦</t>
  </si>
  <si>
    <t>英制马力</t>
  </si>
  <si>
    <t>米制马力</t>
  </si>
  <si>
    <t>公斤·米/秒</t>
  </si>
  <si>
    <t>千卡/秒</t>
  </si>
  <si>
    <t>英热单位/秒</t>
  </si>
  <si>
    <t>英尺·磅/秒</t>
  </si>
  <si>
    <t>焦耳/秒</t>
  </si>
  <si>
    <t>牛顿·米/秒</t>
  </si>
  <si>
    <t>焦耳</t>
  </si>
  <si>
    <t>卡</t>
  </si>
  <si>
    <t>千卡</t>
  </si>
  <si>
    <r>
      <rPr>
        <b/>
        <sz val="9"/>
        <color indexed="9"/>
        <rFont val="宋体"/>
        <charset val="134"/>
      </rPr>
      <t>公斤</t>
    </r>
    <r>
      <rPr>
        <b/>
        <sz val="9"/>
        <color indexed="9"/>
        <rFont val="Arial"/>
        <charset val="134"/>
      </rPr>
      <t>·</t>
    </r>
    <r>
      <rPr>
        <b/>
        <sz val="9"/>
        <color indexed="9"/>
        <rFont val="宋体"/>
        <charset val="134"/>
      </rPr>
      <t>米</t>
    </r>
  </si>
  <si>
    <t>米制马力·时</t>
  </si>
  <si>
    <t>英制马力·时</t>
  </si>
  <si>
    <t>千瓦·时</t>
  </si>
  <si>
    <t>英热单位</t>
  </si>
  <si>
    <t>英尺·磅</t>
  </si>
  <si>
    <t>　　对于溶液：即1升水溶液中有1/1000毫升的溶质，则其浓度（溶质质量分数）为1ppm。</t>
  </si>
  <si>
    <t>常用单位换算</t>
  </si>
  <si>
    <r>
      <rPr>
        <sz val="12"/>
        <color indexed="9"/>
        <rFont val="宋体"/>
        <charset val="134"/>
      </rPr>
      <t>m</t>
    </r>
    <r>
      <rPr>
        <vertAlign val="superscript"/>
        <sz val="12"/>
        <color indexed="9"/>
        <rFont val="宋体"/>
        <charset val="134"/>
      </rPr>
      <t>3</t>
    </r>
    <r>
      <rPr>
        <sz val="12"/>
        <color indexed="9"/>
        <rFont val="宋体"/>
        <charset val="134"/>
      </rPr>
      <t>/s</t>
    </r>
  </si>
  <si>
    <r>
      <rPr>
        <sz val="12"/>
        <color indexed="9"/>
        <rFont val="宋体"/>
        <charset val="134"/>
      </rPr>
      <t>km</t>
    </r>
    <r>
      <rPr>
        <vertAlign val="superscript"/>
        <sz val="12"/>
        <color indexed="9"/>
        <rFont val="宋体"/>
        <charset val="134"/>
      </rPr>
      <t>2</t>
    </r>
  </si>
  <si>
    <t>　　对于气体：对环境大气（空气）中污染物浓度的表示方法之一。</t>
  </si>
  <si>
    <r>
      <rPr>
        <sz val="12"/>
        <color indexed="9"/>
        <rFont val="宋体"/>
        <charset val="134"/>
      </rPr>
      <t>hm</t>
    </r>
    <r>
      <rPr>
        <vertAlign val="superscript"/>
        <sz val="12"/>
        <color indexed="9"/>
        <rFont val="宋体"/>
        <charset val="134"/>
      </rPr>
      <t>2</t>
    </r>
  </si>
  <si>
    <t>　　体积浓度表示法：一百万体积的空气中所含污染物的体积数，即ppm</t>
  </si>
  <si>
    <r>
      <rPr>
        <sz val="12"/>
        <color indexed="9"/>
        <rFont val="宋体"/>
        <charset val="134"/>
      </rPr>
      <t>cm</t>
    </r>
    <r>
      <rPr>
        <vertAlign val="superscript"/>
        <sz val="12"/>
        <color indexed="9"/>
        <rFont val="宋体"/>
        <charset val="134"/>
      </rPr>
      <t>3</t>
    </r>
    <r>
      <rPr>
        <sz val="12"/>
        <color indexed="9"/>
        <rFont val="宋体"/>
        <charset val="134"/>
      </rPr>
      <t>/s</t>
    </r>
  </si>
  <si>
    <t>　　大部分气体检测仪器测得的气体浓度都是体积浓度（ppm）。而按我国规定，特别是环保部门，则要求气体浓度以质量浓度的单位（如：mg/m3）表示，我们国家的标准规范也都是采用质量浓度单位（如：mg/m&amp;sup3;;）表示。</t>
  </si>
  <si>
    <r>
      <rPr>
        <sz val="12"/>
        <color indexed="9"/>
        <rFont val="宋体"/>
        <charset val="134"/>
      </rPr>
      <t>m</t>
    </r>
    <r>
      <rPr>
        <vertAlign val="superscript"/>
        <sz val="12"/>
        <color indexed="9"/>
        <rFont val="宋体"/>
        <charset val="134"/>
      </rPr>
      <t>3</t>
    </r>
    <r>
      <rPr>
        <sz val="12"/>
        <color indexed="9"/>
        <rFont val="宋体"/>
        <charset val="134"/>
      </rPr>
      <t>/h</t>
    </r>
  </si>
  <si>
    <r>
      <rPr>
        <sz val="12"/>
        <color indexed="9"/>
        <rFont val="宋体"/>
        <charset val="134"/>
      </rPr>
      <t>m</t>
    </r>
    <r>
      <rPr>
        <vertAlign val="superscript"/>
        <sz val="12"/>
        <color indexed="9"/>
        <rFont val="宋体"/>
        <charset val="134"/>
      </rPr>
      <t>2</t>
    </r>
  </si>
  <si>
    <t>　　ppm与mg/m3的换算：</t>
  </si>
  <si>
    <r>
      <rPr>
        <sz val="12"/>
        <color indexed="9"/>
        <rFont val="宋体"/>
        <charset val="134"/>
      </rPr>
      <t>m</t>
    </r>
    <r>
      <rPr>
        <vertAlign val="superscript"/>
        <sz val="12"/>
        <color indexed="9"/>
        <rFont val="宋体"/>
        <charset val="134"/>
      </rPr>
      <t>3</t>
    </r>
    <r>
      <rPr>
        <sz val="12"/>
        <color indexed="9"/>
        <rFont val="宋体"/>
        <charset val="134"/>
      </rPr>
      <t>/min</t>
    </r>
  </si>
  <si>
    <r>
      <rPr>
        <sz val="12"/>
        <color indexed="9"/>
        <rFont val="宋体"/>
        <charset val="134"/>
      </rPr>
      <t>dm</t>
    </r>
    <r>
      <rPr>
        <vertAlign val="superscript"/>
        <sz val="12"/>
        <color indexed="9"/>
        <rFont val="宋体"/>
        <charset val="134"/>
      </rPr>
      <t>2</t>
    </r>
  </si>
  <si>
    <t>　　mg/m3=（M/22.4）×ppm×（273/（273+T））×P/101325</t>
  </si>
  <si>
    <t>m3/min</t>
  </si>
  <si>
    <r>
      <rPr>
        <sz val="12"/>
        <color indexed="9"/>
        <rFont val="宋体"/>
        <charset val="134"/>
      </rPr>
      <t>kgf/cm</t>
    </r>
    <r>
      <rPr>
        <vertAlign val="superscript"/>
        <sz val="12"/>
        <color indexed="9"/>
        <rFont val="宋体"/>
        <charset val="134"/>
      </rPr>
      <t>2</t>
    </r>
  </si>
  <si>
    <r>
      <rPr>
        <sz val="12"/>
        <color indexed="9"/>
        <rFont val="宋体"/>
        <charset val="134"/>
      </rPr>
      <t>cm</t>
    </r>
    <r>
      <rPr>
        <vertAlign val="superscript"/>
        <sz val="12"/>
        <color indexed="9"/>
        <rFont val="宋体"/>
        <charset val="134"/>
      </rPr>
      <t>2</t>
    </r>
  </si>
  <si>
    <t>　　其中，M为气体分子量，T为温度，P为压力。</t>
  </si>
  <si>
    <r>
      <rPr>
        <sz val="12"/>
        <color indexed="9"/>
        <rFont val="宋体"/>
        <charset val="134"/>
      </rPr>
      <t>kgf/m</t>
    </r>
    <r>
      <rPr>
        <vertAlign val="superscript"/>
        <sz val="12"/>
        <color indexed="9"/>
        <rFont val="宋体"/>
        <charset val="134"/>
      </rPr>
      <t>2</t>
    </r>
  </si>
  <si>
    <r>
      <rPr>
        <sz val="12"/>
        <color indexed="9"/>
        <rFont val="宋体"/>
        <charset val="134"/>
      </rPr>
      <t>mm</t>
    </r>
    <r>
      <rPr>
        <vertAlign val="superscript"/>
        <sz val="12"/>
        <color indexed="9"/>
        <rFont val="宋体"/>
        <charset val="134"/>
      </rPr>
      <t>2</t>
    </r>
  </si>
  <si>
    <t>ppm浓度</t>
  </si>
  <si>
    <r>
      <rPr>
        <sz val="12"/>
        <color indexed="9"/>
        <rFont val="宋体"/>
        <charset val="134"/>
      </rPr>
      <t>cmH</t>
    </r>
    <r>
      <rPr>
        <vertAlign val="subscript"/>
        <sz val="12"/>
        <color indexed="9"/>
        <rFont val="宋体"/>
        <charset val="134"/>
      </rPr>
      <t>2</t>
    </r>
    <r>
      <rPr>
        <sz val="12"/>
        <color indexed="9"/>
        <rFont val="宋体"/>
        <charset val="134"/>
      </rPr>
      <t>O</t>
    </r>
  </si>
  <si>
    <t>　　用溶质质量占全部溶液质量的百万分比来表示的浓度,也称百万分比浓度。</t>
  </si>
  <si>
    <t>　　在农药应用中以往常用于表示喷洒液的浓度，即一百万份喷洒液中含农药有效成分的份数。ppm是农业生产活动中防治病虫及根外追肥时对用量极少的农药或肥料进行稀释时所表示的使用浓度单位，通常叫“百万分之……”。如1ppm即百万分之一，150ppm即百万分之一百五十等等， 也就是说，在配制1ppm浓度时，1克农药或肥料(指纯量)加水配制为1吨(1000000克)的溶液，依此类推。这些农药或肥料一般只有百分之几或百分之几十的纯量，其它均为填充物。所以，在配制农药或肥料使用浓度时，要根据农药或肥料的纯含量以及需要稀释的浓度(用ppm单位)确定加水量。其计算公式是：</t>
  </si>
  <si>
    <t>　　每克农药或肥料的加水量＝1000000×药品(肥料)含量(%)÷浓度(ppm) -1</t>
  </si>
  <si>
    <t>　　例如：需用15%的多效唑配制成300ppm的药液，喷洒水稻秧苗，1克农药需加多少克水呢？按计算公式计算如下：</t>
  </si>
  <si>
    <t>　　加水量＝1000000×15%÷300-1=500-1(克)=499 克</t>
  </si>
  <si>
    <t>cm2</t>
  </si>
  <si>
    <t>　　即1克15%多效唑加水499克，即可配制成300ppm的多效唑药液。</t>
  </si>
  <si>
    <t>　　目前，在大多数科技期刊中，已经不使用ppm，而改用“‰”，ppm换算成‰为：1ppm=0.001‰。</t>
  </si>
  <si>
    <t>溶液浓度可分为质量浓度（如质量百分浓度）和体积浓度（如摩尔浓度、当量浓度）和体积浓度三类。</t>
  </si>
  <si>
    <t>容积</t>
  </si>
  <si>
    <t>1、质量百分浓度</t>
  </si>
  <si>
    <t>                     </t>
  </si>
  <si>
    <t>    溶液的浓度用溶质的质量占全部溶液质量的百分率表示的叫质量百分浓度，用符号%表示。例如，25%的葡萄糖注射液就是指100可注射液中含葡萄糖25克。</t>
  </si>
  <si>
    <t>    质量百分浓度（%）=溶质质量/溶液质量100%      </t>
  </si>
  <si>
    <t>2、体积浓度</t>
  </si>
  <si>
    <t>（1）摩尔浓度</t>
  </si>
  <si>
    <t>功率</t>
  </si>
  <si>
    <t>    溶液的浓度用1升溶液中所含溶质的摩尔数来表示的叫摩尔浓度，用符号mol表示，例如1升浓硫酸中含18.4摩尔的硫酸，则浓度为18.4mol。</t>
  </si>
  <si>
    <t>    摩尔浓度（mol）=溶质摩尔数/溶液体积（升）</t>
  </si>
  <si>
    <t>（2）当量浓度(N) 溶液的浓度用1升溶液中所含溶质的克当量数来表示的叫当量浓度，用符号N表示。</t>
  </si>
  <si>
    <t>例如，1升浓盐酸中含12.0克当量的盐酸(HCl)，则浓度为12.0N。</t>
  </si>
  <si>
    <t>功、能和热量</t>
  </si>
  <si>
    <t>    当量浓度=溶质的克当量数/溶液体积（升）</t>
  </si>
  <si>
    <t>3、质量-体积浓度</t>
  </si>
  <si>
    <t>                        </t>
  </si>
  <si>
    <t>    用单位体积（1立方米或1升）溶液中所含的溶质质量数来表示的浓度叫质量-体积浓度，以符号g/m3或mg/L表示。例如，1升含铬废水中含六价铬质量为2毫克，则六价铬的浓度为2毫克/升（mg/L）</t>
  </si>
  <si>
    <t>    质量-体积浓度=溶质的质量数（克或毫克）/溶液的体积（立方米或升）</t>
  </si>
  <si>
    <t>              </t>
  </si>
  <si>
    <t>4、浓度单位的换算公式：</t>
  </si>
  <si>
    <t>1）当量浓度=1000.d.质量百分浓度/E</t>
  </si>
  <si>
    <t>2）质量百分浓度=当量浓度E/1000.d</t>
  </si>
  <si>
    <t>3）摩尔浓度=1000.d质量百分浓度/M</t>
  </si>
  <si>
    <t>4）质量百分浓度=质量-体积浓度（毫克/升）/104.d</t>
  </si>
  <si>
    <t>5）质量-体积浓度（mg/L）=104质量百分浓度</t>
  </si>
  <si>
    <t>5、ppm是重量的百分率，ppm=mg/kg=mg/L 即:1ppm=1ppm=1000ug/L</t>
  </si>
  <si>
    <t>         1ppb=1ug/L=0.001mg</t>
  </si>
  <si>
    <t>式中：E—溶质的克当量；</t>
  </si>
  <si>
    <t>      d—溶液的比重；</t>
  </si>
  <si>
    <t>      M—溶质的摩尔质量；</t>
  </si>
  <si>
    <r>
      <rPr>
        <sz val="9"/>
        <color indexed="9"/>
        <rFont val="Arial"/>
        <charset val="134"/>
      </rPr>
      <t xml:space="preserve">PPm </t>
    </r>
    <r>
      <rPr>
        <sz val="11"/>
        <color indexed="9"/>
        <rFont val="Arial"/>
        <charset val="134"/>
      </rPr>
      <t>是</t>
    </r>
    <r>
      <rPr>
        <sz val="9"/>
        <color indexed="9"/>
        <rFont val="Arial"/>
        <charset val="134"/>
      </rPr>
      <t>10</t>
    </r>
    <r>
      <rPr>
        <sz val="11"/>
        <color indexed="9"/>
        <rFont val="Arial"/>
        <charset val="134"/>
      </rPr>
      <t>的－</t>
    </r>
    <r>
      <rPr>
        <sz val="9"/>
        <color indexed="9"/>
        <rFont val="Arial"/>
        <charset val="134"/>
      </rPr>
      <t>6</t>
    </r>
    <r>
      <rPr>
        <sz val="11"/>
        <color indexed="9"/>
        <rFont val="Arial"/>
        <charset val="134"/>
      </rPr>
      <t>次方</t>
    </r>
  </si>
  <si>
    <r>
      <rPr>
        <sz val="9"/>
        <color indexed="9"/>
        <rFont val="Arial"/>
        <charset val="134"/>
      </rPr>
      <t xml:space="preserve">ppm part per million </t>
    </r>
    <r>
      <rPr>
        <sz val="11"/>
        <color indexed="9"/>
        <rFont val="Arial"/>
        <charset val="134"/>
      </rPr>
      <t>百万分之</t>
    </r>
    <r>
      <rPr>
        <sz val="9"/>
        <color indexed="9"/>
        <rFont val="Arial"/>
        <charset val="134"/>
      </rPr>
      <t>……</t>
    </r>
  </si>
  <si>
    <r>
      <rPr>
        <sz val="9"/>
        <color indexed="9"/>
        <rFont val="Arial"/>
        <charset val="134"/>
      </rPr>
      <t xml:space="preserve">   PPb</t>
    </r>
    <r>
      <rPr>
        <sz val="11"/>
        <color indexed="9"/>
        <rFont val="Arial"/>
        <charset val="134"/>
      </rPr>
      <t>是</t>
    </r>
    <r>
      <rPr>
        <sz val="9"/>
        <color indexed="9"/>
        <rFont val="Arial"/>
        <charset val="134"/>
      </rPr>
      <t>10</t>
    </r>
    <r>
      <rPr>
        <sz val="11"/>
        <color indexed="9"/>
        <rFont val="Arial"/>
        <charset val="134"/>
      </rPr>
      <t>的－</t>
    </r>
    <r>
      <rPr>
        <sz val="9"/>
        <color indexed="9"/>
        <rFont val="Arial"/>
        <charset val="134"/>
      </rPr>
      <t>9</t>
    </r>
    <r>
      <rPr>
        <sz val="11"/>
        <color indexed="9"/>
        <rFont val="Arial"/>
        <charset val="134"/>
      </rPr>
      <t>次方</t>
    </r>
  </si>
  <si>
    <r>
      <rPr>
        <sz val="9"/>
        <color indexed="9"/>
        <rFont val="Arial"/>
        <charset val="134"/>
      </rPr>
      <t xml:space="preserve">                  ppb part per billion 10</t>
    </r>
    <r>
      <rPr>
        <sz val="11"/>
        <color indexed="9"/>
        <rFont val="Arial"/>
        <charset val="134"/>
      </rPr>
      <t>亿分之</t>
    </r>
    <r>
      <rPr>
        <sz val="9"/>
        <color indexed="9"/>
        <rFont val="Arial"/>
        <charset val="134"/>
      </rPr>
      <t>……</t>
    </r>
  </si>
  <si>
    <r>
      <rPr>
        <sz val="9"/>
        <color indexed="9"/>
        <rFont val="Arial"/>
        <charset val="134"/>
      </rPr>
      <t xml:space="preserve">   PPt</t>
    </r>
    <r>
      <rPr>
        <sz val="11"/>
        <color indexed="9"/>
        <rFont val="Arial"/>
        <charset val="134"/>
      </rPr>
      <t>是</t>
    </r>
    <r>
      <rPr>
        <sz val="9"/>
        <color indexed="9"/>
        <rFont val="Arial"/>
        <charset val="134"/>
      </rPr>
      <t>10</t>
    </r>
    <r>
      <rPr>
        <sz val="11"/>
        <color indexed="9"/>
        <rFont val="Arial"/>
        <charset val="134"/>
      </rPr>
      <t>的－</t>
    </r>
    <r>
      <rPr>
        <sz val="9"/>
        <color indexed="9"/>
        <rFont val="Arial"/>
        <charset val="134"/>
      </rPr>
      <t>12</t>
    </r>
    <r>
      <rPr>
        <sz val="11"/>
        <color indexed="9"/>
        <rFont val="Arial"/>
        <charset val="134"/>
      </rPr>
      <t>次方</t>
    </r>
  </si>
  <si>
    <r>
      <rPr>
        <sz val="9"/>
        <color indexed="9"/>
        <rFont val="Arial"/>
        <charset val="134"/>
      </rPr>
      <t xml:space="preserve">                  ppt part per trillion </t>
    </r>
    <r>
      <rPr>
        <sz val="11"/>
        <color indexed="9"/>
        <rFont val="Arial"/>
        <charset val="134"/>
      </rPr>
      <t>万亿分之</t>
    </r>
    <r>
      <rPr>
        <sz val="9"/>
        <color indexed="9"/>
        <rFont val="Arial"/>
        <charset val="134"/>
      </rPr>
      <t xml:space="preserve">…… </t>
    </r>
  </si>
  <si>
    <t>AWG</t>
  </si>
  <si>
    <t>外径</t>
  </si>
  <si>
    <t>截面积 mm2</t>
  </si>
  <si>
    <t>电阻值 Ohm/km</t>
  </si>
  <si>
    <t>正常电流</t>
  </si>
  <si>
    <t>最大电流</t>
  </si>
  <si>
    <t>中国、国际电工委员会、德国、SWG/AWG线规对照表</t>
  </si>
  <si>
    <t>公制 mm</t>
  </si>
  <si>
    <t>英制 inch</t>
  </si>
  <si>
    <t>中国线规GB</t>
  </si>
  <si>
    <t>国际电工线规IEC</t>
  </si>
  <si>
    <t>德国标准线规DIE</t>
  </si>
  <si>
    <t>英国</t>
  </si>
  <si>
    <t>标称</t>
  </si>
  <si>
    <t>美国</t>
  </si>
  <si>
    <t>标准</t>
  </si>
  <si>
    <t>4/0</t>
  </si>
  <si>
    <t>标称直径mm</t>
  </si>
  <si>
    <t>SWG</t>
  </si>
  <si>
    <t>直径mm</t>
  </si>
  <si>
    <t>3/0</t>
  </si>
  <si>
    <t xml:space="preserve">  </t>
  </si>
  <si>
    <t>　</t>
  </si>
  <si>
    <t>2/0</t>
  </si>
  <si>
    <t>1/0</t>
  </si>
  <si>
    <r>
      <rPr>
        <b/>
        <sz val="10"/>
        <color theme="1"/>
        <rFont val="宋体"/>
        <charset val="134"/>
      </rPr>
      <t>ASCII</t>
    </r>
    <r>
      <rPr>
        <sz val="10"/>
        <color theme="1"/>
        <rFont val="宋体"/>
        <charset val="134"/>
      </rPr>
      <t>（</t>
    </r>
    <r>
      <rPr>
        <b/>
        <sz val="10"/>
        <color theme="1"/>
        <rFont val="宋体"/>
        <charset val="134"/>
      </rPr>
      <t>A</t>
    </r>
    <r>
      <rPr>
        <sz val="10"/>
        <color theme="1"/>
        <rFont val="宋体"/>
        <charset val="134"/>
      </rPr>
      <t xml:space="preserve">merican </t>
    </r>
    <r>
      <rPr>
        <b/>
        <sz val="10"/>
        <color theme="1"/>
        <rFont val="宋体"/>
        <charset val="134"/>
      </rPr>
      <t>S</t>
    </r>
    <r>
      <rPr>
        <sz val="10"/>
        <color theme="1"/>
        <rFont val="宋体"/>
        <charset val="134"/>
      </rPr>
      <t xml:space="preserve">tandard </t>
    </r>
    <r>
      <rPr>
        <b/>
        <sz val="10"/>
        <color theme="1"/>
        <rFont val="宋体"/>
        <charset val="134"/>
      </rPr>
      <t>C</t>
    </r>
    <r>
      <rPr>
        <sz val="10"/>
        <color theme="1"/>
        <rFont val="宋体"/>
        <charset val="134"/>
      </rPr>
      <t xml:space="preserve">ode for </t>
    </r>
    <r>
      <rPr>
        <b/>
        <sz val="10"/>
        <color theme="1"/>
        <rFont val="宋体"/>
        <charset val="134"/>
      </rPr>
      <t>I</t>
    </r>
    <r>
      <rPr>
        <sz val="10"/>
        <color theme="1"/>
        <rFont val="宋体"/>
        <charset val="134"/>
      </rPr>
      <t xml:space="preserve">nformation </t>
    </r>
    <r>
      <rPr>
        <b/>
        <sz val="10"/>
        <color theme="1"/>
        <rFont val="宋体"/>
        <charset val="134"/>
      </rPr>
      <t>I</t>
    </r>
    <r>
      <rPr>
        <sz val="10"/>
        <color theme="1"/>
        <rFont val="宋体"/>
        <charset val="134"/>
      </rPr>
      <t>nterchange，</t>
    </r>
    <r>
      <rPr>
        <b/>
        <sz val="10"/>
        <color theme="1"/>
        <rFont val="宋体"/>
        <charset val="134"/>
      </rPr>
      <t>美国信息交换标准代码</t>
    </r>
    <r>
      <rPr>
        <sz val="10"/>
        <color theme="1"/>
        <rFont val="宋体"/>
        <charset val="134"/>
      </rPr>
      <t>）是基于拉丁字母的一套电脑编码系统。它主要用于显示现代英语，而其擴展版本EASCII則可以勉強顯示其他西欧语言。它是现今最通用的单字节编码系统（但是有被Unicode追上的跡象），并等同于国际标准</t>
    </r>
    <r>
      <rPr>
        <b/>
        <sz val="10"/>
        <color theme="1"/>
        <rFont val="宋体"/>
        <charset val="134"/>
      </rPr>
      <t>ISO/IEC 646</t>
    </r>
    <r>
      <rPr>
        <sz val="10"/>
        <color theme="1"/>
        <rFont val="宋体"/>
        <charset val="134"/>
      </rPr>
      <t>。</t>
    </r>
  </si>
  <si>
    <t xml:space="preserve">    ASCII第一次以规范标准的型态发表是在1967年，最后一次更新则是在1986年，至今为止共定义了128个字符；其中33个字符无法显示（这是以现今操作系统为依归，但在DOS模式下可显示出一些诸如笑脸、扑克牌花式等8-bit符号），且这33个字符多数都已是陈废的控制字符。控制字符的用途主要是用来操控已经处理过的文字。在33个字符之外的是95个可显示的字符，包含用键盘敲下空格键所产生的空格符也算1个可显示字符（显示为空白）。</t>
  </si>
  <si>
    <t>控制字符</t>
  </si>
  <si>
    <t>可显示字符</t>
  </si>
  <si>
    <t>二进制</t>
  </si>
  <si>
    <t>十进制</t>
  </si>
  <si>
    <t>十六进制</t>
  </si>
  <si>
    <t>缩写</t>
  </si>
  <si>
    <t>可显示的表示法</t>
  </si>
  <si>
    <t>名称／意义</t>
  </si>
  <si>
    <t>图形</t>
  </si>
  <si>
    <t>0000 0000</t>
  </si>
  <si>
    <t>NUL</t>
  </si>
  <si>
    <t>␀</t>
  </si>
  <si>
    <t>空字符（Null）</t>
  </si>
  <si>
    <t>0010 0000</t>
  </si>
  <si>
    <t>（空格）(␠)</t>
  </si>
  <si>
    <t>0100 0000</t>
  </si>
  <si>
    <t>@</t>
  </si>
  <si>
    <t>0110 0000</t>
  </si>
  <si>
    <t>`</t>
  </si>
  <si>
    <t>0000 0001</t>
  </si>
  <si>
    <t>SOH</t>
  </si>
  <si>
    <t>␁</t>
  </si>
  <si>
    <t>标题开始</t>
  </si>
  <si>
    <t>0010 0001</t>
  </si>
  <si>
    <t>!</t>
  </si>
  <si>
    <t>0100 0001</t>
  </si>
  <si>
    <t>0110 0001</t>
  </si>
  <si>
    <t>0000 0010</t>
  </si>
  <si>
    <t>STX</t>
  </si>
  <si>
    <t>␂</t>
  </si>
  <si>
    <t>本文开始</t>
  </si>
  <si>
    <t>0010 0010</t>
  </si>
  <si>
    <t>"</t>
  </si>
  <si>
    <t>0100 0010</t>
  </si>
  <si>
    <t>B</t>
  </si>
  <si>
    <t>0110 0010</t>
  </si>
  <si>
    <t>0000 0011</t>
  </si>
  <si>
    <t>ETX</t>
  </si>
  <si>
    <t>␃</t>
  </si>
  <si>
    <t>本文结束</t>
  </si>
  <si>
    <t>0010 0011</t>
  </si>
  <si>
    <t>#</t>
  </si>
  <si>
    <t>0100 0011</t>
  </si>
  <si>
    <t>C</t>
  </si>
  <si>
    <t>0110 0011</t>
  </si>
  <si>
    <t>0000 0100</t>
  </si>
  <si>
    <t>EOT</t>
  </si>
  <si>
    <t>␄</t>
  </si>
  <si>
    <t>传输结束</t>
  </si>
  <si>
    <t>0010 0100</t>
  </si>
  <si>
    <t>$</t>
  </si>
  <si>
    <t>0100 0100</t>
  </si>
  <si>
    <t>D</t>
  </si>
  <si>
    <t>0110 0100</t>
  </si>
  <si>
    <t>0000 0101</t>
  </si>
  <si>
    <t>ENQ</t>
  </si>
  <si>
    <t>␅</t>
  </si>
  <si>
    <t>请求</t>
  </si>
  <si>
    <t>0010 0101</t>
  </si>
  <si>
    <t>%</t>
  </si>
  <si>
    <t>0100 0101</t>
  </si>
  <si>
    <t>0110 0101</t>
  </si>
  <si>
    <t>0000 0110</t>
  </si>
  <si>
    <t>ACK</t>
  </si>
  <si>
    <t>␆</t>
  </si>
  <si>
    <t>確認回應</t>
  </si>
  <si>
    <t>0010 0110</t>
  </si>
  <si>
    <t>&amp;</t>
  </si>
  <si>
    <t>0100 0110</t>
  </si>
  <si>
    <t>0110 0110</t>
  </si>
  <si>
    <t>0000 0111</t>
  </si>
  <si>
    <t>BEL</t>
  </si>
  <si>
    <t>␇</t>
  </si>
  <si>
    <t>响铃</t>
  </si>
  <si>
    <t>0010 0111</t>
  </si>
  <si>
    <t>'</t>
  </si>
  <si>
    <t>0100 0111</t>
  </si>
  <si>
    <t>G</t>
  </si>
  <si>
    <t>0110 0111</t>
  </si>
  <si>
    <t>0000 1000</t>
  </si>
  <si>
    <t>BS</t>
  </si>
  <si>
    <t>␈</t>
  </si>
  <si>
    <t>退格</t>
  </si>
  <si>
    <t>0010 1000</t>
  </si>
  <si>
    <t>(</t>
  </si>
  <si>
    <t>0100 1000</t>
  </si>
  <si>
    <t>H</t>
  </si>
  <si>
    <t>0110 1000</t>
  </si>
  <si>
    <t>h</t>
  </si>
  <si>
    <t>0000 1001</t>
  </si>
  <si>
    <t>HT</t>
  </si>
  <si>
    <t>␉</t>
  </si>
  <si>
    <t>水平定位符號</t>
  </si>
  <si>
    <t>0010 1001</t>
  </si>
  <si>
    <t>)</t>
  </si>
  <si>
    <t>0100 1001</t>
  </si>
  <si>
    <t>I</t>
  </si>
  <si>
    <t>0110 1001</t>
  </si>
  <si>
    <t>i</t>
  </si>
  <si>
    <t>0000 1010</t>
  </si>
  <si>
    <t>0A</t>
  </si>
  <si>
    <t>LF</t>
  </si>
  <si>
    <t>␊</t>
  </si>
  <si>
    <t>换行键</t>
  </si>
  <si>
    <t>0010 1010</t>
  </si>
  <si>
    <t>2A</t>
  </si>
  <si>
    <t>*</t>
  </si>
  <si>
    <t>0100 1010</t>
  </si>
  <si>
    <t>4A</t>
  </si>
  <si>
    <t>J</t>
  </si>
  <si>
    <t>0110 1010</t>
  </si>
  <si>
    <t>6A</t>
  </si>
  <si>
    <t>j</t>
  </si>
  <si>
    <t>0000 1011</t>
  </si>
  <si>
    <t>0B</t>
  </si>
  <si>
    <t>VT</t>
  </si>
  <si>
    <t>␋</t>
  </si>
  <si>
    <t>垂直定位符號</t>
  </si>
  <si>
    <t>0010 1011</t>
  </si>
  <si>
    <t>2B</t>
  </si>
  <si>
    <t>+</t>
  </si>
  <si>
    <t>0100 1011</t>
  </si>
  <si>
    <t>4B</t>
  </si>
  <si>
    <t>K</t>
  </si>
  <si>
    <t>0110 1011</t>
  </si>
  <si>
    <t>6B</t>
  </si>
  <si>
    <t>k</t>
  </si>
  <si>
    <t>0000 1100</t>
  </si>
  <si>
    <t>0C</t>
  </si>
  <si>
    <t>FF</t>
  </si>
  <si>
    <t>␌</t>
  </si>
  <si>
    <t>换页键</t>
  </si>
  <si>
    <t>0010 1100</t>
  </si>
  <si>
    <t>2C</t>
  </si>
  <si>
    <t>,</t>
  </si>
  <si>
    <t>0100 1100</t>
  </si>
  <si>
    <t>4C</t>
  </si>
  <si>
    <t>0110 1100</t>
  </si>
  <si>
    <t>6C</t>
  </si>
  <si>
    <t>l</t>
  </si>
  <si>
    <t>0000 1101</t>
  </si>
  <si>
    <t>0D</t>
  </si>
  <si>
    <t>CR</t>
  </si>
  <si>
    <t>␍</t>
  </si>
  <si>
    <t>Enter鍵</t>
  </si>
  <si>
    <t>0010 1101</t>
  </si>
  <si>
    <t>2D</t>
  </si>
  <si>
    <t>-</t>
  </si>
  <si>
    <t>0100 1101</t>
  </si>
  <si>
    <t>4D</t>
  </si>
  <si>
    <t>M</t>
  </si>
  <si>
    <t>0110 1101</t>
  </si>
  <si>
    <t>6D</t>
  </si>
  <si>
    <t>m</t>
  </si>
  <si>
    <t>0000 1110</t>
  </si>
  <si>
    <t>0E</t>
  </si>
  <si>
    <t>SO</t>
  </si>
  <si>
    <t>␎</t>
  </si>
  <si>
    <t>取消變换（Shift out）</t>
  </si>
  <si>
    <t>0010 1110</t>
  </si>
  <si>
    <t>2E</t>
  </si>
  <si>
    <t>.</t>
  </si>
  <si>
    <t>0100 1110</t>
  </si>
  <si>
    <t>4E</t>
  </si>
  <si>
    <t>N</t>
  </si>
  <si>
    <t>0110 1110</t>
  </si>
  <si>
    <t>6E</t>
  </si>
  <si>
    <t>n</t>
  </si>
  <si>
    <t>0000 1111</t>
  </si>
  <si>
    <t>0F</t>
  </si>
  <si>
    <t>SI</t>
  </si>
  <si>
    <t>␏</t>
  </si>
  <si>
    <t>启用變换（Shift in）</t>
  </si>
  <si>
    <t>0010 1111</t>
  </si>
  <si>
    <t>2F</t>
  </si>
  <si>
    <t>/</t>
  </si>
  <si>
    <t>0100 1111</t>
  </si>
  <si>
    <t>4F</t>
  </si>
  <si>
    <t>O</t>
  </si>
  <si>
    <t>0110 1111</t>
  </si>
  <si>
    <t>6F</t>
  </si>
  <si>
    <t>o</t>
  </si>
  <si>
    <t>0001 0000</t>
  </si>
  <si>
    <t>DLE</t>
  </si>
  <si>
    <t>␐</t>
  </si>
  <si>
    <t>跳出数据通讯</t>
  </si>
  <si>
    <t>0011 0000</t>
  </si>
  <si>
    <t>0101 0000</t>
  </si>
  <si>
    <t>P</t>
  </si>
  <si>
    <t>0111 0000</t>
  </si>
  <si>
    <t>p</t>
  </si>
  <si>
    <t>0001 0001</t>
  </si>
  <si>
    <t>DC1</t>
  </si>
  <si>
    <t>␑</t>
  </si>
  <si>
    <t>設備控制一（XON 啟用軟體速度控制）</t>
  </si>
  <si>
    <t>0011 0001</t>
  </si>
  <si>
    <t>0101 0001</t>
  </si>
  <si>
    <t>0111 0001</t>
  </si>
  <si>
    <t>q</t>
  </si>
  <si>
    <t>0001 0010</t>
  </si>
  <si>
    <t>DC2</t>
  </si>
  <si>
    <t>␒</t>
  </si>
  <si>
    <t>設備控制二</t>
  </si>
  <si>
    <t>0011 0010</t>
  </si>
  <si>
    <t>0101 0010</t>
  </si>
  <si>
    <t>R</t>
  </si>
  <si>
    <t>0111 0010</t>
  </si>
  <si>
    <t>r</t>
  </si>
  <si>
    <t>0001 0011</t>
  </si>
  <si>
    <t>DC3</t>
  </si>
  <si>
    <t>␓</t>
  </si>
  <si>
    <t>設備控制三（XOFF 停用軟體速度控制）</t>
  </si>
  <si>
    <t>0011 0011</t>
  </si>
  <si>
    <t>0101 0011</t>
  </si>
  <si>
    <t>0111 0011</t>
  </si>
  <si>
    <t>0001 0100</t>
  </si>
  <si>
    <t>DC4</t>
  </si>
  <si>
    <t>␔</t>
  </si>
  <si>
    <t>設備控制四</t>
  </si>
  <si>
    <t>0011 0100</t>
  </si>
  <si>
    <t>0101 0100</t>
  </si>
  <si>
    <t>T</t>
  </si>
  <si>
    <t>0111 0100</t>
  </si>
  <si>
    <t>0001 0101</t>
  </si>
  <si>
    <t>NAK</t>
  </si>
  <si>
    <t>␕</t>
  </si>
  <si>
    <t>確認失敗回應</t>
  </si>
  <si>
    <t>0011 0101</t>
  </si>
  <si>
    <t>0101 0101</t>
  </si>
  <si>
    <t>U</t>
  </si>
  <si>
    <t>0111 0101</t>
  </si>
  <si>
    <t>u</t>
  </si>
  <si>
    <t>0001 0110</t>
  </si>
  <si>
    <t>SYN</t>
  </si>
  <si>
    <t>␖</t>
  </si>
  <si>
    <t>同步用暫停</t>
  </si>
  <si>
    <t>0011 0110</t>
  </si>
  <si>
    <t>0101 0110</t>
  </si>
  <si>
    <t>0111 0110</t>
  </si>
  <si>
    <t>0001 0111</t>
  </si>
  <si>
    <t>ETB</t>
  </si>
  <si>
    <t>␗</t>
  </si>
  <si>
    <t>區塊傳輸结束</t>
  </si>
  <si>
    <t>0011 0111</t>
  </si>
  <si>
    <t>0101 0111</t>
  </si>
  <si>
    <t>0111 0111</t>
  </si>
  <si>
    <t>w</t>
  </si>
  <si>
    <t>0001 1000</t>
  </si>
  <si>
    <t>CAN</t>
  </si>
  <si>
    <t>␘</t>
  </si>
  <si>
    <t>取消</t>
  </si>
  <si>
    <t>0011 1000</t>
  </si>
  <si>
    <t>0101 1000</t>
  </si>
  <si>
    <t>X</t>
  </si>
  <si>
    <t>0111 1000</t>
  </si>
  <si>
    <t>0001 1001</t>
  </si>
  <si>
    <t>EM</t>
  </si>
  <si>
    <t>␙</t>
  </si>
  <si>
    <t>連線介质中断</t>
  </si>
  <si>
    <t>0011 1001</t>
  </si>
  <si>
    <t>0101 1001</t>
  </si>
  <si>
    <t>Y</t>
  </si>
  <si>
    <t>0111 1001</t>
  </si>
  <si>
    <t>0001 1010</t>
  </si>
  <si>
    <t>1A</t>
  </si>
  <si>
    <t>SUB</t>
  </si>
  <si>
    <t>␚</t>
  </si>
  <si>
    <t>替換</t>
  </si>
  <si>
    <t>0011 1010</t>
  </si>
  <si>
    <t>3A</t>
  </si>
  <si>
    <t>:</t>
  </si>
  <si>
    <t>0101 1010</t>
  </si>
  <si>
    <t>5A</t>
  </si>
  <si>
    <t>Z</t>
  </si>
  <si>
    <t>0111 1010</t>
  </si>
  <si>
    <t>7A</t>
  </si>
  <si>
    <t>z</t>
  </si>
  <si>
    <t>0001 1011</t>
  </si>
  <si>
    <t>1B</t>
  </si>
  <si>
    <t>ESC</t>
  </si>
  <si>
    <t>␛</t>
  </si>
  <si>
    <t>退出键</t>
  </si>
  <si>
    <t>0011 1011</t>
  </si>
  <si>
    <t>3B</t>
  </si>
  <si>
    <t>;</t>
  </si>
  <si>
    <t>0101 1011</t>
  </si>
  <si>
    <t>5B</t>
  </si>
  <si>
    <t>[</t>
  </si>
  <si>
    <t>0111 1011</t>
  </si>
  <si>
    <t>7B</t>
  </si>
  <si>
    <t>{</t>
  </si>
  <si>
    <t>0001 1100</t>
  </si>
  <si>
    <t>1C</t>
  </si>
  <si>
    <t>FS</t>
  </si>
  <si>
    <t>␜</t>
  </si>
  <si>
    <t>文件分割符</t>
  </si>
  <si>
    <t>0011 1100</t>
  </si>
  <si>
    <t>3C</t>
  </si>
  <si>
    <t>&lt;</t>
  </si>
  <si>
    <t>0101 1100</t>
  </si>
  <si>
    <t>5C</t>
  </si>
  <si>
    <t>\</t>
  </si>
  <si>
    <t>0111 1100</t>
  </si>
  <si>
    <t>7C</t>
  </si>
  <si>
    <t>|</t>
  </si>
  <si>
    <t>0001 1101</t>
  </si>
  <si>
    <t>1D</t>
  </si>
  <si>
    <t>GS</t>
  </si>
  <si>
    <t>␝</t>
  </si>
  <si>
    <t>群組分隔符</t>
  </si>
  <si>
    <t>0011 1101</t>
  </si>
  <si>
    <t>3D</t>
  </si>
  <si>
    <t>=</t>
  </si>
  <si>
    <t>0101 1101</t>
  </si>
  <si>
    <t>5D</t>
  </si>
  <si>
    <t>]</t>
  </si>
  <si>
    <t>0111 1101</t>
  </si>
  <si>
    <t>7D</t>
  </si>
  <si>
    <t>}</t>
  </si>
  <si>
    <t>0001 1110</t>
  </si>
  <si>
    <t>1E</t>
  </si>
  <si>
    <t>RS</t>
  </si>
  <si>
    <t>␞</t>
  </si>
  <si>
    <t>记录分隔符</t>
  </si>
  <si>
    <t>0011 1110</t>
  </si>
  <si>
    <t>3E</t>
  </si>
  <si>
    <t>&gt;</t>
  </si>
  <si>
    <t>0101 1110</t>
  </si>
  <si>
    <t>5E</t>
  </si>
  <si>
    <t>^</t>
  </si>
  <si>
    <t>0111 1110</t>
  </si>
  <si>
    <t>7E</t>
  </si>
  <si>
    <t>~</t>
  </si>
  <si>
    <t>0001 1111</t>
  </si>
  <si>
    <t>1F</t>
  </si>
  <si>
    <t>US</t>
  </si>
  <si>
    <t>␟</t>
  </si>
  <si>
    <t>单元分隔符</t>
  </si>
  <si>
    <t>0011 1111</t>
  </si>
  <si>
    <t>3F</t>
  </si>
  <si>
    <t>?</t>
  </si>
  <si>
    <t>0101 1111</t>
  </si>
  <si>
    <t>5F</t>
  </si>
  <si>
    <t>_</t>
  </si>
  <si>
    <t>0111 1111</t>
  </si>
  <si>
    <t>7F</t>
  </si>
  <si>
    <t>DEL</t>
  </si>
  <si>
    <t>␡</t>
  </si>
  <si>
    <t>删除</t>
  </si>
  <si>
    <t>电阻分压</t>
  </si>
  <si>
    <t>列数</t>
  </si>
  <si>
    <t>Vin</t>
  </si>
  <si>
    <t>Vout</t>
  </si>
  <si>
    <t>I总电流</t>
  </si>
  <si>
    <t>R1功率</t>
  </si>
  <si>
    <t>R2功率</t>
  </si>
  <si>
    <t>ADC 采样值</t>
  </si>
  <si>
    <t>输入电压</t>
  </si>
  <si>
    <t>衰减倍数</t>
  </si>
  <si>
    <t>通道</t>
  </si>
  <si>
    <t>基准</t>
  </si>
  <si>
    <t>分辨率</t>
  </si>
  <si>
    <t>采样值</t>
  </si>
  <si>
    <t>最小分辩</t>
  </si>
  <si>
    <t>采样结果</t>
  </si>
  <si>
    <t>LM317_Vout = (1+R2/R1)*Vref+LADJ*R2</t>
  </si>
  <si>
    <r>
      <rPr>
        <sz val="11"/>
        <color theme="9" tint="-0.249977111117893"/>
        <rFont val="宋体"/>
        <charset val="134"/>
        <scheme val="minor"/>
      </rPr>
      <t>R</t>
    </r>
    <r>
      <rPr>
        <sz val="11"/>
        <color theme="9" tint="-0.249977111117893"/>
        <rFont val="宋体"/>
        <charset val="134"/>
        <scheme val="minor"/>
      </rPr>
      <t>1</t>
    </r>
  </si>
  <si>
    <r>
      <rPr>
        <sz val="11"/>
        <color theme="9" tint="-0.249977111117893"/>
        <rFont val="宋体"/>
        <charset val="134"/>
        <scheme val="minor"/>
      </rPr>
      <t>R</t>
    </r>
    <r>
      <rPr>
        <sz val="11"/>
        <color theme="9" tint="-0.249977111117893"/>
        <rFont val="宋体"/>
        <charset val="134"/>
        <scheme val="minor"/>
      </rPr>
      <t>2</t>
    </r>
  </si>
  <si>
    <t>Iadj(uA)</t>
  </si>
  <si>
    <t>一种三极管组成的LED横流电路 电流大概计算</t>
  </si>
  <si>
    <t>Id = 0.7/R</t>
  </si>
  <si>
    <t>R11:</t>
  </si>
  <si>
    <t>Id:</t>
  </si>
  <si>
    <t>TL431(计算公式来自德州仪器器件手册)</t>
  </si>
  <si>
    <t>INPUT(V)</t>
  </si>
  <si>
    <t>Iref(uA)</t>
  </si>
  <si>
    <t>VKA</t>
  </si>
  <si>
    <t>IKA(MIN)(mA)</t>
  </si>
  <si>
    <t>IKA(MAX)(mA)</t>
  </si>
  <si>
    <t>Imin(mA)</t>
  </si>
  <si>
    <t>估计结果</t>
  </si>
  <si>
    <t>IKA(mA)≈</t>
  </si>
  <si>
    <t>IK(mA)≈</t>
  </si>
  <si>
    <t>R功率</t>
  </si>
  <si>
    <t xml:space="preserve">NCP1406 </t>
  </si>
  <si>
    <t>VOUT</t>
  </si>
  <si>
    <t>LED 电流计算</t>
  </si>
  <si>
    <t>VCC</t>
  </si>
  <si>
    <t>Vled</t>
  </si>
  <si>
    <t>电流 Iled</t>
  </si>
  <si>
    <r>
      <rPr>
        <sz val="11"/>
        <color rgb="FFFF0000"/>
        <rFont val="宋体"/>
        <charset val="134"/>
        <scheme val="minor"/>
      </rPr>
      <t>R</t>
    </r>
    <r>
      <rPr>
        <sz val="11"/>
        <color rgb="FFFF0000"/>
        <rFont val="宋体"/>
        <charset val="134"/>
        <scheme val="minor"/>
      </rPr>
      <t>1 功率</t>
    </r>
  </si>
  <si>
    <r>
      <rPr>
        <sz val="11"/>
        <color rgb="FFFF0000"/>
        <rFont val="宋体"/>
        <charset val="134"/>
        <scheme val="minor"/>
      </rPr>
      <t>L</t>
    </r>
    <r>
      <rPr>
        <sz val="11"/>
        <color rgb="FFFF0000"/>
        <rFont val="宋体"/>
        <charset val="134"/>
        <scheme val="minor"/>
      </rPr>
      <t>ED 功率</t>
    </r>
  </si>
  <si>
    <t>点击此网址</t>
  </si>
  <si>
    <t>http://sim.okawa-denshi.jp/en/Fkeisan.htm</t>
  </si>
  <si>
    <t>BUCK CONVER CALC</t>
  </si>
  <si>
    <t>Created By:sorin.li</t>
  </si>
  <si>
    <t>Date:2021-08-29</t>
  </si>
  <si>
    <t>Version:V1.1</t>
  </si>
  <si>
    <t>Parameter</t>
  </si>
  <si>
    <t>Value</t>
  </si>
  <si>
    <t>Unit</t>
  </si>
  <si>
    <r>
      <rPr>
        <b/>
        <sz val="11"/>
        <color theme="1"/>
        <rFont val="Times New Roman"/>
        <charset val="134"/>
      </rPr>
      <t>V</t>
    </r>
    <r>
      <rPr>
        <b/>
        <sz val="9"/>
        <color theme="1"/>
        <rFont val="Times New Roman"/>
        <charset val="134"/>
      </rPr>
      <t>in</t>
    </r>
  </si>
  <si>
    <t>The input voltage of the converter</t>
  </si>
  <si>
    <r>
      <rPr>
        <b/>
        <sz val="11"/>
        <color theme="1"/>
        <rFont val="Times New Roman"/>
        <charset val="134"/>
      </rPr>
      <t>V</t>
    </r>
    <r>
      <rPr>
        <b/>
        <sz val="9"/>
        <color theme="1"/>
        <rFont val="Times New Roman"/>
        <charset val="134"/>
      </rPr>
      <t>out</t>
    </r>
  </si>
  <si>
    <t>The output voltage of the converter</t>
  </si>
  <si>
    <r>
      <rPr>
        <b/>
        <sz val="11"/>
        <color theme="1"/>
        <rFont val="Times New Roman"/>
        <charset val="134"/>
      </rPr>
      <t>I</t>
    </r>
    <r>
      <rPr>
        <b/>
        <sz val="9"/>
        <color theme="1"/>
        <rFont val="Times New Roman"/>
        <charset val="134"/>
      </rPr>
      <t>out</t>
    </r>
  </si>
  <si>
    <t>The nomimal output current</t>
  </si>
  <si>
    <t>Fsw</t>
  </si>
  <si>
    <t>KHz</t>
  </si>
  <si>
    <t>The switching freqency of the converter</t>
  </si>
  <si>
    <r>
      <rPr>
        <b/>
        <sz val="11"/>
        <color theme="1"/>
        <rFont val="Times New Roman"/>
        <charset val="134"/>
      </rPr>
      <t>R</t>
    </r>
    <r>
      <rPr>
        <b/>
        <sz val="8"/>
        <color theme="1"/>
        <rFont val="Times New Roman"/>
        <charset val="134"/>
      </rPr>
      <t>RDson_high</t>
    </r>
  </si>
  <si>
    <r>
      <rPr>
        <sz val="11"/>
        <color theme="1"/>
        <rFont val="Times New Roman"/>
        <charset val="134"/>
      </rPr>
      <t>R</t>
    </r>
    <r>
      <rPr>
        <sz val="8"/>
        <color theme="1"/>
        <rFont val="Times New Roman"/>
        <charset val="134"/>
      </rPr>
      <t xml:space="preserve">DSon </t>
    </r>
    <r>
      <rPr>
        <sz val="11"/>
        <color theme="1"/>
        <rFont val="Times New Roman"/>
        <charset val="134"/>
      </rPr>
      <t>of high side switch at operatint point</t>
    </r>
  </si>
  <si>
    <r>
      <rPr>
        <b/>
        <sz val="11"/>
        <color theme="1"/>
        <rFont val="Times New Roman"/>
        <charset val="134"/>
      </rPr>
      <t>V</t>
    </r>
    <r>
      <rPr>
        <b/>
        <sz val="8"/>
        <color theme="1"/>
        <rFont val="Times New Roman"/>
        <charset val="134"/>
      </rPr>
      <t>RDSon_high</t>
    </r>
  </si>
  <si>
    <t>Voltage drop across high side switch RDSon</t>
  </si>
  <si>
    <r>
      <rPr>
        <b/>
        <sz val="11"/>
        <color theme="1"/>
        <rFont val="Times New Roman"/>
        <charset val="134"/>
      </rPr>
      <t>R</t>
    </r>
    <r>
      <rPr>
        <b/>
        <sz val="8"/>
        <color theme="1"/>
        <rFont val="Times New Roman"/>
        <charset val="134"/>
      </rPr>
      <t>RDson_low</t>
    </r>
  </si>
  <si>
    <r>
      <rPr>
        <sz val="11"/>
        <color theme="1"/>
        <rFont val="Times New Roman"/>
        <charset val="134"/>
      </rPr>
      <t>R</t>
    </r>
    <r>
      <rPr>
        <sz val="8"/>
        <color theme="1"/>
        <rFont val="Times New Roman"/>
        <charset val="134"/>
      </rPr>
      <t xml:space="preserve">DSon </t>
    </r>
    <r>
      <rPr>
        <sz val="11"/>
        <color theme="1"/>
        <rFont val="Times New Roman"/>
        <charset val="134"/>
      </rPr>
      <t>of low side switch at operatint point</t>
    </r>
  </si>
  <si>
    <r>
      <rPr>
        <b/>
        <sz val="11"/>
        <color theme="1"/>
        <rFont val="Times New Roman"/>
        <charset val="134"/>
      </rPr>
      <t>V</t>
    </r>
    <r>
      <rPr>
        <b/>
        <sz val="8"/>
        <color theme="1"/>
        <rFont val="Times New Roman"/>
        <charset val="134"/>
      </rPr>
      <t>RDSon_low</t>
    </r>
  </si>
  <si>
    <r>
      <rPr>
        <sz val="11"/>
        <color theme="1"/>
        <rFont val="Times New Roman"/>
        <charset val="134"/>
      </rPr>
      <t>Voltage drop across low side switch R</t>
    </r>
    <r>
      <rPr>
        <sz val="8"/>
        <color theme="1"/>
        <rFont val="Times New Roman"/>
        <charset val="134"/>
      </rPr>
      <t>DSon</t>
    </r>
  </si>
  <si>
    <t>——</t>
  </si>
  <si>
    <t>Duty Cycle</t>
  </si>
  <si>
    <t>Switching Period</t>
  </si>
  <si>
    <r>
      <rPr>
        <b/>
        <sz val="11"/>
        <color theme="1"/>
        <rFont val="Times New Roman"/>
        <charset val="134"/>
      </rPr>
      <t>T</t>
    </r>
    <r>
      <rPr>
        <b/>
        <sz val="9"/>
        <color theme="1"/>
        <rFont val="Times New Roman"/>
        <charset val="134"/>
      </rPr>
      <t>on</t>
    </r>
  </si>
  <si>
    <t>On-time of the switch</t>
  </si>
  <si>
    <t>L min</t>
  </si>
  <si>
    <t>Minimum inductor value</t>
  </si>
  <si>
    <t>Output current ripple ratio,"r" is usually set  between 0.2 and 0.5 for buck converters</t>
  </si>
  <si>
    <r>
      <rPr>
        <b/>
        <sz val="11"/>
        <color theme="1"/>
        <rFont val="Times New Roman"/>
        <charset val="134"/>
      </rPr>
      <t>ΔI</t>
    </r>
    <r>
      <rPr>
        <b/>
        <sz val="8"/>
        <color theme="1"/>
        <rFont val="Times New Roman"/>
        <charset val="134"/>
      </rPr>
      <t>L</t>
    </r>
  </si>
  <si>
    <t>Inductor ripple current</t>
  </si>
  <si>
    <t>Ipeak</t>
  </si>
  <si>
    <t>Maximum current flow through the coil</t>
  </si>
  <si>
    <t>Selected standard inductance value</t>
  </si>
  <si>
    <r>
      <rPr>
        <b/>
        <sz val="11"/>
        <color theme="1"/>
        <rFont val="Times New Roman"/>
        <charset val="134"/>
      </rPr>
      <t>I</t>
    </r>
    <r>
      <rPr>
        <b/>
        <sz val="9"/>
        <color theme="1"/>
        <rFont val="Times New Roman"/>
        <charset val="134"/>
      </rPr>
      <t>RMS</t>
    </r>
  </si>
  <si>
    <t>Effective RMS current flow through the coil</t>
  </si>
  <si>
    <r>
      <rPr>
        <i/>
        <sz val="11"/>
        <color theme="1"/>
        <rFont val="华文楷体"/>
        <charset val="134"/>
      </rPr>
      <t xml:space="preserve">说明：
</t>
    </r>
    <r>
      <rPr>
        <i/>
        <sz val="11"/>
        <color theme="1"/>
        <rFont val="Times New Roman"/>
        <charset val="134"/>
      </rPr>
      <t>1.</t>
    </r>
    <r>
      <rPr>
        <i/>
        <sz val="11"/>
        <color theme="1"/>
        <rFont val="华文楷体"/>
        <charset val="134"/>
      </rPr>
      <t xml:space="preserve">计算输出电感值最小值；
</t>
    </r>
    <r>
      <rPr>
        <i/>
        <sz val="11"/>
        <color theme="1"/>
        <rFont val="Times New Roman"/>
        <charset val="134"/>
      </rPr>
      <t>2.</t>
    </r>
    <r>
      <rPr>
        <i/>
        <sz val="11"/>
        <color theme="1"/>
        <rFont val="华文楷体"/>
        <charset val="134"/>
      </rPr>
      <t>填写非阴影区域，灰色阴影区域是表格自动计算结果。</t>
    </r>
  </si>
  <si>
    <r>
      <rPr>
        <b/>
        <sz val="11"/>
        <color theme="1"/>
        <rFont val="Times New Roman"/>
        <charset val="134"/>
      </rPr>
      <t>V</t>
    </r>
    <r>
      <rPr>
        <b/>
        <sz val="9"/>
        <color theme="1"/>
        <rFont val="Times New Roman"/>
        <charset val="134"/>
      </rPr>
      <t>in(min)</t>
    </r>
  </si>
  <si>
    <t>Maximum input voltage</t>
  </si>
  <si>
    <r>
      <rPr>
        <i/>
        <sz val="11"/>
        <color theme="1"/>
        <rFont val="华文楷体"/>
        <charset val="134"/>
      </rPr>
      <t xml:space="preserve">说明：
</t>
    </r>
    <r>
      <rPr>
        <i/>
        <sz val="11"/>
        <color theme="1"/>
        <rFont val="Times New Roman"/>
        <charset val="134"/>
      </rPr>
      <t>1.</t>
    </r>
    <r>
      <rPr>
        <i/>
        <sz val="11"/>
        <color theme="1"/>
        <rFont val="华文楷体"/>
        <charset val="134"/>
      </rPr>
      <t xml:space="preserve">一般电感计算值为非标称值。
</t>
    </r>
    <r>
      <rPr>
        <i/>
        <sz val="11"/>
        <color theme="1"/>
        <rFont val="Times New Roman"/>
        <charset val="134"/>
      </rPr>
      <t>2.</t>
    </r>
    <r>
      <rPr>
        <i/>
        <sz val="11"/>
        <color theme="1"/>
        <rFont val="华文楷体"/>
        <charset val="134"/>
      </rPr>
      <t>选取标称电感值后回归计算纹波电流等参数确认电感是否满足需求</t>
    </r>
  </si>
  <si>
    <r>
      <rPr>
        <b/>
        <sz val="11"/>
        <color theme="1"/>
        <rFont val="Times New Roman"/>
        <charset val="134"/>
      </rPr>
      <t>V</t>
    </r>
    <r>
      <rPr>
        <b/>
        <sz val="9"/>
        <color theme="1"/>
        <rFont val="Times New Roman"/>
        <charset val="134"/>
      </rPr>
      <t>in(max)</t>
    </r>
  </si>
  <si>
    <t>Minimum input voltage</t>
  </si>
  <si>
    <r>
      <rPr>
        <b/>
        <sz val="11"/>
        <color theme="1"/>
        <rFont val="Times New Roman"/>
        <charset val="134"/>
      </rPr>
      <t>Vo</t>
    </r>
    <r>
      <rPr>
        <b/>
        <sz val="9"/>
        <color theme="1"/>
        <rFont val="Times New Roman"/>
        <charset val="134"/>
      </rPr>
      <t>_ripple</t>
    </r>
  </si>
  <si>
    <t>Maximum alloable peak-to-peak ripple</t>
  </si>
  <si>
    <t>Ico</t>
  </si>
  <si>
    <t>Ripple current of the output capacitor</t>
  </si>
  <si>
    <t>Co</t>
  </si>
  <si>
    <t>Mininum output capacitor</t>
  </si>
  <si>
    <r>
      <rPr>
        <i/>
        <sz val="11"/>
        <color theme="1"/>
        <rFont val="华文楷体"/>
        <charset val="134"/>
      </rPr>
      <t xml:space="preserve">说明：
</t>
    </r>
    <r>
      <rPr>
        <i/>
        <sz val="11"/>
        <color theme="1"/>
        <rFont val="Times New Roman"/>
        <charset val="134"/>
      </rPr>
      <t>1.</t>
    </r>
    <r>
      <rPr>
        <i/>
        <sz val="11"/>
        <color theme="1"/>
        <rFont val="华文楷体"/>
        <charset val="134"/>
      </rPr>
      <t>计算输出电容最小值，注意计算最小电容时忽略电容</t>
    </r>
    <r>
      <rPr>
        <i/>
        <sz val="11"/>
        <color theme="1"/>
        <rFont val="Times New Roman"/>
        <charset val="134"/>
      </rPr>
      <t>ESR</t>
    </r>
    <r>
      <rPr>
        <i/>
        <sz val="11"/>
        <color theme="1"/>
        <rFont val="华文楷体"/>
        <charset val="134"/>
      </rPr>
      <t>及</t>
    </r>
    <r>
      <rPr>
        <i/>
        <sz val="11"/>
        <color theme="1"/>
        <rFont val="Times New Roman"/>
        <charset val="134"/>
      </rPr>
      <t>ESL</t>
    </r>
    <r>
      <rPr>
        <i/>
        <sz val="11"/>
        <color theme="1"/>
        <rFont val="华文楷体"/>
        <charset val="134"/>
      </rPr>
      <t xml:space="preserve">对输出纹波的影响。
</t>
    </r>
    <r>
      <rPr>
        <i/>
        <sz val="11"/>
        <color theme="1"/>
        <rFont val="Times New Roman"/>
        <charset val="134"/>
      </rPr>
      <t>2.</t>
    </r>
    <r>
      <rPr>
        <i/>
        <sz val="11"/>
        <color theme="1"/>
        <rFont val="华文楷体"/>
        <charset val="134"/>
      </rPr>
      <t>填写非阴影区域，灰色阴影区域是表格自动计算结果。</t>
    </r>
  </si>
  <si>
    <t>Vin_ripple</t>
  </si>
  <si>
    <t>Acceptable input voltage vipple</t>
  </si>
  <si>
    <t>Icin</t>
  </si>
  <si>
    <t>Ripple current of the input capacitor</t>
  </si>
  <si>
    <t>Cin</t>
  </si>
  <si>
    <t>Mininum input capacitor</t>
  </si>
  <si>
    <r>
      <rPr>
        <i/>
        <sz val="11"/>
        <color theme="1"/>
        <rFont val="华文楷体"/>
        <charset val="134"/>
      </rPr>
      <t xml:space="preserve">说明：
</t>
    </r>
    <r>
      <rPr>
        <i/>
        <sz val="11"/>
        <color theme="1"/>
        <rFont val="Times New Roman"/>
        <charset val="134"/>
      </rPr>
      <t>1.</t>
    </r>
    <r>
      <rPr>
        <i/>
        <sz val="11"/>
        <color theme="1"/>
        <rFont val="华文楷体"/>
        <charset val="134"/>
      </rPr>
      <t>计算输入电容最小值，注意计算最小电容时忽略电容</t>
    </r>
    <r>
      <rPr>
        <i/>
        <sz val="11"/>
        <color theme="1"/>
        <rFont val="Times New Roman"/>
        <charset val="134"/>
      </rPr>
      <t>ESR</t>
    </r>
    <r>
      <rPr>
        <i/>
        <sz val="11"/>
        <color theme="1"/>
        <rFont val="华文楷体"/>
        <charset val="134"/>
      </rPr>
      <t xml:space="preserve">输入纹波的影响。
</t>
    </r>
    <r>
      <rPr>
        <i/>
        <sz val="11"/>
        <color theme="1"/>
        <rFont val="Times New Roman"/>
        <charset val="134"/>
      </rPr>
      <t>2.</t>
    </r>
    <r>
      <rPr>
        <i/>
        <sz val="11"/>
        <color theme="1"/>
        <rFont val="华文楷体"/>
        <charset val="134"/>
      </rPr>
      <t>填写非阴影区域，灰色阴影区域是表格自动计算结果。</t>
    </r>
  </si>
  <si>
    <r>
      <rPr>
        <b/>
        <sz val="11"/>
        <color theme="1"/>
        <rFont val="Times New Roman"/>
        <charset val="134"/>
      </rPr>
      <t>C</t>
    </r>
    <r>
      <rPr>
        <b/>
        <sz val="9"/>
        <color theme="1"/>
        <rFont val="Times New Roman"/>
        <charset val="134"/>
      </rPr>
      <t>outbank</t>
    </r>
  </si>
  <si>
    <t>Total capacitance of output bank  used</t>
  </si>
  <si>
    <t>DC bias ratio</t>
  </si>
  <si>
    <t>Output capacitance DC voltage bias raito</t>
  </si>
  <si>
    <t>ESL_out</t>
  </si>
  <si>
    <t>nH</t>
  </si>
  <si>
    <t>Actual ESL of output capacitor bank used</t>
  </si>
  <si>
    <t>ESR_out</t>
  </si>
  <si>
    <t>Actual ESR of output capacitor bank used</t>
  </si>
  <si>
    <r>
      <rPr>
        <b/>
        <sz val="11"/>
        <color theme="1"/>
        <rFont val="Times New Roman"/>
        <charset val="134"/>
      </rPr>
      <t>V</t>
    </r>
    <r>
      <rPr>
        <b/>
        <sz val="9"/>
        <color theme="1"/>
        <rFont val="Times New Roman"/>
        <charset val="134"/>
      </rPr>
      <t>ppcap_out</t>
    </r>
  </si>
  <si>
    <t>Peak-to-peak voltage ripple due to output capacitor</t>
  </si>
  <si>
    <r>
      <rPr>
        <b/>
        <sz val="11"/>
        <color theme="1"/>
        <rFont val="Times New Roman"/>
        <charset val="134"/>
      </rPr>
      <t>V</t>
    </r>
    <r>
      <rPr>
        <b/>
        <sz val="9"/>
        <color theme="1"/>
        <rFont val="Times New Roman"/>
        <charset val="134"/>
      </rPr>
      <t>ppESR_out</t>
    </r>
  </si>
  <si>
    <t>Peak-to-peak voltage ripple due to output ESR</t>
  </si>
  <si>
    <r>
      <rPr>
        <b/>
        <sz val="11"/>
        <color theme="1"/>
        <rFont val="Times New Roman"/>
        <charset val="134"/>
      </rPr>
      <t>V</t>
    </r>
    <r>
      <rPr>
        <b/>
        <sz val="9"/>
        <color theme="1"/>
        <rFont val="Times New Roman"/>
        <charset val="134"/>
      </rPr>
      <t>ppESL_out</t>
    </r>
  </si>
  <si>
    <t>Peak-to-peak voltage ripple due to output ESL</t>
  </si>
  <si>
    <r>
      <rPr>
        <b/>
        <sz val="11"/>
        <color theme="1"/>
        <rFont val="Times New Roman"/>
        <charset val="134"/>
      </rPr>
      <t>V</t>
    </r>
    <r>
      <rPr>
        <b/>
        <sz val="9"/>
        <color theme="1"/>
        <rFont val="Times New Roman"/>
        <charset val="134"/>
      </rPr>
      <t>pptotal_out</t>
    </r>
  </si>
  <si>
    <t>Peak-to-peak voltage ripple due to output voltage ripple</t>
  </si>
  <si>
    <r>
      <rPr>
        <i/>
        <sz val="11"/>
        <color theme="1"/>
        <rFont val="华文楷体"/>
        <charset val="134"/>
      </rPr>
      <t xml:space="preserve">说明：
</t>
    </r>
    <r>
      <rPr>
        <i/>
        <sz val="11"/>
        <color theme="1"/>
        <rFont val="Times New Roman"/>
        <charset val="134"/>
      </rPr>
      <t>1.</t>
    </r>
    <r>
      <rPr>
        <i/>
        <sz val="11"/>
        <color theme="1"/>
        <rFont val="华文楷体"/>
        <charset val="134"/>
      </rPr>
      <t xml:space="preserve">一般电容计算值为非标称值。
</t>
    </r>
    <r>
      <rPr>
        <i/>
        <sz val="11"/>
        <color theme="1"/>
        <rFont val="Times New Roman"/>
        <charset val="134"/>
      </rPr>
      <t>2.</t>
    </r>
    <r>
      <rPr>
        <i/>
        <sz val="11"/>
        <color theme="1"/>
        <rFont val="华文楷体"/>
        <charset val="134"/>
      </rPr>
      <t>选取标称电容后回归计算纹波电压参数是否满足设计需求。</t>
    </r>
  </si>
  <si>
    <r>
      <rPr>
        <b/>
        <sz val="11"/>
        <color theme="1"/>
        <rFont val="Times New Roman"/>
        <charset val="134"/>
      </rPr>
      <t>C</t>
    </r>
    <r>
      <rPr>
        <b/>
        <sz val="9"/>
        <color theme="1"/>
        <rFont val="Times New Roman"/>
        <charset val="134"/>
      </rPr>
      <t>inbank</t>
    </r>
  </si>
  <si>
    <t>Total capacitance of input bank  used</t>
  </si>
  <si>
    <t>input capacitance DC voltage bias raito</t>
  </si>
  <si>
    <t>ESR_out_in</t>
  </si>
  <si>
    <t>Actual ESR of input capacitor bank used</t>
  </si>
  <si>
    <r>
      <rPr>
        <b/>
        <sz val="11"/>
        <color theme="1"/>
        <rFont val="Times New Roman"/>
        <charset val="134"/>
      </rPr>
      <t>V</t>
    </r>
    <r>
      <rPr>
        <b/>
        <sz val="9"/>
        <color theme="1"/>
        <rFont val="Times New Roman"/>
        <charset val="134"/>
      </rPr>
      <t>ppcap_in</t>
    </r>
  </si>
  <si>
    <t>Peak-to-peak voltage ripple due to input capacitor</t>
  </si>
  <si>
    <r>
      <rPr>
        <b/>
        <sz val="11"/>
        <color theme="1"/>
        <rFont val="Times New Roman"/>
        <charset val="134"/>
      </rPr>
      <t>V</t>
    </r>
    <r>
      <rPr>
        <b/>
        <sz val="9"/>
        <color theme="1"/>
        <rFont val="Times New Roman"/>
        <charset val="134"/>
      </rPr>
      <t>ppESR_in</t>
    </r>
  </si>
  <si>
    <t>Peak-to-peak voltage ripple due to input capacitor ESR</t>
  </si>
  <si>
    <r>
      <rPr>
        <b/>
        <sz val="11"/>
        <color theme="1"/>
        <rFont val="Times New Roman"/>
        <charset val="134"/>
      </rPr>
      <t>V</t>
    </r>
    <r>
      <rPr>
        <b/>
        <sz val="9"/>
        <color theme="1"/>
        <rFont val="Times New Roman"/>
        <charset val="134"/>
      </rPr>
      <t>pptotal_in</t>
    </r>
  </si>
  <si>
    <t>Peak-to-peak voltage ripple due to input voltage ripple</t>
  </si>
  <si>
    <r>
      <rPr>
        <b/>
        <sz val="16"/>
        <rFont val="宋体"/>
        <charset val="134"/>
      </rPr>
      <t>反激式开关电源电子设计表格V1.8</t>
    </r>
    <r>
      <rPr>
        <sz val="16"/>
        <rFont val="宋体"/>
        <charset val="134"/>
      </rPr>
      <t xml:space="preserve">
</t>
    </r>
    <r>
      <rPr>
        <sz val="10"/>
        <rFont val="宋体"/>
        <charset val="134"/>
      </rPr>
      <t xml:space="preserve">表格中灰色为允许数据输入，黄色为中间变量，蓝色为输出变量。
当在其中输入数据时，表格会自动计算相关参数。
                        </t>
    </r>
  </si>
  <si>
    <t>型号:</t>
  </si>
  <si>
    <t>单端反激式开关电源</t>
  </si>
  <si>
    <t>编写:</t>
  </si>
  <si>
    <t>jianjun8410</t>
  </si>
  <si>
    <t>日期:</t>
  </si>
  <si>
    <t>计算数据</t>
  </si>
  <si>
    <t>参数说明</t>
  </si>
  <si>
    <t>设计警告</t>
  </si>
  <si>
    <t>一、设计需求部分</t>
  </si>
  <si>
    <t>VACMIN</t>
  </si>
  <si>
    <t>交流输入电压最小值</t>
  </si>
  <si>
    <t>VACMAX</t>
  </si>
  <si>
    <t>交流输入电压最大值</t>
  </si>
  <si>
    <r>
      <rPr>
        <sz val="10"/>
        <rFont val="ItalicT"/>
        <charset val="134"/>
      </rPr>
      <t>f</t>
    </r>
    <r>
      <rPr>
        <vertAlign val="subscript"/>
        <sz val="10"/>
        <rFont val="ItalicT"/>
        <charset val="134"/>
      </rPr>
      <t>L</t>
    </r>
  </si>
  <si>
    <t>电网频率</t>
  </si>
  <si>
    <t>fs</t>
  </si>
  <si>
    <t>开关频率</t>
  </si>
  <si>
    <t>Main out</t>
  </si>
  <si>
    <t>Out2</t>
  </si>
  <si>
    <t>Out3</t>
  </si>
  <si>
    <t>Out4</t>
  </si>
  <si>
    <t>UO</t>
  </si>
  <si>
    <t>直流输出电压(输出电压&gt;1v)</t>
  </si>
  <si>
    <t>IO</t>
  </si>
  <si>
    <t>次级直流输出电流</t>
  </si>
  <si>
    <t>PO</t>
  </si>
  <si>
    <t>输出功率</t>
  </si>
  <si>
    <t>η</t>
  </si>
  <si>
    <t>电源效率</t>
  </si>
  <si>
    <t>损耗分配系数</t>
  </si>
  <si>
    <r>
      <rPr>
        <sz val="10"/>
        <rFont val="新宋体"/>
        <charset val="134"/>
      </rPr>
      <t>U</t>
    </r>
    <r>
      <rPr>
        <vertAlign val="subscript"/>
        <sz val="10"/>
        <rFont val="新宋体"/>
        <charset val="134"/>
      </rPr>
      <t>FB</t>
    </r>
  </si>
  <si>
    <r>
      <rPr>
        <sz val="10"/>
        <rFont val="宋体"/>
        <charset val="134"/>
      </rPr>
      <t>反馈电压，所选</t>
    </r>
    <r>
      <rPr>
        <sz val="11"/>
        <color theme="1"/>
        <rFont val="宋体"/>
        <charset val="134"/>
        <scheme val="minor"/>
      </rPr>
      <t>MOS</t>
    </r>
    <r>
      <rPr>
        <sz val="10"/>
        <rFont val="宋体"/>
        <charset val="134"/>
      </rPr>
      <t>管芯片推荐值</t>
    </r>
  </si>
  <si>
    <t>±%</t>
  </si>
  <si>
    <t>负载调整率（±10%，±2.5%，±1%，±0.2%）</t>
  </si>
  <si>
    <t>反馈电路类型</t>
  </si>
  <si>
    <t>反馈电路类型（初级/基本、初级/增强、光耦/稳压管、光耦/TL431）</t>
  </si>
  <si>
    <t>CIN(理论值)</t>
  </si>
  <si>
    <t>UF</t>
  </si>
  <si>
    <r>
      <rPr>
        <sz val="10"/>
        <rFont val="宋体"/>
        <charset val="134"/>
      </rPr>
      <t>理论需要的输入滤波电容大小</t>
    </r>
    <r>
      <rPr>
        <sz val="11"/>
        <color theme="1"/>
        <rFont val="宋体"/>
        <charset val="134"/>
        <scheme val="minor"/>
      </rPr>
      <t xml:space="preserve">  </t>
    </r>
  </si>
  <si>
    <t>CIN(实取值)</t>
  </si>
  <si>
    <t>实取的输入滤波电容大小</t>
  </si>
  <si>
    <t>VMIN</t>
  </si>
  <si>
    <t xml:space="preserve"> </t>
  </si>
  <si>
    <t>直流输入电压最小值,tc取1.98ms</t>
  </si>
  <si>
    <t>VMAX</t>
  </si>
  <si>
    <t>直流输入电压最大值</t>
  </si>
  <si>
    <t>VOR</t>
  </si>
  <si>
    <t>初级绕组的感应电压，即输出反射电压</t>
  </si>
  <si>
    <t>KP</t>
  </si>
  <si>
    <t>初级绕组脉动电流IR 与峰值电流IP 的比例系数</t>
  </si>
  <si>
    <t>DMAX</t>
  </si>
  <si>
    <r>
      <rPr>
        <sz val="10"/>
        <rFont val="宋体"/>
        <charset val="134"/>
      </rPr>
      <t>最大占空比</t>
    </r>
    <r>
      <rPr>
        <sz val="11"/>
        <color theme="1"/>
        <rFont val="宋体"/>
        <charset val="134"/>
        <scheme val="minor"/>
      </rPr>
      <t>(VMIN</t>
    </r>
    <r>
      <rPr>
        <sz val="10"/>
        <rFont val="宋体"/>
        <charset val="134"/>
      </rPr>
      <t>时</t>
    </r>
    <r>
      <rPr>
        <sz val="11"/>
        <color theme="1"/>
        <rFont val="宋体"/>
        <charset val="134"/>
        <scheme val="minor"/>
      </rPr>
      <t>)</t>
    </r>
  </si>
  <si>
    <t>IP</t>
  </si>
  <si>
    <t>初级绕组峰峰值电流</t>
  </si>
  <si>
    <t>IAVG</t>
  </si>
  <si>
    <t>初级绕组平均值电流</t>
  </si>
  <si>
    <t>IRMS</t>
  </si>
  <si>
    <t>初级绕组有效值电流</t>
  </si>
  <si>
    <t>IR</t>
  </si>
  <si>
    <r>
      <rPr>
        <sz val="10"/>
        <rFont val="宋体"/>
        <charset val="134"/>
      </rPr>
      <t>初级绕组脉动值电流</t>
    </r>
    <r>
      <rPr>
        <sz val="11"/>
        <color theme="1"/>
        <rFont val="宋体"/>
        <charset val="134"/>
        <scheme val="minor"/>
      </rPr>
      <t xml:space="preserve">   IR</t>
    </r>
    <r>
      <rPr>
        <sz val="10"/>
        <rFont val="宋体"/>
        <charset val="134"/>
      </rPr>
      <t>＝</t>
    </r>
    <r>
      <rPr>
        <sz val="11"/>
        <color theme="1"/>
        <rFont val="宋体"/>
        <charset val="134"/>
        <scheme val="minor"/>
      </rPr>
      <t>IP</t>
    </r>
    <r>
      <rPr>
        <b/>
        <sz val="10"/>
        <rFont val="Arial"/>
        <charset val="134"/>
      </rPr>
      <t>*</t>
    </r>
    <r>
      <rPr>
        <sz val="11"/>
        <color theme="1"/>
        <rFont val="宋体"/>
        <charset val="134"/>
        <scheme val="minor"/>
      </rPr>
      <t>KP</t>
    </r>
  </si>
  <si>
    <r>
      <rPr>
        <sz val="10"/>
        <rFont val="宋体"/>
        <charset val="134"/>
      </rPr>
      <t>储能方程式计算</t>
    </r>
    <r>
      <rPr>
        <sz val="11"/>
        <color theme="1"/>
        <rFont val="宋体"/>
        <charset val="134"/>
        <scheme val="minor"/>
      </rPr>
      <t>LP</t>
    </r>
    <r>
      <rPr>
        <vertAlign val="subscript"/>
        <sz val="10"/>
        <rFont val="Arial"/>
        <charset val="134"/>
      </rPr>
      <t>MIN</t>
    </r>
  </si>
  <si>
    <t>UH</t>
  </si>
  <si>
    <t>储能方程式计算的初级绕组电感量</t>
  </si>
  <si>
    <r>
      <rPr>
        <sz val="10"/>
        <rFont val="宋体"/>
        <charset val="134"/>
      </rPr>
      <t>脉动方程式计算</t>
    </r>
    <r>
      <rPr>
        <sz val="11"/>
        <color theme="1"/>
        <rFont val="宋体"/>
        <charset val="134"/>
        <scheme val="minor"/>
      </rPr>
      <t>LP</t>
    </r>
    <r>
      <rPr>
        <vertAlign val="subscript"/>
        <sz val="10"/>
        <rFont val="Arial"/>
        <charset val="134"/>
      </rPr>
      <t>MIN</t>
    </r>
    <r>
      <rPr>
        <sz val="10"/>
        <rFont val="宋体"/>
        <charset val="134"/>
      </rPr>
      <t>(辅助)</t>
    </r>
  </si>
  <si>
    <t>脉动方程式计算的初级绕组电感量</t>
  </si>
  <si>
    <t>实取电感量LP</t>
  </si>
  <si>
    <r>
      <rPr>
        <sz val="10"/>
        <rFont val="宋体"/>
        <charset val="134"/>
      </rPr>
      <t>实取初级绕组电感量</t>
    </r>
    <r>
      <rPr>
        <sz val="11"/>
        <color theme="1"/>
        <rFont val="宋体"/>
        <charset val="134"/>
        <scheme val="minor"/>
      </rPr>
      <t>LP</t>
    </r>
  </si>
  <si>
    <t>估计初级漏感L_LKG</t>
  </si>
  <si>
    <r>
      <rPr>
        <sz val="10"/>
        <rFont val="宋体"/>
        <charset val="134"/>
      </rPr>
      <t>估计初级漏感 L_LKG = L</t>
    </r>
    <r>
      <rPr>
        <vertAlign val="subscript"/>
        <sz val="10"/>
        <rFont val="宋体"/>
        <charset val="134"/>
      </rPr>
      <t>P</t>
    </r>
    <r>
      <rPr>
        <sz val="10"/>
        <rFont val="宋体"/>
        <charset val="134"/>
      </rPr>
      <t>*2.5%</t>
    </r>
  </si>
  <si>
    <t>二、关键元器件选择</t>
  </si>
  <si>
    <r>
      <rPr>
        <b/>
        <sz val="12"/>
        <rFont val="Arial"/>
        <charset val="134"/>
      </rPr>
      <t>MOS</t>
    </r>
    <r>
      <rPr>
        <b/>
        <sz val="12"/>
        <rFont val="宋体"/>
        <charset val="134"/>
      </rPr>
      <t>管芯片选择</t>
    </r>
  </si>
  <si>
    <t>BVDSS</t>
  </si>
  <si>
    <r>
      <rPr>
        <sz val="10"/>
        <rFont val="宋体"/>
        <charset val="134"/>
      </rPr>
      <t>MOS芯片的BVDSS要求：BVDSS=V</t>
    </r>
    <r>
      <rPr>
        <sz val="8"/>
        <rFont val="宋体"/>
        <charset val="134"/>
      </rPr>
      <t>MAX</t>
    </r>
    <r>
      <rPr>
        <sz val="10"/>
        <rFont val="宋体"/>
        <charset val="134"/>
      </rPr>
      <t>+1.4*1.5*V</t>
    </r>
    <r>
      <rPr>
        <sz val="8"/>
        <rFont val="宋体"/>
        <charset val="134"/>
      </rPr>
      <t>OR</t>
    </r>
    <r>
      <rPr>
        <sz val="10"/>
        <rFont val="宋体"/>
        <charset val="134"/>
      </rPr>
      <t>+20V(V</t>
    </r>
    <r>
      <rPr>
        <sz val="8"/>
        <rFont val="宋体"/>
        <charset val="134"/>
      </rPr>
      <t>DIO</t>
    </r>
    <r>
      <rPr>
        <sz val="10"/>
        <rFont val="宋体"/>
        <charset val="134"/>
      </rPr>
      <t>)+</t>
    </r>
    <r>
      <rPr>
        <sz val="10"/>
        <rFont val="宋体"/>
        <charset val="134"/>
      </rPr>
      <t>22</t>
    </r>
    <r>
      <rPr>
        <sz val="10"/>
        <rFont val="宋体"/>
        <charset val="134"/>
      </rPr>
      <t>V(MARGIN)</t>
    </r>
  </si>
  <si>
    <t>PO(MOS)</t>
  </si>
  <si>
    <t>MOS管芯片设计功率要求：PO(MOS)=PO/0.8</t>
  </si>
  <si>
    <t>BVDSS(选定)</t>
  </si>
  <si>
    <t>选定MOS管芯片BVDSS</t>
  </si>
  <si>
    <t>PO(选定)</t>
  </si>
  <si>
    <t>选定MOS管芯片推荐设计功率</t>
  </si>
  <si>
    <t>VDS(选定)</t>
  </si>
  <si>
    <t>选定MOS管导通电压</t>
  </si>
  <si>
    <t>RDS(ON)(选定)</t>
  </si>
  <si>
    <t>选定MOS芯片导通电阻</t>
  </si>
  <si>
    <t>ILIMIT(选定)</t>
  </si>
  <si>
    <t>选定MOS芯片缺省限流点，也即过流保护点</t>
  </si>
  <si>
    <t>BP</t>
  </si>
  <si>
    <r>
      <rPr>
        <sz val="10"/>
        <rFont val="宋体"/>
        <charset val="134"/>
      </rPr>
      <t>选定M</t>
    </r>
    <r>
      <rPr>
        <sz val="10"/>
        <rFont val="宋体"/>
        <charset val="134"/>
      </rPr>
      <t>OS管芯片推荐的最大峰值磁通密度</t>
    </r>
  </si>
  <si>
    <r>
      <rPr>
        <sz val="10"/>
        <rFont val="新宋体"/>
        <charset val="134"/>
      </rPr>
      <t>C</t>
    </r>
    <r>
      <rPr>
        <sz val="6"/>
        <rFont val="新宋体"/>
        <charset val="134"/>
      </rPr>
      <t>XT</t>
    </r>
    <r>
      <rPr>
        <sz val="10"/>
        <rFont val="新宋体"/>
        <charset val="134"/>
      </rPr>
      <t>(选定)</t>
    </r>
  </si>
  <si>
    <r>
      <rPr>
        <sz val="10"/>
        <rFont val="宋体"/>
        <charset val="134"/>
      </rPr>
      <t>选定MOS管芯片漏极外部结电容</t>
    </r>
    <r>
      <rPr>
        <sz val="10"/>
        <rFont val="宋体"/>
        <charset val="134"/>
      </rPr>
      <t>Coss</t>
    </r>
  </si>
  <si>
    <t>TJ(选定)</t>
  </si>
  <si>
    <t>°C</t>
  </si>
  <si>
    <t>选定MOS管芯片的最高管芯允许结温，一般考虑芯片（TJ-25）度</t>
  </si>
  <si>
    <t>RJC(选定)</t>
  </si>
  <si>
    <t>°C/W</t>
  </si>
  <si>
    <r>
      <rPr>
        <sz val="10"/>
        <rFont val="宋体"/>
        <charset val="134"/>
      </rPr>
      <t>选定M</t>
    </r>
    <r>
      <rPr>
        <sz val="10"/>
        <rFont val="宋体"/>
        <charset val="134"/>
      </rPr>
      <t>OS管芯片管芯到器件壳的热阻</t>
    </r>
  </si>
  <si>
    <t>RJA(选定)</t>
  </si>
  <si>
    <t>选定MOS管芯片管芯到环境的热阻</t>
  </si>
  <si>
    <t>ILIMIT(MIN)</t>
  </si>
  <si>
    <t>选定的MOS芯片电路工作最低限流点</t>
  </si>
  <si>
    <t>ILIMIT(MAX)</t>
  </si>
  <si>
    <t>选定的MOS芯片电路工作最高限流点</t>
  </si>
  <si>
    <t>检测MOS管选择的正确性</t>
  </si>
  <si>
    <r>
      <rPr>
        <b/>
        <sz val="12"/>
        <rFont val="Arial"/>
        <charset val="134"/>
      </rPr>
      <t>MOS</t>
    </r>
    <r>
      <rPr>
        <b/>
        <sz val="12"/>
        <rFont val="宋体"/>
        <charset val="134"/>
      </rPr>
      <t>管散热片选择</t>
    </r>
  </si>
  <si>
    <r>
      <rPr>
        <b/>
        <sz val="12"/>
        <color indexed="10"/>
        <rFont val="宋体"/>
        <charset val="134"/>
      </rPr>
      <t>步骤</t>
    </r>
    <r>
      <rPr>
        <b/>
        <sz val="12"/>
        <color indexed="10"/>
        <rFont val="Arial"/>
        <charset val="134"/>
      </rPr>
      <t>12_</t>
    </r>
    <r>
      <rPr>
        <b/>
        <sz val="10"/>
        <rFont val="宋体"/>
        <charset val="134"/>
      </rPr>
      <t>计算功率开关管热阻选择散热片验证</t>
    </r>
    <r>
      <rPr>
        <b/>
        <sz val="10"/>
        <rFont val="Arial"/>
        <charset val="134"/>
      </rPr>
      <t>MOS</t>
    </r>
    <r>
      <rPr>
        <b/>
        <sz val="10"/>
        <rFont val="宋体"/>
        <charset val="134"/>
      </rPr>
      <t>芯片选择的正确性</t>
    </r>
  </si>
  <si>
    <t>TA</t>
  </si>
  <si>
    <r>
      <rPr>
        <sz val="10"/>
        <rFont val="宋体"/>
        <charset val="134"/>
      </rPr>
      <t>M</t>
    </r>
    <r>
      <rPr>
        <sz val="10"/>
        <rFont val="宋体"/>
        <charset val="134"/>
      </rPr>
      <t>OS管芯片实际最高工作环境温度</t>
    </r>
  </si>
  <si>
    <r>
      <rPr>
        <sz val="10"/>
        <rFont val="新宋体"/>
        <charset val="134"/>
      </rPr>
      <t>P</t>
    </r>
    <r>
      <rPr>
        <vertAlign val="subscript"/>
        <sz val="10"/>
        <rFont val="新宋体"/>
        <charset val="134"/>
      </rPr>
      <t>IR</t>
    </r>
  </si>
  <si>
    <r>
      <rPr>
        <sz val="10"/>
        <rFont val="宋体"/>
        <charset val="134"/>
      </rPr>
      <t>M</t>
    </r>
    <r>
      <rPr>
        <sz val="10"/>
        <rFont val="宋体"/>
        <charset val="134"/>
      </rPr>
      <t>OS管芯片的导通损耗(100℃高温)</t>
    </r>
  </si>
  <si>
    <r>
      <rPr>
        <sz val="10"/>
        <rFont val="新宋体"/>
        <charset val="134"/>
      </rPr>
      <t>P</t>
    </r>
    <r>
      <rPr>
        <vertAlign val="subscript"/>
        <sz val="10"/>
        <rFont val="新宋体"/>
        <charset val="134"/>
      </rPr>
      <t>CXT</t>
    </r>
  </si>
  <si>
    <r>
      <rPr>
        <sz val="10"/>
        <rFont val="宋体"/>
        <charset val="134"/>
      </rPr>
      <t>M</t>
    </r>
    <r>
      <rPr>
        <sz val="10"/>
        <rFont val="宋体"/>
        <charset val="134"/>
      </rPr>
      <t>OS管芯片的开关损耗</t>
    </r>
  </si>
  <si>
    <t>PD</t>
  </si>
  <si>
    <t>MOS管芯片的总损耗  PD = PIR + PCXT</t>
  </si>
  <si>
    <t xml:space="preserve">RJA </t>
  </si>
  <si>
    <t>RJA表示允许的总热阻</t>
  </si>
  <si>
    <t>验证是否需要外加散热片</t>
  </si>
  <si>
    <t>RCS</t>
  </si>
  <si>
    <r>
      <rPr>
        <sz val="10"/>
        <rFont val="宋体"/>
        <charset val="134"/>
      </rPr>
      <t>M</t>
    </r>
    <r>
      <rPr>
        <sz val="10"/>
        <rFont val="宋体"/>
        <charset val="134"/>
      </rPr>
      <t>OS管芯片到散热片的热阻，与器件封装及接触方式有关</t>
    </r>
  </si>
  <si>
    <t>RSA</t>
  </si>
  <si>
    <t>需要外加的散热片到环境的热阻</t>
  </si>
  <si>
    <t>散热片形状和面积</t>
  </si>
  <si>
    <r>
      <rPr>
        <sz val="10"/>
        <color indexed="18"/>
        <rFont val="宋体"/>
        <charset val="134"/>
      </rPr>
      <t>参考：</t>
    </r>
    <r>
      <rPr>
        <sz val="10"/>
        <color indexed="18"/>
        <rFont val="Arial"/>
        <charset val="134"/>
      </rPr>
      <t xml:space="preserve"> http://www.aavid.com.cn/zh-hans/product-group/standard</t>
    </r>
  </si>
  <si>
    <t>三、磁芯及骨架选择</t>
  </si>
  <si>
    <t>磁芯材料类型</t>
  </si>
  <si>
    <t>PC44</t>
  </si>
  <si>
    <t>μi</t>
  </si>
  <si>
    <t>H/m</t>
  </si>
  <si>
    <t xml:space="preserve">磁芯的初始磁导率，误差范围 ± 25%  </t>
  </si>
  <si>
    <t>Pvc</t>
  </si>
  <si>
    <t xml:space="preserve">KW/m3 </t>
  </si>
  <si>
    <r>
      <rPr>
        <sz val="10"/>
        <rFont val="宋体"/>
        <charset val="134"/>
      </rPr>
      <t>磁芯损耗 @100KHZ ,100</t>
    </r>
    <r>
      <rPr>
        <sz val="10"/>
        <rFont val="宋体"/>
        <charset val="134"/>
      </rPr>
      <t>℃，</t>
    </r>
    <r>
      <rPr>
        <sz val="10"/>
        <rFont val="宋体"/>
        <charset val="134"/>
      </rPr>
      <t>B = 200mT</t>
    </r>
  </si>
  <si>
    <t>Bs</t>
  </si>
  <si>
    <r>
      <rPr>
        <sz val="10"/>
        <rFont val="宋体"/>
        <charset val="134"/>
      </rPr>
      <t>m</t>
    </r>
    <r>
      <rPr>
        <sz val="10"/>
        <rFont val="宋体"/>
        <charset val="134"/>
      </rPr>
      <t>T</t>
    </r>
  </si>
  <si>
    <r>
      <rPr>
        <sz val="10"/>
        <rFont val="宋体"/>
        <charset val="134"/>
      </rPr>
      <t>磁芯的饱和磁通密度 @100</t>
    </r>
    <r>
      <rPr>
        <sz val="10"/>
        <rFont val="宋体"/>
        <charset val="134"/>
      </rPr>
      <t>℃</t>
    </r>
    <r>
      <rPr>
        <sz val="10"/>
        <rFont val="宋体"/>
        <charset val="134"/>
      </rPr>
      <t xml:space="preserve"> ,Tc = 215</t>
    </r>
    <r>
      <rPr>
        <sz val="10"/>
        <rFont val="宋体"/>
        <charset val="134"/>
      </rPr>
      <t>℃</t>
    </r>
  </si>
  <si>
    <t>Br</t>
  </si>
  <si>
    <r>
      <rPr>
        <sz val="10"/>
        <rFont val="宋体"/>
        <charset val="134"/>
      </rPr>
      <t>磁芯的剩余磁通密度 @100</t>
    </r>
    <r>
      <rPr>
        <sz val="10"/>
        <rFont val="宋体"/>
        <charset val="134"/>
      </rPr>
      <t>℃</t>
    </r>
    <r>
      <rPr>
        <sz val="10"/>
        <rFont val="宋体"/>
        <charset val="134"/>
      </rPr>
      <t xml:space="preserve"> ,Tc = 215</t>
    </r>
    <r>
      <rPr>
        <sz val="10"/>
        <rFont val="宋体"/>
        <charset val="134"/>
      </rPr>
      <t>℃</t>
    </r>
  </si>
  <si>
    <r>
      <rPr>
        <sz val="10"/>
        <rFont val="宋体"/>
        <charset val="134"/>
      </rPr>
      <t>△B</t>
    </r>
    <r>
      <rPr>
        <sz val="6"/>
        <rFont val="宋体"/>
        <charset val="134"/>
      </rPr>
      <t>MAX</t>
    </r>
  </si>
  <si>
    <r>
      <rPr>
        <sz val="10"/>
        <rFont val="宋体"/>
        <charset val="134"/>
      </rPr>
      <t>磁芯的最大交流磁通密度 △B</t>
    </r>
    <r>
      <rPr>
        <sz val="6"/>
        <rFont val="宋体"/>
        <charset val="134"/>
      </rPr>
      <t>MAX</t>
    </r>
    <r>
      <rPr>
        <sz val="10"/>
        <rFont val="宋体"/>
        <charset val="134"/>
      </rPr>
      <t>=Bs-Br</t>
    </r>
  </si>
  <si>
    <r>
      <rPr>
        <sz val="10"/>
        <rFont val="Arial"/>
        <charset val="134"/>
      </rPr>
      <t>B</t>
    </r>
    <r>
      <rPr>
        <sz val="6"/>
        <rFont val="Arial"/>
        <charset val="134"/>
      </rPr>
      <t>M</t>
    </r>
  </si>
  <si>
    <r>
      <rPr>
        <sz val="10"/>
        <rFont val="宋体"/>
        <charset val="134"/>
      </rPr>
      <t>磁芯的最大工作磁通密度 BM=(0.6~0.7)*△B</t>
    </r>
    <r>
      <rPr>
        <vertAlign val="subscript"/>
        <sz val="10"/>
        <rFont val="宋体"/>
        <charset val="134"/>
      </rPr>
      <t>MAX</t>
    </r>
  </si>
  <si>
    <r>
      <rPr>
        <sz val="10"/>
        <rFont val="Arial"/>
        <charset val="134"/>
      </rPr>
      <t>B</t>
    </r>
    <r>
      <rPr>
        <vertAlign val="subscript"/>
        <sz val="10"/>
        <rFont val="Arial"/>
        <charset val="134"/>
      </rPr>
      <t>AC</t>
    </r>
  </si>
  <si>
    <t>磁芯的交流磁通密度</t>
  </si>
  <si>
    <r>
      <rPr>
        <sz val="10"/>
        <rFont val="Arial"/>
        <charset val="134"/>
      </rPr>
      <t>K</t>
    </r>
    <r>
      <rPr>
        <sz val="6"/>
        <rFont val="Arial"/>
        <charset val="134"/>
      </rPr>
      <t>W</t>
    </r>
  </si>
  <si>
    <r>
      <rPr>
        <sz val="10"/>
        <rFont val="宋体"/>
        <charset val="134"/>
      </rPr>
      <t>窗口面积的利用系数 一般取K</t>
    </r>
    <r>
      <rPr>
        <vertAlign val="subscript"/>
        <sz val="10"/>
        <rFont val="宋体"/>
        <charset val="134"/>
      </rPr>
      <t>W</t>
    </r>
    <r>
      <rPr>
        <sz val="10"/>
        <rFont val="宋体"/>
        <charset val="134"/>
      </rPr>
      <t xml:space="preserve"> = 0．2</t>
    </r>
    <r>
      <rPr>
        <sz val="10"/>
        <rFont val="宋体"/>
        <charset val="134"/>
      </rPr>
      <t>～0．</t>
    </r>
    <r>
      <rPr>
        <sz val="10"/>
        <rFont val="宋体"/>
        <charset val="134"/>
      </rPr>
      <t>5</t>
    </r>
  </si>
  <si>
    <r>
      <rPr>
        <sz val="10"/>
        <rFont val="Arial"/>
        <charset val="134"/>
      </rPr>
      <t>A/cm</t>
    </r>
    <r>
      <rPr>
        <vertAlign val="superscript"/>
        <sz val="10"/>
        <rFont val="Arial"/>
        <charset val="134"/>
      </rPr>
      <t>2</t>
    </r>
  </si>
  <si>
    <t>电流密度 一般取J=200～600</t>
  </si>
  <si>
    <t>面积乘机法计算Ap</t>
  </si>
  <si>
    <r>
      <rPr>
        <sz val="10"/>
        <rFont val="Arial"/>
        <charset val="134"/>
      </rPr>
      <t>cm</t>
    </r>
    <r>
      <rPr>
        <vertAlign val="superscript"/>
        <sz val="10"/>
        <rFont val="Arial"/>
        <charset val="134"/>
      </rPr>
      <t>4</t>
    </r>
  </si>
  <si>
    <r>
      <rPr>
        <sz val="10"/>
        <rFont val="宋体"/>
        <charset val="134"/>
      </rPr>
      <t>基于AP法选择磁芯</t>
    </r>
    <r>
      <rPr>
        <sz val="10"/>
        <rFont val="宋体"/>
        <charset val="134"/>
      </rPr>
      <t xml:space="preserve">  </t>
    </r>
  </si>
  <si>
    <r>
      <rPr>
        <sz val="10"/>
        <rFont val="宋体"/>
        <charset val="134"/>
      </rPr>
      <t>功率估算法计算</t>
    </r>
    <r>
      <rPr>
        <sz val="11"/>
        <color theme="1"/>
        <rFont val="宋体"/>
        <charset val="134"/>
        <scheme val="minor"/>
      </rPr>
      <t>Ae(</t>
    </r>
    <r>
      <rPr>
        <sz val="10"/>
        <rFont val="宋体"/>
        <charset val="134"/>
      </rPr>
      <t>辅助</t>
    </r>
    <r>
      <rPr>
        <sz val="11"/>
        <color theme="1"/>
        <rFont val="宋体"/>
        <charset val="134"/>
        <scheme val="minor"/>
      </rPr>
      <t>)</t>
    </r>
  </si>
  <si>
    <r>
      <rPr>
        <sz val="10"/>
        <rFont val="Arial"/>
        <charset val="134"/>
      </rPr>
      <t>mm</t>
    </r>
    <r>
      <rPr>
        <vertAlign val="superscript"/>
        <sz val="10"/>
        <rFont val="Arial"/>
        <charset val="134"/>
      </rPr>
      <t>2</t>
    </r>
  </si>
  <si>
    <t>由估算公式选择适合的磁芯</t>
  </si>
  <si>
    <t>磁芯</t>
  </si>
  <si>
    <t>ER28/34</t>
  </si>
  <si>
    <t>选定的铁氧体磁芯型号</t>
  </si>
  <si>
    <t>Ap</t>
  </si>
  <si>
    <t>选定磁芯的有效截面积与窗口面积的乘积</t>
  </si>
  <si>
    <t>Ae</t>
  </si>
  <si>
    <t>选定磁芯的有效横截面积</t>
  </si>
  <si>
    <r>
      <rPr>
        <sz val="10"/>
        <rFont val="Arial"/>
        <charset val="134"/>
      </rPr>
      <t>A</t>
    </r>
    <r>
      <rPr>
        <sz val="6"/>
        <rFont val="Arial"/>
        <charset val="134"/>
      </rPr>
      <t>W</t>
    </r>
  </si>
  <si>
    <t>选定磁芯的窗口横截面积，也称卷线截面积</t>
  </si>
  <si>
    <t>AL</t>
  </si>
  <si>
    <r>
      <rPr>
        <sz val="10"/>
        <rFont val="Arial"/>
        <charset val="134"/>
      </rPr>
      <t>nH/N</t>
    </r>
    <r>
      <rPr>
        <vertAlign val="superscript"/>
        <sz val="10"/>
        <rFont val="Arial"/>
        <charset val="134"/>
      </rPr>
      <t>2</t>
    </r>
  </si>
  <si>
    <t>选定磁芯无气隙时的等效电感</t>
  </si>
  <si>
    <t>Le</t>
  </si>
  <si>
    <t>mm</t>
  </si>
  <si>
    <t>选定磁芯的有效磁路长度</t>
  </si>
  <si>
    <t>Ve</t>
  </si>
  <si>
    <r>
      <rPr>
        <sz val="10"/>
        <rFont val="Arial"/>
        <charset val="134"/>
      </rPr>
      <t>mm</t>
    </r>
    <r>
      <rPr>
        <vertAlign val="superscript"/>
        <sz val="10"/>
        <rFont val="Arial"/>
        <charset val="134"/>
      </rPr>
      <t>3</t>
    </r>
  </si>
  <si>
    <t>选定磁芯有效磁芯体积</t>
  </si>
  <si>
    <r>
      <rPr>
        <sz val="10"/>
        <rFont val="Arial"/>
        <charset val="134"/>
      </rPr>
      <t>P</t>
    </r>
    <r>
      <rPr>
        <sz val="6"/>
        <rFont val="Arial"/>
        <charset val="134"/>
      </rPr>
      <t>T</t>
    </r>
  </si>
  <si>
    <t>选定磁芯可承载的市在功率（典型值）</t>
  </si>
  <si>
    <t>选定磁芯中柱直径大小</t>
  </si>
  <si>
    <t>BW</t>
  </si>
  <si>
    <t>选定骨架幅宽</t>
  </si>
  <si>
    <t>选定骨架允许绕线深度</t>
  </si>
  <si>
    <t>四、变压器设计</t>
  </si>
  <si>
    <r>
      <rPr>
        <sz val="10"/>
        <rFont val="新宋体"/>
        <charset val="134"/>
      </rPr>
      <t>U</t>
    </r>
    <r>
      <rPr>
        <vertAlign val="subscript"/>
        <sz val="10"/>
        <rFont val="新宋体"/>
        <charset val="134"/>
      </rPr>
      <t>D</t>
    </r>
  </si>
  <si>
    <t>次级绕组肖特基整流管正向压降</t>
  </si>
  <si>
    <r>
      <rPr>
        <sz val="10"/>
        <rFont val="新宋体"/>
        <charset val="134"/>
      </rPr>
      <t>U</t>
    </r>
    <r>
      <rPr>
        <vertAlign val="subscript"/>
        <sz val="10"/>
        <rFont val="新宋体"/>
        <charset val="134"/>
      </rPr>
      <t>DB</t>
    </r>
  </si>
  <si>
    <t>反馈电路中高速开关整流管正向压降</t>
  </si>
  <si>
    <t>初次级匝数比</t>
  </si>
  <si>
    <r>
      <rPr>
        <sz val="10"/>
        <rFont val="Arial"/>
        <charset val="134"/>
      </rPr>
      <t>N</t>
    </r>
    <r>
      <rPr>
        <vertAlign val="subscript"/>
        <sz val="10"/>
        <rFont val="Arial"/>
        <charset val="134"/>
      </rPr>
      <t>P</t>
    </r>
    <r>
      <rPr>
        <sz val="10"/>
        <rFont val="宋体"/>
        <charset val="134"/>
      </rPr>
      <t>(计算数据)</t>
    </r>
  </si>
  <si>
    <t>匝</t>
  </si>
  <si>
    <t>初级绕组匝数</t>
  </si>
  <si>
    <r>
      <rPr>
        <sz val="10"/>
        <rFont val="Arial"/>
        <charset val="134"/>
      </rPr>
      <t>N</t>
    </r>
    <r>
      <rPr>
        <vertAlign val="subscript"/>
        <sz val="10"/>
        <rFont val="Arial"/>
        <charset val="134"/>
      </rPr>
      <t>P</t>
    </r>
    <r>
      <rPr>
        <sz val="10"/>
        <rFont val="宋体"/>
        <charset val="134"/>
      </rPr>
      <t>(实取)</t>
    </r>
  </si>
  <si>
    <r>
      <rPr>
        <sz val="10"/>
        <rFont val="Arial"/>
        <charset val="134"/>
      </rPr>
      <t>N</t>
    </r>
    <r>
      <rPr>
        <vertAlign val="subscript"/>
        <sz val="10"/>
        <rFont val="Arial"/>
        <charset val="134"/>
      </rPr>
      <t>S</t>
    </r>
  </si>
  <si>
    <t>次级绕组匝数</t>
  </si>
  <si>
    <t>实取</t>
  </si>
  <si>
    <r>
      <rPr>
        <sz val="10"/>
        <rFont val="Arial"/>
        <charset val="134"/>
      </rPr>
      <t>N</t>
    </r>
    <r>
      <rPr>
        <vertAlign val="subscript"/>
        <sz val="10"/>
        <rFont val="Arial"/>
        <charset val="134"/>
      </rPr>
      <t>B</t>
    </r>
    <r>
      <rPr>
        <sz val="10"/>
        <rFont val="宋体"/>
        <charset val="134"/>
      </rPr>
      <t>(计算数据)</t>
    </r>
  </si>
  <si>
    <t>反馈级绕组匝数</t>
  </si>
  <si>
    <r>
      <rPr>
        <sz val="10"/>
        <rFont val="Arial"/>
        <charset val="134"/>
      </rPr>
      <t>N</t>
    </r>
    <r>
      <rPr>
        <vertAlign val="subscript"/>
        <sz val="10"/>
        <rFont val="Arial"/>
        <charset val="134"/>
      </rPr>
      <t>B</t>
    </r>
    <r>
      <rPr>
        <sz val="10"/>
        <rFont val="宋体"/>
        <charset val="134"/>
      </rPr>
      <t>(实取)</t>
    </r>
  </si>
  <si>
    <r>
      <rPr>
        <b/>
        <sz val="12"/>
        <rFont val="宋体"/>
        <charset val="134"/>
      </rPr>
      <t>五、变压器设定验证：最大工作磁通密度</t>
    </r>
    <r>
      <rPr>
        <b/>
        <sz val="12"/>
        <rFont val="Arial"/>
        <charset val="134"/>
      </rPr>
      <t>BM</t>
    </r>
    <r>
      <rPr>
        <b/>
        <sz val="12"/>
        <rFont val="宋体"/>
        <charset val="134"/>
      </rPr>
      <t>，磁芯气隙</t>
    </r>
    <r>
      <rPr>
        <b/>
        <sz val="12"/>
        <rFont val="Arial"/>
        <charset val="134"/>
      </rPr>
      <t>LG</t>
    </r>
    <r>
      <rPr>
        <b/>
        <sz val="12"/>
        <rFont val="宋体"/>
        <charset val="134"/>
      </rPr>
      <t>，峰值磁通密度</t>
    </r>
    <r>
      <rPr>
        <b/>
        <sz val="12"/>
        <rFont val="Arial"/>
        <charset val="134"/>
      </rPr>
      <t>BP</t>
    </r>
  </si>
  <si>
    <t>KI</t>
  </si>
  <si>
    <t>选定的MOS芯片的电流降低因数KI</t>
  </si>
  <si>
    <r>
      <rPr>
        <sz val="10"/>
        <rFont val="Arial"/>
        <charset val="134"/>
      </rPr>
      <t>μ</t>
    </r>
    <r>
      <rPr>
        <vertAlign val="subscript"/>
        <sz val="10"/>
        <rFont val="Arial"/>
        <charset val="134"/>
      </rPr>
      <t>O</t>
    </r>
  </si>
  <si>
    <t>0.4π</t>
  </si>
  <si>
    <t>uH/m</t>
  </si>
  <si>
    <r>
      <rPr>
        <sz val="10"/>
        <rFont val="宋体"/>
        <charset val="134"/>
      </rPr>
      <t>真空中的磁导率</t>
    </r>
    <r>
      <rPr>
        <sz val="11"/>
        <color theme="1"/>
        <rFont val="宋体"/>
        <charset val="134"/>
        <scheme val="minor"/>
      </rPr>
      <t xml:space="preserve">  0.4</t>
    </r>
    <r>
      <rPr>
        <sz val="10"/>
        <rFont val="宋体"/>
        <charset val="134"/>
      </rPr>
      <t>π</t>
    </r>
    <r>
      <rPr>
        <sz val="11"/>
        <color theme="1"/>
        <rFont val="宋体"/>
        <charset val="134"/>
        <scheme val="minor"/>
      </rPr>
      <t xml:space="preserve"> X 10</t>
    </r>
    <r>
      <rPr>
        <vertAlign val="superscript"/>
        <sz val="10"/>
        <rFont val="Arial"/>
        <charset val="134"/>
      </rPr>
      <t xml:space="preserve">-6 </t>
    </r>
    <r>
      <rPr>
        <sz val="11"/>
        <color theme="1"/>
        <rFont val="宋体"/>
        <charset val="134"/>
        <scheme val="minor"/>
      </rPr>
      <t>H/m</t>
    </r>
  </si>
  <si>
    <r>
      <rPr>
        <sz val="10"/>
        <rFont val="Arial"/>
        <charset val="134"/>
      </rPr>
      <t>μ</t>
    </r>
    <r>
      <rPr>
        <vertAlign val="subscript"/>
        <sz val="10"/>
        <rFont val="Arial"/>
        <charset val="134"/>
      </rPr>
      <t>r</t>
    </r>
  </si>
  <si>
    <t>磁芯不留间隙时的相对磁导率</t>
  </si>
  <si>
    <r>
      <rPr>
        <sz val="10"/>
        <rFont val="Arial"/>
        <charset val="134"/>
      </rPr>
      <t>A</t>
    </r>
    <r>
      <rPr>
        <vertAlign val="subscript"/>
        <sz val="10"/>
        <rFont val="Arial"/>
        <charset val="134"/>
      </rPr>
      <t>LG</t>
    </r>
  </si>
  <si>
    <t>磁芯留间隙时的电感系数</t>
  </si>
  <si>
    <t>Lg</t>
  </si>
  <si>
    <t>磁芯气隙宽度</t>
  </si>
  <si>
    <r>
      <rPr>
        <sz val="10"/>
        <rFont val="Arial"/>
        <charset val="134"/>
      </rPr>
      <t>B</t>
    </r>
    <r>
      <rPr>
        <vertAlign val="subscript"/>
        <sz val="10"/>
        <rFont val="Arial"/>
        <charset val="134"/>
      </rPr>
      <t>M</t>
    </r>
  </si>
  <si>
    <r>
      <rPr>
        <sz val="10"/>
        <rFont val="宋体"/>
        <charset val="134"/>
      </rPr>
      <t>锰锌铁氧体磁芯最大工作磁通密度验证值,建议(0.2&lt;B</t>
    </r>
    <r>
      <rPr>
        <vertAlign val="subscript"/>
        <sz val="10"/>
        <rFont val="宋体"/>
        <charset val="134"/>
      </rPr>
      <t>M</t>
    </r>
    <r>
      <rPr>
        <sz val="10"/>
        <rFont val="宋体"/>
        <charset val="134"/>
      </rPr>
      <t>&lt;0.3)</t>
    </r>
  </si>
  <si>
    <r>
      <rPr>
        <sz val="10"/>
        <rFont val="Arial"/>
        <charset val="134"/>
      </rPr>
      <t>B</t>
    </r>
    <r>
      <rPr>
        <vertAlign val="subscript"/>
        <sz val="10"/>
        <rFont val="Arial"/>
        <charset val="134"/>
      </rPr>
      <t>P</t>
    </r>
  </si>
  <si>
    <r>
      <rPr>
        <sz val="10"/>
        <rFont val="宋体"/>
        <charset val="134"/>
      </rPr>
      <t>锰锌铁氧体磁芯最大峰值磁通密度验证值</t>
    </r>
    <r>
      <rPr>
        <sz val="11"/>
        <color theme="1"/>
        <rFont val="宋体"/>
        <charset val="134"/>
        <scheme val="minor"/>
      </rPr>
      <t>(BP=0.1</t>
    </r>
    <r>
      <rPr>
        <sz val="10"/>
        <rFont val="宋体"/>
        <charset val="134"/>
      </rPr>
      <t>～</t>
    </r>
    <r>
      <rPr>
        <sz val="11"/>
        <color theme="1"/>
        <rFont val="宋体"/>
        <charset val="134"/>
        <scheme val="minor"/>
      </rPr>
      <t>BP</t>
    </r>
    <r>
      <rPr>
        <sz val="10"/>
        <rFont val="宋体"/>
        <charset val="134"/>
      </rPr>
      <t>推荐值</t>
    </r>
    <r>
      <rPr>
        <sz val="11"/>
        <color theme="1"/>
        <rFont val="宋体"/>
        <charset val="134"/>
        <scheme val="minor"/>
      </rPr>
      <t>)</t>
    </r>
  </si>
  <si>
    <r>
      <rPr>
        <b/>
        <sz val="12"/>
        <rFont val="宋体"/>
        <charset val="134"/>
      </rPr>
      <t>六、设定初级绕组的层数</t>
    </r>
    <r>
      <rPr>
        <b/>
        <sz val="12"/>
        <rFont val="Arial"/>
        <charset val="134"/>
      </rPr>
      <t>LP</t>
    </r>
    <r>
      <rPr>
        <b/>
        <sz val="12"/>
        <rFont val="宋体"/>
        <charset val="134"/>
      </rPr>
      <t>以及初级绕组圈数股数</t>
    </r>
    <r>
      <rPr>
        <b/>
        <sz val="12"/>
        <rFont val="Arial"/>
        <charset val="134"/>
      </rPr>
      <t>Pp</t>
    </r>
  </si>
  <si>
    <r>
      <rPr>
        <sz val="10"/>
        <rFont val="Arial"/>
        <charset val="134"/>
      </rPr>
      <t>D</t>
    </r>
    <r>
      <rPr>
        <vertAlign val="subscript"/>
        <sz val="10"/>
        <rFont val="Arial"/>
        <charset val="134"/>
      </rPr>
      <t>fm</t>
    </r>
  </si>
  <si>
    <t>趋肤效应穿透深度</t>
  </si>
  <si>
    <r>
      <rPr>
        <sz val="10"/>
        <rFont val="Arial"/>
        <charset val="134"/>
      </rPr>
      <t>D</t>
    </r>
    <r>
      <rPr>
        <vertAlign val="subscript"/>
        <sz val="10"/>
        <rFont val="Arial"/>
        <charset val="134"/>
      </rPr>
      <t>m</t>
    </r>
  </si>
  <si>
    <r>
      <rPr>
        <sz val="10"/>
        <rFont val="宋体"/>
        <charset val="134"/>
      </rPr>
      <t>单股最大裸线线径</t>
    </r>
    <r>
      <rPr>
        <sz val="11"/>
        <color theme="1"/>
        <rFont val="宋体"/>
        <charset val="134"/>
        <scheme val="minor"/>
      </rPr>
      <t>(</t>
    </r>
    <r>
      <rPr>
        <sz val="10"/>
        <rFont val="宋体"/>
        <charset val="134"/>
      </rPr>
      <t>避免趋肤效应</t>
    </r>
    <r>
      <rPr>
        <sz val="11"/>
        <color theme="1"/>
        <rFont val="宋体"/>
        <charset val="134"/>
        <scheme val="minor"/>
      </rPr>
      <t>)   Dm = Dfm*2</t>
    </r>
  </si>
  <si>
    <t>安全边距</t>
  </si>
  <si>
    <r>
      <rPr>
        <sz val="10"/>
        <rFont val="Arial"/>
        <charset val="134"/>
      </rPr>
      <t>OD</t>
    </r>
    <r>
      <rPr>
        <vertAlign val="subscript"/>
        <sz val="10"/>
        <rFont val="Arial"/>
        <charset val="134"/>
      </rPr>
      <t>P</t>
    </r>
    <r>
      <rPr>
        <sz val="11"/>
        <color theme="1"/>
        <rFont val="宋体"/>
        <charset val="134"/>
        <scheme val="minor"/>
      </rPr>
      <t>(</t>
    </r>
    <r>
      <rPr>
        <sz val="10"/>
        <rFont val="宋体"/>
        <charset val="134"/>
      </rPr>
      <t>单股等效</t>
    </r>
    <r>
      <rPr>
        <sz val="11"/>
        <color theme="1"/>
        <rFont val="宋体"/>
        <charset val="134"/>
        <scheme val="minor"/>
      </rPr>
      <t>)</t>
    </r>
    <r>
      <rPr>
        <vertAlign val="subscript"/>
        <sz val="10"/>
        <rFont val="Arial"/>
        <charset val="134"/>
      </rPr>
      <t>MIN</t>
    </r>
  </si>
  <si>
    <t>最大电流密度时需要的初级绕组导线等效单股最小裸直径</t>
  </si>
  <si>
    <r>
      <rPr>
        <sz val="10"/>
        <rFont val="Arial"/>
        <charset val="134"/>
      </rPr>
      <t>OD</t>
    </r>
    <r>
      <rPr>
        <vertAlign val="subscript"/>
        <sz val="10"/>
        <rFont val="Arial"/>
        <charset val="134"/>
      </rPr>
      <t>P</t>
    </r>
    <r>
      <rPr>
        <sz val="11"/>
        <color theme="1"/>
        <rFont val="宋体"/>
        <charset val="134"/>
        <scheme val="minor"/>
      </rPr>
      <t>(</t>
    </r>
    <r>
      <rPr>
        <sz val="10"/>
        <rFont val="宋体"/>
        <charset val="134"/>
      </rPr>
      <t>单股等效</t>
    </r>
    <r>
      <rPr>
        <sz val="11"/>
        <color theme="1"/>
        <rFont val="宋体"/>
        <charset val="134"/>
        <scheme val="minor"/>
      </rPr>
      <t>)</t>
    </r>
    <r>
      <rPr>
        <vertAlign val="subscript"/>
        <sz val="10"/>
        <rFont val="Arial"/>
        <charset val="134"/>
      </rPr>
      <t>MAX</t>
    </r>
  </si>
  <si>
    <t>最小电流密度时需要的初级绕组导线等效单股最大裸直径</t>
  </si>
  <si>
    <r>
      <rPr>
        <sz val="10"/>
        <rFont val="Arial"/>
        <charset val="134"/>
      </rPr>
      <t>P</t>
    </r>
    <r>
      <rPr>
        <vertAlign val="subscript"/>
        <sz val="10"/>
        <rFont val="Arial"/>
        <charset val="134"/>
      </rPr>
      <t>PMIN</t>
    </r>
    <r>
      <rPr>
        <sz val="11"/>
        <color theme="1"/>
        <rFont val="宋体"/>
        <charset val="134"/>
        <scheme val="minor"/>
      </rPr>
      <t>(CMA</t>
    </r>
    <r>
      <rPr>
        <vertAlign val="subscript"/>
        <sz val="10"/>
        <rFont val="Arial"/>
        <charset val="134"/>
      </rPr>
      <t>MIN</t>
    </r>
    <r>
      <rPr>
        <sz val="11"/>
        <color theme="1"/>
        <rFont val="宋体"/>
        <charset val="134"/>
        <scheme val="minor"/>
      </rPr>
      <t>)</t>
    </r>
  </si>
  <si>
    <t>股</t>
  </si>
  <si>
    <t>最大电流密度时需要的初级绕组导线最小股数要求</t>
  </si>
  <si>
    <r>
      <rPr>
        <sz val="10"/>
        <rFont val="Arial"/>
        <charset val="134"/>
      </rPr>
      <t>P</t>
    </r>
    <r>
      <rPr>
        <vertAlign val="subscript"/>
        <sz val="10"/>
        <rFont val="Arial"/>
        <charset val="134"/>
      </rPr>
      <t>PMIN</t>
    </r>
    <r>
      <rPr>
        <sz val="11"/>
        <color theme="1"/>
        <rFont val="宋体"/>
        <charset val="134"/>
        <scheme val="minor"/>
      </rPr>
      <t>(CMA</t>
    </r>
    <r>
      <rPr>
        <vertAlign val="subscript"/>
        <sz val="10"/>
        <rFont val="Arial"/>
        <charset val="134"/>
      </rPr>
      <t>MAX</t>
    </r>
    <r>
      <rPr>
        <sz val="11"/>
        <color theme="1"/>
        <rFont val="宋体"/>
        <charset val="134"/>
        <scheme val="minor"/>
      </rPr>
      <t>)</t>
    </r>
  </si>
  <si>
    <t>最小电流密度时需要的初级绕组导线最小股数要求</t>
  </si>
  <si>
    <t>Pp</t>
  </si>
  <si>
    <t>选定的初级绕组导线股数</t>
  </si>
  <si>
    <r>
      <rPr>
        <sz val="10"/>
        <rFont val="Arial"/>
        <charset val="134"/>
      </rPr>
      <t>OD(MIN)</t>
    </r>
    <r>
      <rPr>
        <vertAlign val="subscript"/>
        <sz val="10"/>
        <rFont val="Arial"/>
        <charset val="134"/>
      </rPr>
      <t>P</t>
    </r>
  </si>
  <si>
    <t>需要的初级绕组单股导线的最小裸直径</t>
  </si>
  <si>
    <r>
      <rPr>
        <sz val="10"/>
        <rFont val="Arial"/>
        <charset val="134"/>
      </rPr>
      <t>OD(MAX)</t>
    </r>
    <r>
      <rPr>
        <vertAlign val="subscript"/>
        <sz val="10"/>
        <rFont val="Arial"/>
        <charset val="134"/>
      </rPr>
      <t>P</t>
    </r>
  </si>
  <si>
    <t xml:space="preserve">需要的初级绕组单股导线的最大裸直径 </t>
  </si>
  <si>
    <r>
      <rPr>
        <sz val="10"/>
        <rFont val="Arial"/>
        <charset val="134"/>
      </rPr>
      <t>OD(</t>
    </r>
    <r>
      <rPr>
        <sz val="10"/>
        <rFont val="宋体"/>
        <charset val="134"/>
      </rPr>
      <t>内</t>
    </r>
    <r>
      <rPr>
        <sz val="11"/>
        <color theme="1"/>
        <rFont val="宋体"/>
        <charset val="134"/>
        <scheme val="minor"/>
      </rPr>
      <t>)</t>
    </r>
    <r>
      <rPr>
        <vertAlign val="subscript"/>
        <sz val="10"/>
        <rFont val="Arial"/>
        <charset val="134"/>
      </rPr>
      <t>P</t>
    </r>
  </si>
  <si>
    <t>选取初级绕组单股导线的裸直径</t>
  </si>
  <si>
    <r>
      <rPr>
        <sz val="10"/>
        <rFont val="Arial"/>
        <charset val="134"/>
      </rPr>
      <t>OD(</t>
    </r>
    <r>
      <rPr>
        <sz val="10"/>
        <rFont val="宋体"/>
        <charset val="134"/>
      </rPr>
      <t>外</t>
    </r>
    <r>
      <rPr>
        <sz val="11"/>
        <color theme="1"/>
        <rFont val="宋体"/>
        <charset val="134"/>
        <scheme val="minor"/>
      </rPr>
      <t>)</t>
    </r>
    <r>
      <rPr>
        <vertAlign val="subscript"/>
        <sz val="10"/>
        <rFont val="Arial"/>
        <charset val="134"/>
      </rPr>
      <t>P</t>
    </r>
  </si>
  <si>
    <t>选取初级绕组单股导线的外径大小</t>
  </si>
  <si>
    <r>
      <rPr>
        <sz val="10"/>
        <rFont val="Arial"/>
        <charset val="134"/>
      </rPr>
      <t>L</t>
    </r>
    <r>
      <rPr>
        <vertAlign val="subscript"/>
        <sz val="10"/>
        <rFont val="Arial"/>
        <charset val="134"/>
      </rPr>
      <t>P</t>
    </r>
  </si>
  <si>
    <t>层</t>
  </si>
  <si>
    <t>初级绕组层数</t>
  </si>
  <si>
    <r>
      <rPr>
        <sz val="10"/>
        <rFont val="Arial"/>
        <charset val="134"/>
      </rPr>
      <t>LP(</t>
    </r>
    <r>
      <rPr>
        <sz val="10"/>
        <rFont val="宋体"/>
        <charset val="134"/>
      </rPr>
      <t>选定</t>
    </r>
    <r>
      <rPr>
        <sz val="11"/>
        <color theme="1"/>
        <rFont val="宋体"/>
        <charset val="134"/>
        <scheme val="minor"/>
      </rPr>
      <t>)</t>
    </r>
  </si>
  <si>
    <t>选定的初级绕组层数</t>
  </si>
  <si>
    <r>
      <rPr>
        <sz val="10"/>
        <rFont val="Arial"/>
        <charset val="134"/>
      </rPr>
      <t>CMA</t>
    </r>
    <r>
      <rPr>
        <vertAlign val="subscript"/>
        <sz val="10"/>
        <rFont val="Arial"/>
        <charset val="134"/>
      </rPr>
      <t>P</t>
    </r>
  </si>
  <si>
    <t>C.mils/ A</t>
  </si>
  <si>
    <r>
      <rPr>
        <sz val="10"/>
        <rFont val="宋体"/>
        <charset val="134"/>
      </rPr>
      <t>电流密度</t>
    </r>
    <r>
      <rPr>
        <sz val="11"/>
        <color theme="1"/>
        <rFont val="宋体"/>
        <charset val="134"/>
        <scheme val="minor"/>
      </rPr>
      <t>(CMA</t>
    </r>
    <r>
      <rPr>
        <sz val="10"/>
        <rFont val="宋体"/>
        <charset val="134"/>
      </rPr>
      <t>＝</t>
    </r>
    <r>
      <rPr>
        <sz val="11"/>
        <color theme="1"/>
        <rFont val="宋体"/>
        <charset val="134"/>
        <scheme val="minor"/>
      </rPr>
      <t>200</t>
    </r>
    <r>
      <rPr>
        <sz val="10"/>
        <rFont val="宋体"/>
        <charset val="134"/>
      </rPr>
      <t>～</t>
    </r>
    <r>
      <rPr>
        <sz val="11"/>
        <color theme="1"/>
        <rFont val="宋体"/>
        <charset val="134"/>
        <scheme val="minor"/>
      </rPr>
      <t>600c.m/ A)</t>
    </r>
  </si>
  <si>
    <r>
      <rPr>
        <b/>
        <sz val="12"/>
        <rFont val="宋体"/>
        <charset val="134"/>
      </rPr>
      <t>七、设定次级绕组的层数</t>
    </r>
    <r>
      <rPr>
        <b/>
        <sz val="12"/>
        <rFont val="Arial"/>
        <charset val="134"/>
      </rPr>
      <t>LS</t>
    </r>
    <r>
      <rPr>
        <b/>
        <sz val="12"/>
        <rFont val="宋体"/>
        <charset val="134"/>
      </rPr>
      <t>以及初级绕组圈数股数</t>
    </r>
    <r>
      <rPr>
        <b/>
        <sz val="12"/>
        <rFont val="Arial"/>
        <charset val="134"/>
      </rPr>
      <t>PS</t>
    </r>
  </si>
  <si>
    <r>
      <rPr>
        <sz val="10"/>
        <rFont val="Arial"/>
        <charset val="134"/>
      </rPr>
      <t>I</t>
    </r>
    <r>
      <rPr>
        <vertAlign val="subscript"/>
        <sz val="10"/>
        <rFont val="Arial"/>
        <charset val="134"/>
      </rPr>
      <t>SP</t>
    </r>
  </si>
  <si>
    <t>次级绕组峰值电流</t>
  </si>
  <si>
    <r>
      <rPr>
        <sz val="10"/>
        <rFont val="Arial"/>
        <charset val="134"/>
      </rPr>
      <t>I</t>
    </r>
    <r>
      <rPr>
        <vertAlign val="subscript"/>
        <sz val="10"/>
        <rFont val="Arial"/>
        <charset val="134"/>
      </rPr>
      <t>SRMS</t>
    </r>
  </si>
  <si>
    <t>次级绕组有效值电流</t>
  </si>
  <si>
    <r>
      <rPr>
        <sz val="10"/>
        <rFont val="Arial"/>
        <charset val="134"/>
      </rPr>
      <t>OD</t>
    </r>
    <r>
      <rPr>
        <vertAlign val="subscript"/>
        <sz val="10"/>
        <rFont val="Arial"/>
        <charset val="134"/>
      </rPr>
      <t>S</t>
    </r>
    <r>
      <rPr>
        <sz val="11"/>
        <color theme="1"/>
        <rFont val="宋体"/>
        <charset val="134"/>
        <scheme val="minor"/>
      </rPr>
      <t>(</t>
    </r>
    <r>
      <rPr>
        <sz val="10"/>
        <rFont val="宋体"/>
        <charset val="134"/>
      </rPr>
      <t>单股等效</t>
    </r>
    <r>
      <rPr>
        <sz val="11"/>
        <color theme="1"/>
        <rFont val="宋体"/>
        <charset val="134"/>
        <scheme val="minor"/>
      </rPr>
      <t>)</t>
    </r>
    <r>
      <rPr>
        <vertAlign val="subscript"/>
        <sz val="10"/>
        <rFont val="Arial"/>
        <charset val="134"/>
      </rPr>
      <t>MIN</t>
    </r>
  </si>
  <si>
    <t>最大电流密度时需要的次级绕组导线等效单股最小裸直径</t>
  </si>
  <si>
    <r>
      <rPr>
        <sz val="10"/>
        <rFont val="Arial"/>
        <charset val="134"/>
      </rPr>
      <t>OD</t>
    </r>
    <r>
      <rPr>
        <vertAlign val="subscript"/>
        <sz val="10"/>
        <rFont val="Arial"/>
        <charset val="134"/>
      </rPr>
      <t>S</t>
    </r>
    <r>
      <rPr>
        <sz val="11"/>
        <color theme="1"/>
        <rFont val="宋体"/>
        <charset val="134"/>
        <scheme val="minor"/>
      </rPr>
      <t>(</t>
    </r>
    <r>
      <rPr>
        <sz val="10"/>
        <rFont val="宋体"/>
        <charset val="134"/>
      </rPr>
      <t>单股等效</t>
    </r>
    <r>
      <rPr>
        <sz val="11"/>
        <color theme="1"/>
        <rFont val="宋体"/>
        <charset val="134"/>
        <scheme val="minor"/>
      </rPr>
      <t>)</t>
    </r>
    <r>
      <rPr>
        <vertAlign val="subscript"/>
        <sz val="10"/>
        <rFont val="Arial"/>
        <charset val="134"/>
      </rPr>
      <t>MAX</t>
    </r>
  </si>
  <si>
    <t>最小电流密度时需要的次级绕组导线等效单股最大裸直径</t>
  </si>
  <si>
    <r>
      <rPr>
        <sz val="10"/>
        <rFont val="Arial"/>
        <charset val="134"/>
      </rPr>
      <t>P</t>
    </r>
    <r>
      <rPr>
        <vertAlign val="subscript"/>
        <sz val="10"/>
        <rFont val="Arial"/>
        <charset val="134"/>
      </rPr>
      <t>SMIN</t>
    </r>
    <r>
      <rPr>
        <sz val="11"/>
        <color theme="1"/>
        <rFont val="宋体"/>
        <charset val="134"/>
        <scheme val="minor"/>
      </rPr>
      <t>(CMA</t>
    </r>
    <r>
      <rPr>
        <vertAlign val="subscript"/>
        <sz val="10"/>
        <rFont val="Arial"/>
        <charset val="134"/>
      </rPr>
      <t>MIN</t>
    </r>
    <r>
      <rPr>
        <sz val="11"/>
        <color theme="1"/>
        <rFont val="宋体"/>
        <charset val="134"/>
        <scheme val="minor"/>
      </rPr>
      <t>)</t>
    </r>
  </si>
  <si>
    <t>最大电流密度时需要的次级绕组导线最小股数要求</t>
  </si>
  <si>
    <r>
      <rPr>
        <sz val="10"/>
        <rFont val="Arial"/>
        <charset val="134"/>
      </rPr>
      <t>P</t>
    </r>
    <r>
      <rPr>
        <vertAlign val="subscript"/>
        <sz val="10"/>
        <rFont val="Arial"/>
        <charset val="134"/>
      </rPr>
      <t>SMIN</t>
    </r>
    <r>
      <rPr>
        <sz val="11"/>
        <color theme="1"/>
        <rFont val="宋体"/>
        <charset val="134"/>
        <scheme val="minor"/>
      </rPr>
      <t>(CMA</t>
    </r>
    <r>
      <rPr>
        <vertAlign val="subscript"/>
        <sz val="10"/>
        <rFont val="Arial"/>
        <charset val="134"/>
      </rPr>
      <t>MAX</t>
    </r>
    <r>
      <rPr>
        <sz val="11"/>
        <color theme="1"/>
        <rFont val="宋体"/>
        <charset val="134"/>
        <scheme val="minor"/>
      </rPr>
      <t>)</t>
    </r>
  </si>
  <si>
    <t>最小电流密度时需要的次级绕组导线最小股数要求</t>
  </si>
  <si>
    <r>
      <rPr>
        <sz val="10"/>
        <rFont val="Arial"/>
        <charset val="134"/>
      </rPr>
      <t>P</t>
    </r>
    <r>
      <rPr>
        <vertAlign val="subscript"/>
        <sz val="10"/>
        <rFont val="Arial"/>
        <charset val="134"/>
      </rPr>
      <t>S</t>
    </r>
  </si>
  <si>
    <t>选定的次级绕组导线股数</t>
  </si>
  <si>
    <r>
      <rPr>
        <sz val="10"/>
        <rFont val="Arial"/>
        <charset val="134"/>
      </rPr>
      <t>OD(MIN)</t>
    </r>
    <r>
      <rPr>
        <vertAlign val="subscript"/>
        <sz val="10"/>
        <rFont val="Arial"/>
        <charset val="134"/>
      </rPr>
      <t>S</t>
    </r>
  </si>
  <si>
    <t>需要的次级绕组单股导线的最小裸直径</t>
  </si>
  <si>
    <r>
      <rPr>
        <sz val="10"/>
        <rFont val="Arial"/>
        <charset val="134"/>
      </rPr>
      <t>OD(MAX)</t>
    </r>
    <r>
      <rPr>
        <vertAlign val="subscript"/>
        <sz val="10"/>
        <rFont val="Arial"/>
        <charset val="134"/>
      </rPr>
      <t>S</t>
    </r>
  </si>
  <si>
    <t>需要的次级绕组单股导线的最大裸直径</t>
  </si>
  <si>
    <r>
      <rPr>
        <sz val="10"/>
        <rFont val="Arial"/>
        <charset val="134"/>
      </rPr>
      <t>OD(</t>
    </r>
    <r>
      <rPr>
        <sz val="10"/>
        <rFont val="宋体"/>
        <charset val="134"/>
      </rPr>
      <t>内</t>
    </r>
    <r>
      <rPr>
        <sz val="11"/>
        <color theme="1"/>
        <rFont val="宋体"/>
        <charset val="134"/>
        <scheme val="minor"/>
      </rPr>
      <t>)</t>
    </r>
    <r>
      <rPr>
        <vertAlign val="subscript"/>
        <sz val="10"/>
        <rFont val="Arial"/>
        <charset val="134"/>
      </rPr>
      <t>S</t>
    </r>
  </si>
  <si>
    <t>选取次级绕组单股导线的裸直径</t>
  </si>
  <si>
    <r>
      <rPr>
        <sz val="10"/>
        <rFont val="Arial"/>
        <charset val="134"/>
      </rPr>
      <t>OD(</t>
    </r>
    <r>
      <rPr>
        <sz val="10"/>
        <rFont val="宋体"/>
        <charset val="134"/>
      </rPr>
      <t>外</t>
    </r>
    <r>
      <rPr>
        <sz val="11"/>
        <color theme="1"/>
        <rFont val="宋体"/>
        <charset val="134"/>
        <scheme val="minor"/>
      </rPr>
      <t>)</t>
    </r>
    <r>
      <rPr>
        <vertAlign val="subscript"/>
        <sz val="10"/>
        <rFont val="Arial"/>
        <charset val="134"/>
      </rPr>
      <t>S</t>
    </r>
  </si>
  <si>
    <t>选取次级绕组单股导线的外径大小</t>
  </si>
  <si>
    <r>
      <rPr>
        <sz val="10"/>
        <rFont val="Arial"/>
        <charset val="134"/>
      </rPr>
      <t>L</t>
    </r>
    <r>
      <rPr>
        <vertAlign val="subscript"/>
        <sz val="10"/>
        <rFont val="Arial"/>
        <charset val="134"/>
      </rPr>
      <t>S</t>
    </r>
  </si>
  <si>
    <t>次级绕组层数</t>
  </si>
  <si>
    <r>
      <rPr>
        <sz val="10"/>
        <rFont val="Arial"/>
        <charset val="134"/>
      </rPr>
      <t>CMA</t>
    </r>
    <r>
      <rPr>
        <vertAlign val="subscript"/>
        <sz val="10"/>
        <rFont val="Arial"/>
        <charset val="134"/>
      </rPr>
      <t>S</t>
    </r>
  </si>
  <si>
    <r>
      <rPr>
        <sz val="10"/>
        <rFont val="宋体"/>
        <charset val="134"/>
      </rPr>
      <t>电流密度</t>
    </r>
    <r>
      <rPr>
        <sz val="11"/>
        <color theme="1"/>
        <rFont val="宋体"/>
        <charset val="134"/>
        <scheme val="minor"/>
      </rPr>
      <t>(CMA</t>
    </r>
    <r>
      <rPr>
        <sz val="10"/>
        <rFont val="宋体"/>
        <charset val="134"/>
      </rPr>
      <t>＝</t>
    </r>
    <r>
      <rPr>
        <sz val="11"/>
        <color theme="1"/>
        <rFont val="宋体"/>
        <charset val="134"/>
        <scheme val="minor"/>
      </rPr>
      <t>200</t>
    </r>
    <r>
      <rPr>
        <sz val="10"/>
        <rFont val="宋体"/>
        <charset val="134"/>
      </rPr>
      <t>～</t>
    </r>
    <r>
      <rPr>
        <sz val="11"/>
        <color theme="1"/>
        <rFont val="宋体"/>
        <charset val="134"/>
        <scheme val="minor"/>
      </rPr>
      <t>500c.m/ A)</t>
    </r>
  </si>
  <si>
    <r>
      <rPr>
        <b/>
        <sz val="12"/>
        <rFont val="宋体"/>
        <charset val="134"/>
      </rPr>
      <t>八、选定反馈绕组的层数</t>
    </r>
    <r>
      <rPr>
        <b/>
        <sz val="12"/>
        <rFont val="Arial"/>
        <charset val="134"/>
      </rPr>
      <t>LB</t>
    </r>
    <r>
      <rPr>
        <b/>
        <sz val="12"/>
        <rFont val="宋体"/>
        <charset val="134"/>
      </rPr>
      <t>以及次级绕组圈数</t>
    </r>
    <r>
      <rPr>
        <b/>
        <sz val="12"/>
        <rFont val="Arial"/>
        <charset val="134"/>
      </rPr>
      <t>NB</t>
    </r>
  </si>
  <si>
    <r>
      <rPr>
        <sz val="10"/>
        <rFont val="Arial"/>
        <charset val="134"/>
      </rPr>
      <t>OD(MAX)</t>
    </r>
    <r>
      <rPr>
        <vertAlign val="subscript"/>
        <sz val="10"/>
        <rFont val="Arial"/>
        <charset val="134"/>
      </rPr>
      <t>B</t>
    </r>
  </si>
  <si>
    <t>需要的辅助绕组单股导线的最大裸直径</t>
  </si>
  <si>
    <r>
      <rPr>
        <sz val="10"/>
        <rFont val="Arial"/>
        <charset val="134"/>
      </rPr>
      <t>OD(</t>
    </r>
    <r>
      <rPr>
        <sz val="10"/>
        <rFont val="宋体"/>
        <charset val="134"/>
      </rPr>
      <t>内</t>
    </r>
    <r>
      <rPr>
        <sz val="11"/>
        <color theme="1"/>
        <rFont val="宋体"/>
        <charset val="134"/>
        <scheme val="minor"/>
      </rPr>
      <t>)</t>
    </r>
    <r>
      <rPr>
        <vertAlign val="subscript"/>
        <sz val="10"/>
        <rFont val="Arial"/>
        <charset val="134"/>
      </rPr>
      <t>B</t>
    </r>
  </si>
  <si>
    <t>选取反馈绕组单股导线的裸直径</t>
  </si>
  <si>
    <r>
      <rPr>
        <sz val="10"/>
        <rFont val="Arial"/>
        <charset val="134"/>
      </rPr>
      <t>OD(</t>
    </r>
    <r>
      <rPr>
        <sz val="10"/>
        <rFont val="宋体"/>
        <charset val="134"/>
      </rPr>
      <t>外</t>
    </r>
    <r>
      <rPr>
        <sz val="11"/>
        <color theme="1"/>
        <rFont val="宋体"/>
        <charset val="134"/>
        <scheme val="minor"/>
      </rPr>
      <t>)</t>
    </r>
    <r>
      <rPr>
        <vertAlign val="subscript"/>
        <sz val="10"/>
        <rFont val="Arial"/>
        <charset val="134"/>
      </rPr>
      <t>B</t>
    </r>
  </si>
  <si>
    <t>选取反馈绕组单股导线的外径大小</t>
  </si>
  <si>
    <r>
      <rPr>
        <sz val="10"/>
        <rFont val="Arial"/>
        <charset val="134"/>
      </rPr>
      <t>P</t>
    </r>
    <r>
      <rPr>
        <vertAlign val="subscript"/>
        <sz val="10"/>
        <rFont val="Arial"/>
        <charset val="134"/>
      </rPr>
      <t>B</t>
    </r>
  </si>
  <si>
    <t>选定的反馈绕组导线股数</t>
  </si>
  <si>
    <r>
      <rPr>
        <sz val="10"/>
        <rFont val="Arial"/>
        <charset val="134"/>
      </rPr>
      <t>L</t>
    </r>
    <r>
      <rPr>
        <vertAlign val="subscript"/>
        <sz val="10"/>
        <rFont val="Arial"/>
        <charset val="134"/>
      </rPr>
      <t>B</t>
    </r>
  </si>
  <si>
    <t>反馈绕组层数</t>
  </si>
  <si>
    <t>三层绝缘要求</t>
  </si>
  <si>
    <r>
      <rPr>
        <sz val="10"/>
        <rFont val="宋体"/>
        <charset val="134"/>
      </rPr>
      <t>三层绝缘要求：1代表是；</t>
    </r>
    <r>
      <rPr>
        <sz val="10"/>
        <rFont val="宋体"/>
        <charset val="134"/>
      </rPr>
      <t>0代表否</t>
    </r>
  </si>
  <si>
    <t>检测变压器绕线能否容下</t>
  </si>
  <si>
    <t>九、其他器件选择</t>
  </si>
  <si>
    <t>输入整流桥的选择</t>
  </si>
  <si>
    <r>
      <rPr>
        <sz val="10"/>
        <rFont val="新宋体"/>
        <charset val="134"/>
      </rPr>
      <t>UBR</t>
    </r>
    <r>
      <rPr>
        <sz val="6"/>
        <rFont val="新宋体"/>
        <charset val="134"/>
      </rPr>
      <t>MIN</t>
    </r>
  </si>
  <si>
    <t>整流二极管反向峰值电压要求 UBR≥1.25*√2 *VACMAX</t>
  </si>
  <si>
    <t>Id</t>
  </si>
  <si>
    <t>整流二极管平均整流电流要求</t>
  </si>
  <si>
    <t>UBR(选定)</t>
  </si>
  <si>
    <r>
      <rPr>
        <sz val="10"/>
        <rFont val="宋体"/>
        <charset val="134"/>
      </rPr>
      <t>选定整流桥U</t>
    </r>
    <r>
      <rPr>
        <sz val="10"/>
        <rFont val="宋体"/>
        <charset val="134"/>
      </rPr>
      <t>BR</t>
    </r>
  </si>
  <si>
    <t>Id(选定)</t>
  </si>
  <si>
    <r>
      <rPr>
        <sz val="10"/>
        <rFont val="宋体"/>
        <charset val="134"/>
      </rPr>
      <t>选定整流桥I</t>
    </r>
    <r>
      <rPr>
        <sz val="10"/>
        <rFont val="宋体"/>
        <charset val="134"/>
      </rPr>
      <t>d</t>
    </r>
  </si>
  <si>
    <t>检测整流桥选择的正确性</t>
  </si>
  <si>
    <t>次级绕组及反馈绕组整流管选择</t>
  </si>
  <si>
    <r>
      <rPr>
        <sz val="10"/>
        <rFont val="Arial"/>
        <charset val="134"/>
      </rPr>
      <t>PIV</t>
    </r>
    <r>
      <rPr>
        <vertAlign val="subscript"/>
        <sz val="10"/>
        <rFont val="Arial"/>
        <charset val="134"/>
      </rPr>
      <t>S</t>
    </r>
    <r>
      <rPr>
        <sz val="11"/>
        <color theme="1"/>
        <rFont val="宋体"/>
        <charset val="134"/>
        <scheme val="minor"/>
      </rPr>
      <t>(</t>
    </r>
    <r>
      <rPr>
        <sz val="10"/>
        <rFont val="宋体"/>
        <charset val="134"/>
      </rPr>
      <t>计算数据</t>
    </r>
    <r>
      <rPr>
        <sz val="11"/>
        <color theme="1"/>
        <rFont val="宋体"/>
        <charset val="134"/>
        <scheme val="minor"/>
      </rPr>
      <t>)</t>
    </r>
  </si>
  <si>
    <t>次级绕组整流管最高反向峰值电压</t>
  </si>
  <si>
    <r>
      <rPr>
        <sz val="10"/>
        <rFont val="Arial"/>
        <charset val="134"/>
      </rPr>
      <t>V</t>
    </r>
    <r>
      <rPr>
        <vertAlign val="subscript"/>
        <sz val="10"/>
        <rFont val="Arial"/>
        <charset val="134"/>
      </rPr>
      <t>RS</t>
    </r>
    <r>
      <rPr>
        <sz val="11"/>
        <color theme="1"/>
        <rFont val="宋体"/>
        <charset val="134"/>
        <scheme val="minor"/>
      </rPr>
      <t>(</t>
    </r>
    <r>
      <rPr>
        <sz val="10"/>
        <rFont val="宋体"/>
        <charset val="134"/>
      </rPr>
      <t>计算数据</t>
    </r>
    <r>
      <rPr>
        <sz val="11"/>
        <color theme="1"/>
        <rFont val="宋体"/>
        <charset val="134"/>
        <scheme val="minor"/>
      </rPr>
      <t>)</t>
    </r>
  </si>
  <si>
    <t>需要满足的次级绕组整流管反向电压额定值</t>
  </si>
  <si>
    <r>
      <rPr>
        <sz val="10"/>
        <rFont val="Arial"/>
        <charset val="134"/>
      </rPr>
      <t>I</t>
    </r>
    <r>
      <rPr>
        <vertAlign val="subscript"/>
        <sz val="10"/>
        <rFont val="Arial"/>
        <charset val="134"/>
      </rPr>
      <t>D</t>
    </r>
    <r>
      <rPr>
        <sz val="11"/>
        <color theme="1"/>
        <rFont val="宋体"/>
        <charset val="134"/>
        <scheme val="minor"/>
      </rPr>
      <t>(</t>
    </r>
    <r>
      <rPr>
        <sz val="10"/>
        <rFont val="宋体"/>
        <charset val="134"/>
      </rPr>
      <t>计算数据</t>
    </r>
    <r>
      <rPr>
        <sz val="11"/>
        <color theme="1"/>
        <rFont val="宋体"/>
        <charset val="134"/>
        <scheme val="minor"/>
      </rPr>
      <t>)</t>
    </r>
  </si>
  <si>
    <t>需要满足的次级绕组整流管直流电流额定值</t>
  </si>
  <si>
    <r>
      <rPr>
        <sz val="10"/>
        <rFont val="Arial"/>
        <charset val="134"/>
      </rPr>
      <t>V</t>
    </r>
    <r>
      <rPr>
        <vertAlign val="subscript"/>
        <sz val="10"/>
        <rFont val="Arial"/>
        <charset val="134"/>
      </rPr>
      <t>RS</t>
    </r>
    <r>
      <rPr>
        <sz val="11"/>
        <color theme="1"/>
        <rFont val="宋体"/>
        <charset val="134"/>
        <scheme val="minor"/>
      </rPr>
      <t>(</t>
    </r>
    <r>
      <rPr>
        <sz val="10"/>
        <rFont val="宋体"/>
        <charset val="134"/>
      </rPr>
      <t>实取</t>
    </r>
    <r>
      <rPr>
        <sz val="11"/>
        <color theme="1"/>
        <rFont val="宋体"/>
        <charset val="134"/>
        <scheme val="minor"/>
      </rPr>
      <t>)</t>
    </r>
  </si>
  <si>
    <t>选定的次级绕组整流管最高反向峰值电压</t>
  </si>
  <si>
    <t>选定的次级绕组整流管直流电流额定值</t>
  </si>
  <si>
    <r>
      <rPr>
        <sz val="10"/>
        <rFont val="Arial"/>
        <charset val="134"/>
      </rPr>
      <t>PIV</t>
    </r>
    <r>
      <rPr>
        <vertAlign val="subscript"/>
        <sz val="10"/>
        <rFont val="Arial"/>
        <charset val="134"/>
      </rPr>
      <t>B</t>
    </r>
    <r>
      <rPr>
        <sz val="10"/>
        <rFont val="宋体"/>
        <charset val="134"/>
      </rPr>
      <t>(计算数据)</t>
    </r>
  </si>
  <si>
    <t>反馈绕组整流管最高反向峰值电压</t>
  </si>
  <si>
    <r>
      <rPr>
        <sz val="10"/>
        <rFont val="Arial"/>
        <charset val="134"/>
      </rPr>
      <t>V</t>
    </r>
    <r>
      <rPr>
        <vertAlign val="subscript"/>
        <sz val="10"/>
        <rFont val="Arial"/>
        <charset val="134"/>
      </rPr>
      <t>RB</t>
    </r>
    <r>
      <rPr>
        <sz val="10"/>
        <rFont val="宋体"/>
        <charset val="134"/>
      </rPr>
      <t>(计算数据)</t>
    </r>
  </si>
  <si>
    <t>需要满足的反馈绕组整流管反向电压额定值</t>
  </si>
  <si>
    <r>
      <rPr>
        <sz val="10"/>
        <rFont val="Arial"/>
        <charset val="134"/>
      </rPr>
      <t>V</t>
    </r>
    <r>
      <rPr>
        <vertAlign val="subscript"/>
        <sz val="10"/>
        <rFont val="Arial"/>
        <charset val="134"/>
      </rPr>
      <t>RB</t>
    </r>
    <r>
      <rPr>
        <sz val="10"/>
        <rFont val="宋体"/>
        <charset val="134"/>
      </rPr>
      <t>(实取)</t>
    </r>
  </si>
  <si>
    <t>选定的反馈绕组整流管最高反向峰值电压</t>
  </si>
  <si>
    <t>检测次级绕组及反馈绕组整流管选择的正确性</t>
  </si>
  <si>
    <t>输出滤波电解电容的选择</t>
  </si>
  <si>
    <r>
      <rPr>
        <sz val="10"/>
        <rFont val="宋体"/>
        <charset val="134"/>
      </rPr>
      <t>V</t>
    </r>
    <r>
      <rPr>
        <vertAlign val="subscript"/>
        <sz val="10"/>
        <rFont val="宋体"/>
        <charset val="134"/>
      </rPr>
      <t>RIPPLE</t>
    </r>
  </si>
  <si>
    <t>设计需求中输出开关纹波电压的最大值,一般取1%*VO</t>
  </si>
  <si>
    <r>
      <rPr>
        <sz val="10"/>
        <rFont val="Arial"/>
        <charset val="134"/>
      </rPr>
      <t>I</t>
    </r>
    <r>
      <rPr>
        <vertAlign val="subscript"/>
        <sz val="10"/>
        <rFont val="Arial"/>
        <charset val="134"/>
      </rPr>
      <t>RIPPLE</t>
    </r>
    <r>
      <rPr>
        <sz val="10"/>
        <rFont val="宋体"/>
        <charset val="134"/>
      </rPr>
      <t>(计算数据)</t>
    </r>
  </si>
  <si>
    <t>输出滤波电容上的纹波电流</t>
  </si>
  <si>
    <r>
      <rPr>
        <sz val="10"/>
        <rFont val="宋体"/>
        <charset val="134"/>
      </rPr>
      <t>耐压V</t>
    </r>
    <r>
      <rPr>
        <vertAlign val="subscript"/>
        <sz val="10"/>
        <rFont val="宋体"/>
        <charset val="134"/>
      </rPr>
      <t>C</t>
    </r>
    <r>
      <rPr>
        <sz val="10"/>
        <rFont val="宋体"/>
        <charset val="134"/>
      </rPr>
      <t>(计算数据)</t>
    </r>
  </si>
  <si>
    <t>输出电容耐压要求，一般取1.25*VO</t>
  </si>
  <si>
    <r>
      <rPr>
        <sz val="10"/>
        <rFont val="宋体"/>
        <charset val="134"/>
      </rPr>
      <t>C</t>
    </r>
    <r>
      <rPr>
        <vertAlign val="subscript"/>
        <sz val="10"/>
        <rFont val="宋体"/>
        <charset val="134"/>
      </rPr>
      <t>MIN</t>
    </r>
    <r>
      <rPr>
        <sz val="10"/>
        <rFont val="宋体"/>
        <charset val="134"/>
      </rPr>
      <t>(计算数据)</t>
    </r>
  </si>
  <si>
    <t>输出电容容量最小值要求，Cmin = (ISP*DMAX)/(VRIPPLE*FS)</t>
  </si>
  <si>
    <r>
      <rPr>
        <sz val="10"/>
        <rFont val="宋体"/>
        <charset val="134"/>
      </rPr>
      <t>I</t>
    </r>
    <r>
      <rPr>
        <vertAlign val="subscript"/>
        <sz val="10"/>
        <rFont val="宋体"/>
        <charset val="134"/>
      </rPr>
      <t>RIPPLE</t>
    </r>
    <r>
      <rPr>
        <sz val="10"/>
        <rFont val="宋体"/>
        <charset val="134"/>
      </rPr>
      <t>(实取)</t>
    </r>
  </si>
  <si>
    <t>实际选取的输出电容纹波电流大小</t>
  </si>
  <si>
    <t>电容个数(实取)</t>
  </si>
  <si>
    <t>个</t>
  </si>
  <si>
    <t>实际选取的输出电容个数</t>
  </si>
  <si>
    <t>耐压VC(实取)</t>
  </si>
  <si>
    <t>实际选取的输出电容耐压大小</t>
  </si>
  <si>
    <t>容量C(实取)</t>
  </si>
  <si>
    <t>实际选取的输出电容容量大小</t>
  </si>
  <si>
    <t>检测输出滤波电解电容选择的正确性</t>
  </si>
  <si>
    <r>
      <rPr>
        <b/>
        <sz val="12"/>
        <rFont val="宋体"/>
        <charset val="134"/>
      </rPr>
      <t>初级R</t>
    </r>
    <r>
      <rPr>
        <b/>
        <sz val="12"/>
        <rFont val="宋体"/>
        <charset val="134"/>
      </rPr>
      <t>CD+Z钳位电路的确定</t>
    </r>
  </si>
  <si>
    <r>
      <rPr>
        <sz val="10"/>
        <rFont val="宋体"/>
        <charset val="134"/>
      </rPr>
      <t>实测初级漏感L</t>
    </r>
    <r>
      <rPr>
        <vertAlign val="subscript"/>
        <sz val="10"/>
        <rFont val="宋体"/>
        <charset val="134"/>
      </rPr>
      <t>LK</t>
    </r>
  </si>
  <si>
    <r>
      <rPr>
        <sz val="10"/>
        <rFont val="宋体"/>
        <charset val="134"/>
      </rPr>
      <t>实测初级漏感 L</t>
    </r>
    <r>
      <rPr>
        <vertAlign val="subscript"/>
        <sz val="10"/>
        <rFont val="宋体"/>
        <charset val="134"/>
      </rPr>
      <t>LK</t>
    </r>
    <r>
      <rPr>
        <sz val="10"/>
        <rFont val="宋体"/>
        <charset val="134"/>
      </rPr>
      <t xml:space="preserve"> 大小（</t>
    </r>
    <r>
      <rPr>
        <sz val="10"/>
        <rFont val="宋体"/>
        <charset val="134"/>
      </rPr>
      <t>LCR接近开关频率测量</t>
    </r>
    <r>
      <rPr>
        <sz val="10"/>
        <rFont val="宋体"/>
        <charset val="134"/>
      </rPr>
      <t>）</t>
    </r>
  </si>
  <si>
    <r>
      <rPr>
        <sz val="10"/>
        <rFont val="宋体"/>
        <charset val="134"/>
      </rPr>
      <t>漏感中储存的能量</t>
    </r>
    <r>
      <rPr>
        <sz val="11"/>
        <color theme="1"/>
        <rFont val="宋体"/>
        <charset val="134"/>
        <scheme val="minor"/>
      </rPr>
      <t>E</t>
    </r>
    <r>
      <rPr>
        <vertAlign val="subscript"/>
        <sz val="10"/>
        <rFont val="Arial"/>
        <charset val="134"/>
      </rPr>
      <t>LL</t>
    </r>
  </si>
  <si>
    <t>UJ</t>
  </si>
  <si>
    <r>
      <rPr>
        <sz val="10"/>
        <rFont val="宋体"/>
        <charset val="134"/>
      </rPr>
      <t>计算漏感中储存的能量</t>
    </r>
    <r>
      <rPr>
        <sz val="11"/>
        <color theme="1"/>
        <rFont val="宋体"/>
        <charset val="134"/>
        <scheme val="minor"/>
      </rPr>
      <t>E</t>
    </r>
    <r>
      <rPr>
        <vertAlign val="subscript"/>
        <sz val="10"/>
        <rFont val="Arial"/>
        <charset val="134"/>
      </rPr>
      <t>LL</t>
    </r>
  </si>
  <si>
    <r>
      <rPr>
        <sz val="10"/>
        <rFont val="宋体"/>
        <charset val="134"/>
      </rPr>
      <t>钳位电路的能量耗散E</t>
    </r>
    <r>
      <rPr>
        <vertAlign val="subscript"/>
        <sz val="10"/>
        <rFont val="宋体"/>
        <charset val="134"/>
      </rPr>
      <t>CLAMP</t>
    </r>
  </si>
  <si>
    <r>
      <rPr>
        <sz val="10"/>
        <rFont val="宋体"/>
        <charset val="134"/>
      </rPr>
      <t>计算钳位电路的能量耗散</t>
    </r>
    <r>
      <rPr>
        <sz val="11"/>
        <color theme="1"/>
        <rFont val="宋体"/>
        <charset val="134"/>
        <scheme val="minor"/>
      </rPr>
      <t>E</t>
    </r>
    <r>
      <rPr>
        <vertAlign val="subscript"/>
        <sz val="10"/>
        <rFont val="Arial"/>
        <charset val="134"/>
      </rPr>
      <t>CLAMP</t>
    </r>
  </si>
  <si>
    <r>
      <rPr>
        <sz val="10"/>
        <rFont val="宋体"/>
        <charset val="134"/>
      </rPr>
      <t>钳位电压</t>
    </r>
    <r>
      <rPr>
        <sz val="11"/>
        <color theme="1"/>
        <rFont val="宋体"/>
        <charset val="134"/>
        <scheme val="minor"/>
      </rPr>
      <t>Vmaxclamp</t>
    </r>
  </si>
  <si>
    <r>
      <rPr>
        <sz val="10"/>
        <rFont val="宋体"/>
        <charset val="134"/>
      </rPr>
      <t>计算钳位电压</t>
    </r>
    <r>
      <rPr>
        <sz val="11"/>
        <color theme="1"/>
        <rFont val="宋体"/>
        <charset val="134"/>
        <scheme val="minor"/>
      </rPr>
      <t>V</t>
    </r>
    <r>
      <rPr>
        <vertAlign val="subscript"/>
        <sz val="10"/>
        <rFont val="Arial"/>
        <charset val="134"/>
      </rPr>
      <t>maxclamp</t>
    </r>
  </si>
  <si>
    <r>
      <rPr>
        <sz val="10"/>
        <rFont val="宋体"/>
        <charset val="134"/>
      </rPr>
      <t>钳位电压</t>
    </r>
    <r>
      <rPr>
        <sz val="11"/>
        <color theme="1"/>
        <rFont val="宋体"/>
        <charset val="134"/>
        <scheme val="minor"/>
      </rPr>
      <t>Vminclamp</t>
    </r>
  </si>
  <si>
    <r>
      <rPr>
        <sz val="10"/>
        <rFont val="宋体"/>
        <charset val="134"/>
      </rPr>
      <t>计算钳位电压</t>
    </r>
    <r>
      <rPr>
        <sz val="11"/>
        <color theme="1"/>
        <rFont val="宋体"/>
        <charset val="134"/>
        <scheme val="minor"/>
      </rPr>
      <t>V</t>
    </r>
    <r>
      <rPr>
        <vertAlign val="subscript"/>
        <sz val="10"/>
        <rFont val="Arial"/>
        <charset val="134"/>
      </rPr>
      <t>minclamp</t>
    </r>
  </si>
  <si>
    <r>
      <rPr>
        <sz val="10"/>
        <rFont val="宋体"/>
        <charset val="134"/>
      </rPr>
      <t>钳位电压</t>
    </r>
    <r>
      <rPr>
        <sz val="10"/>
        <rFont val="宋体"/>
        <charset val="134"/>
      </rPr>
      <t>V</t>
    </r>
    <r>
      <rPr>
        <vertAlign val="subscript"/>
        <sz val="10"/>
        <rFont val="宋体"/>
        <charset val="134"/>
      </rPr>
      <t>CLAMP</t>
    </r>
  </si>
  <si>
    <r>
      <rPr>
        <sz val="10"/>
        <rFont val="宋体"/>
        <charset val="134"/>
      </rPr>
      <t>计算钳位电路的平均钳位电压</t>
    </r>
    <r>
      <rPr>
        <sz val="11"/>
        <color theme="1"/>
        <rFont val="宋体"/>
        <charset val="134"/>
        <scheme val="minor"/>
      </rPr>
      <t>Vclamp</t>
    </r>
  </si>
  <si>
    <r>
      <rPr>
        <sz val="10"/>
        <rFont val="宋体"/>
        <charset val="134"/>
      </rPr>
      <t>钳位电阻</t>
    </r>
    <r>
      <rPr>
        <sz val="11"/>
        <color theme="1"/>
        <rFont val="宋体"/>
        <charset val="134"/>
        <scheme val="minor"/>
      </rPr>
      <t>R</t>
    </r>
    <r>
      <rPr>
        <vertAlign val="subscript"/>
        <sz val="10"/>
        <rFont val="Arial"/>
        <charset val="134"/>
      </rPr>
      <t>CLAMP</t>
    </r>
  </si>
  <si>
    <t>KΩ</t>
  </si>
  <si>
    <r>
      <rPr>
        <sz val="10"/>
        <rFont val="宋体"/>
        <charset val="134"/>
      </rPr>
      <t>计算钳位电阻R</t>
    </r>
    <r>
      <rPr>
        <vertAlign val="subscript"/>
        <sz val="10"/>
        <rFont val="宋体"/>
        <charset val="134"/>
      </rPr>
      <t>CLAMP</t>
    </r>
    <r>
      <rPr>
        <sz val="10"/>
        <rFont val="宋体"/>
        <charset val="134"/>
      </rPr>
      <t>大小</t>
    </r>
  </si>
  <si>
    <r>
      <rPr>
        <sz val="10"/>
        <rFont val="宋体"/>
        <charset val="134"/>
      </rPr>
      <t>钳位电阻功率P</t>
    </r>
    <r>
      <rPr>
        <vertAlign val="subscript"/>
        <sz val="10"/>
        <rFont val="宋体"/>
        <charset val="134"/>
      </rPr>
      <t>CLAMP</t>
    </r>
  </si>
  <si>
    <r>
      <rPr>
        <sz val="10"/>
        <rFont val="宋体"/>
        <charset val="134"/>
      </rPr>
      <t>计算钳位电阻功率</t>
    </r>
    <r>
      <rPr>
        <sz val="11"/>
        <color theme="1"/>
        <rFont val="宋体"/>
        <charset val="134"/>
        <scheme val="minor"/>
      </rPr>
      <t>P</t>
    </r>
    <r>
      <rPr>
        <vertAlign val="subscript"/>
        <sz val="10"/>
        <rFont val="Arial"/>
        <charset val="134"/>
      </rPr>
      <t>CLAMP</t>
    </r>
  </si>
  <si>
    <r>
      <rPr>
        <sz val="10"/>
        <rFont val="宋体"/>
        <charset val="134"/>
      </rPr>
      <t>钳位电容C</t>
    </r>
    <r>
      <rPr>
        <vertAlign val="subscript"/>
        <sz val="10"/>
        <rFont val="宋体"/>
        <charset val="134"/>
      </rPr>
      <t>CLAMP</t>
    </r>
  </si>
  <si>
    <t>NF</t>
  </si>
  <si>
    <r>
      <rPr>
        <sz val="10"/>
        <rFont val="宋体"/>
        <charset val="134"/>
      </rPr>
      <t>计算钳位电容</t>
    </r>
    <r>
      <rPr>
        <sz val="11"/>
        <color theme="1"/>
        <rFont val="宋体"/>
        <charset val="134"/>
        <scheme val="minor"/>
      </rPr>
      <t>C</t>
    </r>
    <r>
      <rPr>
        <vertAlign val="subscript"/>
        <sz val="10"/>
        <rFont val="Arial"/>
        <charset val="134"/>
      </rPr>
      <t>CLAMP</t>
    </r>
    <r>
      <rPr>
        <sz val="10"/>
        <rFont val="宋体"/>
        <charset val="134"/>
      </rPr>
      <t>大小</t>
    </r>
  </si>
  <si>
    <r>
      <rPr>
        <sz val="10"/>
        <rFont val="宋体"/>
        <charset val="134"/>
      </rPr>
      <t>钳位电容耐压C</t>
    </r>
    <r>
      <rPr>
        <vertAlign val="subscript"/>
        <sz val="10"/>
        <rFont val="宋体"/>
        <charset val="134"/>
      </rPr>
      <t>V</t>
    </r>
  </si>
  <si>
    <r>
      <rPr>
        <sz val="10"/>
        <rFont val="宋体"/>
        <charset val="134"/>
      </rPr>
      <t>计算钳位电容耐压</t>
    </r>
    <r>
      <rPr>
        <sz val="11"/>
        <color theme="1"/>
        <rFont val="宋体"/>
        <charset val="134"/>
        <scheme val="minor"/>
      </rPr>
      <t>C</t>
    </r>
    <r>
      <rPr>
        <vertAlign val="subscript"/>
        <sz val="10"/>
        <rFont val="Arial"/>
        <charset val="134"/>
      </rPr>
      <t>V</t>
    </r>
    <r>
      <rPr>
        <sz val="10"/>
        <rFont val="宋体"/>
        <charset val="134"/>
      </rPr>
      <t>大小</t>
    </r>
    <r>
      <rPr>
        <sz val="11"/>
        <color theme="1"/>
        <rFont val="宋体"/>
        <charset val="134"/>
        <scheme val="minor"/>
      </rPr>
      <t xml:space="preserve">  C</t>
    </r>
    <r>
      <rPr>
        <vertAlign val="subscript"/>
        <sz val="10"/>
        <rFont val="Arial"/>
        <charset val="134"/>
      </rPr>
      <t xml:space="preserve">V </t>
    </r>
    <r>
      <rPr>
        <sz val="11"/>
        <color theme="1"/>
        <rFont val="宋体"/>
        <charset val="134"/>
        <scheme val="minor"/>
      </rPr>
      <t>= 1.5*V</t>
    </r>
    <r>
      <rPr>
        <vertAlign val="subscript"/>
        <sz val="10"/>
        <rFont val="Arial"/>
        <charset val="134"/>
      </rPr>
      <t>MAXCLAMP</t>
    </r>
  </si>
  <si>
    <r>
      <rPr>
        <sz val="10"/>
        <rFont val="宋体"/>
        <charset val="134"/>
      </rPr>
      <t>TVS击穿电压V</t>
    </r>
    <r>
      <rPr>
        <vertAlign val="subscript"/>
        <sz val="10"/>
        <rFont val="宋体"/>
        <charset val="134"/>
      </rPr>
      <t>TVS</t>
    </r>
  </si>
  <si>
    <r>
      <rPr>
        <sz val="10"/>
        <rFont val="宋体"/>
        <charset val="134"/>
      </rPr>
      <t>计算TVS击穿电压大小V</t>
    </r>
    <r>
      <rPr>
        <vertAlign val="subscript"/>
        <sz val="10"/>
        <rFont val="宋体"/>
        <charset val="134"/>
      </rPr>
      <t>TVS</t>
    </r>
    <r>
      <rPr>
        <sz val="10"/>
        <rFont val="宋体"/>
        <charset val="134"/>
      </rPr>
      <t xml:space="preserve">  V</t>
    </r>
    <r>
      <rPr>
        <vertAlign val="subscript"/>
        <sz val="10"/>
        <rFont val="宋体"/>
        <charset val="134"/>
      </rPr>
      <t>TVS</t>
    </r>
    <r>
      <rPr>
        <sz val="10"/>
        <rFont val="宋体"/>
        <charset val="134"/>
      </rPr>
      <t xml:space="preserve"> = Vmaxclamp + 20 V </t>
    </r>
  </si>
  <si>
    <r>
      <rPr>
        <sz val="10"/>
        <rFont val="宋体"/>
        <charset val="134"/>
      </rPr>
      <t>TVS功率P</t>
    </r>
    <r>
      <rPr>
        <vertAlign val="subscript"/>
        <sz val="10"/>
        <rFont val="宋体"/>
        <charset val="134"/>
      </rPr>
      <t>TVS</t>
    </r>
  </si>
  <si>
    <r>
      <rPr>
        <sz val="10"/>
        <rFont val="宋体"/>
        <charset val="134"/>
      </rPr>
      <t>计算</t>
    </r>
    <r>
      <rPr>
        <sz val="11"/>
        <color theme="1"/>
        <rFont val="宋体"/>
        <charset val="134"/>
        <scheme val="minor"/>
      </rPr>
      <t>TVS</t>
    </r>
    <r>
      <rPr>
        <sz val="10"/>
        <rFont val="宋体"/>
        <charset val="134"/>
      </rPr>
      <t>功率</t>
    </r>
    <r>
      <rPr>
        <sz val="11"/>
        <color theme="1"/>
        <rFont val="宋体"/>
        <charset val="134"/>
        <scheme val="minor"/>
      </rPr>
      <t>P</t>
    </r>
    <r>
      <rPr>
        <vertAlign val="subscript"/>
        <sz val="10"/>
        <rFont val="Arial"/>
        <charset val="134"/>
      </rPr>
      <t>TVS</t>
    </r>
  </si>
  <si>
    <r>
      <rPr>
        <sz val="10"/>
        <rFont val="宋体"/>
        <charset val="134"/>
      </rPr>
      <t>阻断二极管反向电压V</t>
    </r>
    <r>
      <rPr>
        <vertAlign val="subscript"/>
        <sz val="10"/>
        <rFont val="宋体"/>
        <charset val="134"/>
      </rPr>
      <t>Z</t>
    </r>
  </si>
  <si>
    <r>
      <rPr>
        <sz val="10"/>
        <rFont val="宋体"/>
        <charset val="134"/>
      </rPr>
      <t>计算阻断二极管反向电压V</t>
    </r>
    <r>
      <rPr>
        <vertAlign val="subscript"/>
        <sz val="10"/>
        <rFont val="宋体"/>
        <charset val="134"/>
      </rPr>
      <t xml:space="preserve">Z   </t>
    </r>
    <r>
      <rPr>
        <sz val="10"/>
        <rFont val="宋体"/>
        <charset val="134"/>
      </rPr>
      <t>V</t>
    </r>
    <r>
      <rPr>
        <vertAlign val="subscript"/>
        <sz val="10"/>
        <rFont val="宋体"/>
        <charset val="134"/>
      </rPr>
      <t xml:space="preserve">Z </t>
    </r>
    <r>
      <rPr>
        <sz val="10"/>
        <rFont val="宋体"/>
        <charset val="134"/>
      </rPr>
      <t xml:space="preserve">= 1.5*Vmaxclamp  </t>
    </r>
  </si>
  <si>
    <r>
      <rPr>
        <sz val="10"/>
        <rFont val="宋体"/>
        <charset val="134"/>
      </rPr>
      <t>阻断二极管平均正向电流I</t>
    </r>
    <r>
      <rPr>
        <vertAlign val="subscript"/>
        <sz val="10"/>
        <rFont val="宋体"/>
        <charset val="134"/>
      </rPr>
      <t>Z</t>
    </r>
  </si>
  <si>
    <r>
      <rPr>
        <sz val="10"/>
        <rFont val="宋体"/>
        <charset val="134"/>
      </rPr>
      <t>计算阻断二极管平均正向电流</t>
    </r>
    <r>
      <rPr>
        <sz val="11"/>
        <color theme="1"/>
        <rFont val="宋体"/>
        <charset val="134"/>
        <scheme val="minor"/>
      </rPr>
      <t>IZ  I</t>
    </r>
    <r>
      <rPr>
        <vertAlign val="subscript"/>
        <sz val="10"/>
        <rFont val="Arial"/>
        <charset val="134"/>
      </rPr>
      <t>Z</t>
    </r>
    <r>
      <rPr>
        <sz val="11"/>
        <color theme="1"/>
        <rFont val="宋体"/>
        <charset val="134"/>
        <scheme val="minor"/>
      </rPr>
      <t xml:space="preserve"> = 0.5*I</t>
    </r>
    <r>
      <rPr>
        <vertAlign val="subscript"/>
        <sz val="10"/>
        <rFont val="Arial"/>
        <charset val="134"/>
      </rPr>
      <t>P</t>
    </r>
  </si>
  <si>
    <r>
      <rPr>
        <b/>
        <sz val="16"/>
        <rFont val="宋体"/>
        <charset val="134"/>
      </rPr>
      <t>过孔电流计算器</t>
    </r>
    <r>
      <rPr>
        <b/>
        <sz val="16"/>
        <rFont val="Arial"/>
        <charset val="134"/>
      </rPr>
      <t xml:space="preserve"> V2.0</t>
    </r>
  </si>
  <si>
    <t>最大温升</t>
  </si>
  <si>
    <t xml:space="preserve"> °C</t>
  </si>
  <si>
    <t>（需设定）</t>
  </si>
  <si>
    <t>由最大温升得过孔最大电流</t>
  </si>
  <si>
    <r>
      <rPr>
        <b/>
        <sz val="10"/>
        <rFont val="宋体"/>
        <charset val="134"/>
      </rPr>
      <t>每个过孔最大电流</t>
    </r>
    <r>
      <rPr>
        <b/>
        <sz val="10"/>
        <rFont val="Arial"/>
        <charset val="134"/>
      </rPr>
      <t>=</t>
    </r>
  </si>
  <si>
    <t>计算所需过孔最小数目</t>
  </si>
  <si>
    <r>
      <rPr>
        <b/>
        <sz val="10"/>
        <rFont val="宋体"/>
        <charset val="134"/>
      </rPr>
      <t>需要流过的电流（</t>
    </r>
    <r>
      <rPr>
        <b/>
        <sz val="10"/>
        <rFont val="Arial"/>
        <charset val="134"/>
      </rPr>
      <t>A</t>
    </r>
    <r>
      <rPr>
        <b/>
        <sz val="10"/>
        <rFont val="宋体"/>
        <charset val="134"/>
      </rPr>
      <t>）</t>
    </r>
    <r>
      <rPr>
        <b/>
        <sz val="10"/>
        <rFont val="Arial"/>
        <charset val="134"/>
      </rPr>
      <t xml:space="preserve">  </t>
    </r>
  </si>
  <si>
    <r>
      <rPr>
        <b/>
        <sz val="10"/>
        <rFont val="宋体"/>
        <charset val="134"/>
      </rPr>
      <t>最少需要过孔的数目</t>
    </r>
    <r>
      <rPr>
        <b/>
        <sz val="10"/>
        <rFont val="Arial"/>
        <charset val="134"/>
      </rPr>
      <t xml:space="preserve"> =</t>
    </r>
  </si>
  <si>
    <r>
      <rPr>
        <sz val="12"/>
        <rFont val="Arial"/>
        <charset val="134"/>
      </rPr>
      <t>mil</t>
    </r>
    <r>
      <rPr>
        <sz val="12"/>
        <rFont val="宋体"/>
        <charset val="134"/>
      </rPr>
      <t>密耳</t>
    </r>
  </si>
  <si>
    <t>毫米</t>
  </si>
  <si>
    <t>公英制换算</t>
  </si>
  <si>
    <t>微米</t>
  </si>
  <si>
    <t>Oz</t>
  </si>
  <si>
    <t>铜皮厚度，见上图（当微米数是36.5时，Oz=1.00）</t>
  </si>
  <si>
    <t>Please Note</t>
  </si>
  <si>
    <t>I have created the Via Calculator on information I found from various sources.</t>
  </si>
  <si>
    <t>The via calculator simply converts the drill size into its  Circumference And assumes this behaves the same as a trace</t>
  </si>
  <si>
    <t>Due to a lack of Data I cannot confirm the accuracy of this calculator (use as rough guide only).</t>
  </si>
  <si>
    <t>This means it is down to the User to determine its accuracy.</t>
  </si>
  <si>
    <t>Designed</t>
  </si>
  <si>
    <t xml:space="preserve">This Program was designed by Phillip Restall and is in no way connected with Aculab plc.          </t>
  </si>
  <si>
    <t>By</t>
  </si>
  <si>
    <t>Trace Width Calculator</t>
  </si>
  <si>
    <t>TRACE - CURRENT</t>
  </si>
  <si>
    <t xml:space="preserve"> CALCULATOR</t>
  </si>
  <si>
    <t>User Inputs:</t>
  </si>
  <si>
    <t xml:space="preserve">Designed by </t>
  </si>
  <si>
    <t>SATYA SHANKAR.G</t>
  </si>
  <si>
    <t>Current: I</t>
  </si>
  <si>
    <t>[Amps]</t>
  </si>
  <si>
    <t>AT&amp;S Ecad Technologies Pvt Ltd,</t>
  </si>
  <si>
    <r>
      <rPr>
        <sz val="11"/>
        <color indexed="8"/>
        <rFont val="宋体"/>
        <charset val="134"/>
        <scheme val="minor"/>
      </rPr>
      <t xml:space="preserve">Temperature Rise: </t>
    </r>
    <r>
      <rPr>
        <sz val="10"/>
        <rFont val="Arial"/>
        <charset val="134"/>
      </rPr>
      <t>▲</t>
    </r>
    <r>
      <rPr>
        <sz val="10"/>
        <rFont val="Arial"/>
        <charset val="134"/>
      </rPr>
      <t>T</t>
    </r>
  </si>
  <si>
    <t>[Degrees C]</t>
  </si>
  <si>
    <t>Bangalore.</t>
  </si>
  <si>
    <t>Conductor Thickness:  t</t>
  </si>
  <si>
    <t xml:space="preserve">[oz. per sq. ft.] </t>
  </si>
  <si>
    <t>Results:</t>
  </si>
  <si>
    <t>Internal Layer Results:</t>
  </si>
  <si>
    <t>Required Trace Width: Wi</t>
  </si>
  <si>
    <t xml:space="preserve">[Mils] </t>
  </si>
  <si>
    <t>Copper Area:</t>
  </si>
  <si>
    <t>[Square Mils]</t>
  </si>
  <si>
    <t>External Layer Results:</t>
  </si>
  <si>
    <t>Required Trace Width: We</t>
  </si>
  <si>
    <t>NOTE:</t>
  </si>
  <si>
    <t>These Formulas are approximations!</t>
  </si>
  <si>
    <t>They should not be used when a high degree of accuracy is required.</t>
  </si>
  <si>
    <t>Critical Signal Length Calculator</t>
  </si>
  <si>
    <t>Critical Signal Length</t>
  </si>
  <si>
    <t>Signal Rise Time :Tr</t>
  </si>
  <si>
    <t>[ns]</t>
  </si>
  <si>
    <t>Dielectric Constant of material :er</t>
  </si>
  <si>
    <t>Subtrate Material Selection.</t>
  </si>
  <si>
    <t>Type of Design:</t>
  </si>
  <si>
    <t>[Enter If ,MicroStrip=1,StripLine=2,DualStripLine=3]</t>
  </si>
  <si>
    <t>Maximum Length of a Trace(Without Return Path):Lmax</t>
  </si>
  <si>
    <t xml:space="preserve">[Inch's] </t>
  </si>
  <si>
    <t>Propagation Delay :tpd</t>
  </si>
  <si>
    <t>[ns/in]</t>
  </si>
  <si>
    <t>Wavelength in subtrate: λ</t>
  </si>
  <si>
    <t xml:space="preserve">[Meter] </t>
  </si>
  <si>
    <t>Tpd(MSL)</t>
  </si>
  <si>
    <t>Tpd(SL)</t>
  </si>
  <si>
    <t>Tpd(DSL)</t>
  </si>
  <si>
    <t>建议：使用表前请参阅说明。</t>
  </si>
  <si>
    <t>电 磁 软 铜 圆 漆 包 线 参 数 速 查 表</t>
  </si>
  <si>
    <t>[1] 速查区</t>
  </si>
  <si>
    <t>标称直径</t>
  </si>
  <si>
    <t>直径表中是否列出</t>
  </si>
  <si>
    <t>截面面積</t>
  </si>
  <si>
    <t>相似美，英规格</t>
  </si>
  <si>
    <r>
      <rPr>
        <sz val="10"/>
        <rFont val="宋体"/>
        <charset val="134"/>
      </rPr>
      <t>最大外径</t>
    </r>
    <r>
      <rPr>
        <sz val="10"/>
        <rFont val="Arial Narrow"/>
        <charset val="134"/>
      </rPr>
      <t xml:space="preserve"> </t>
    </r>
    <r>
      <rPr>
        <sz val="10"/>
        <rFont val="宋体"/>
        <charset val="134"/>
      </rPr>
      <t>Φmax/mm</t>
    </r>
  </si>
  <si>
    <r>
      <rPr>
        <sz val="10"/>
        <rFont val="宋体"/>
        <charset val="134"/>
      </rPr>
      <t>每米的电阻</t>
    </r>
    <r>
      <rPr>
        <sz val="10"/>
        <rFont val="Arial Narrow"/>
        <charset val="134"/>
      </rPr>
      <t xml:space="preserve"> </t>
    </r>
    <r>
      <rPr>
        <sz val="10"/>
        <rFont val="宋体"/>
        <charset val="134"/>
      </rPr>
      <t>Ro/Ω*m</t>
    </r>
    <r>
      <rPr>
        <vertAlign val="superscript"/>
        <sz val="10"/>
        <rFont val="宋体"/>
        <charset val="134"/>
      </rPr>
      <t>-1</t>
    </r>
  </si>
  <si>
    <t>千米重量</t>
  </si>
  <si>
    <r>
      <rPr>
        <sz val="10"/>
        <rFont val="宋体"/>
        <charset val="134"/>
      </rPr>
      <t>mm</t>
    </r>
    <r>
      <rPr>
        <vertAlign val="superscript"/>
        <sz val="10"/>
        <rFont val="Times New Roman"/>
        <charset val="134"/>
      </rPr>
      <t>2</t>
    </r>
  </si>
  <si>
    <t>1级</t>
  </si>
  <si>
    <t>2级</t>
  </si>
  <si>
    <t>3级</t>
  </si>
  <si>
    <t>标称值</t>
  </si>
  <si>
    <t>最小值</t>
  </si>
  <si>
    <t>最大值</t>
  </si>
  <si>
    <t>kg/km</t>
  </si>
  <si>
    <r>
      <rPr>
        <sz val="10"/>
        <color indexed="8"/>
        <rFont val="宋体"/>
        <charset val="134"/>
      </rPr>
      <t>预选电流密度</t>
    </r>
    <r>
      <rPr>
        <sz val="10"/>
        <color indexed="8"/>
        <rFont val="Times New Roman"/>
        <charset val="134"/>
      </rPr>
      <t xml:space="preserve"> J=</t>
    </r>
  </si>
  <si>
    <r>
      <rPr>
        <sz val="10"/>
        <rFont val="宋体"/>
        <charset val="134"/>
      </rPr>
      <t>2.0A/mm</t>
    </r>
    <r>
      <rPr>
        <vertAlign val="superscript"/>
        <sz val="10"/>
        <rFont val="Times New Roman"/>
        <charset val="134"/>
      </rPr>
      <t>2</t>
    </r>
  </si>
  <si>
    <r>
      <rPr>
        <sz val="10"/>
        <rFont val="宋体"/>
        <charset val="134"/>
      </rPr>
      <t>3.0A/mm</t>
    </r>
    <r>
      <rPr>
        <vertAlign val="superscript"/>
        <sz val="10"/>
        <rFont val="Times New Roman"/>
        <charset val="134"/>
      </rPr>
      <t>2</t>
    </r>
  </si>
  <si>
    <r>
      <rPr>
        <sz val="10"/>
        <rFont val="宋体"/>
        <charset val="134"/>
      </rPr>
      <t>4.0A/mm</t>
    </r>
    <r>
      <rPr>
        <vertAlign val="superscript"/>
        <sz val="10"/>
        <rFont val="Times New Roman"/>
        <charset val="134"/>
      </rPr>
      <t>2</t>
    </r>
  </si>
  <si>
    <r>
      <rPr>
        <sz val="10"/>
        <rFont val="宋体"/>
        <charset val="134"/>
      </rPr>
      <t>5.0A/mm</t>
    </r>
    <r>
      <rPr>
        <vertAlign val="superscript"/>
        <sz val="10"/>
        <rFont val="Times New Roman"/>
        <charset val="134"/>
      </rPr>
      <t>2</t>
    </r>
  </si>
  <si>
    <r>
      <rPr>
        <sz val="10"/>
        <rFont val="宋体"/>
        <charset val="134"/>
      </rPr>
      <t>6.0A/mm</t>
    </r>
    <r>
      <rPr>
        <vertAlign val="superscript"/>
        <sz val="10"/>
        <rFont val="Times New Roman"/>
        <charset val="134"/>
      </rPr>
      <t>2</t>
    </r>
  </si>
  <si>
    <r>
      <rPr>
        <sz val="10"/>
        <rFont val="宋体"/>
        <charset val="134"/>
      </rPr>
      <t>7.0A/mm</t>
    </r>
    <r>
      <rPr>
        <vertAlign val="superscript"/>
        <sz val="10"/>
        <rFont val="Times New Roman"/>
        <charset val="134"/>
      </rPr>
      <t>2</t>
    </r>
  </si>
  <si>
    <r>
      <rPr>
        <sz val="10"/>
        <rFont val="宋体"/>
        <charset val="134"/>
      </rPr>
      <t>7.5A/mm</t>
    </r>
    <r>
      <rPr>
        <vertAlign val="superscript"/>
        <sz val="10"/>
        <rFont val="Times New Roman"/>
        <charset val="134"/>
      </rPr>
      <t>2</t>
    </r>
  </si>
  <si>
    <r>
      <rPr>
        <sz val="10"/>
        <color indexed="8"/>
        <rFont val="宋体"/>
        <charset val="134"/>
      </rPr>
      <t>导线载流电流</t>
    </r>
    <r>
      <rPr>
        <sz val="10"/>
        <color indexed="8"/>
        <rFont val="Times New Roman"/>
        <charset val="134"/>
      </rPr>
      <t xml:space="preserve"> A=   </t>
    </r>
  </si>
  <si>
    <t>导线长度</t>
  </si>
  <si>
    <t>电阻 Ro：Ω/(20℃)</t>
  </si>
  <si>
    <t>参考重量</t>
  </si>
  <si>
    <t>安全卷线張力</t>
  </si>
  <si>
    <t>最大卷线張力</t>
  </si>
  <si>
    <t>米 - m</t>
  </si>
  <si>
    <t>kg</t>
  </si>
  <si>
    <t>（ｇ）</t>
  </si>
  <si>
    <t>max（ｇ）</t>
  </si>
  <si>
    <t>12] 在表中没有列出的线径的参考数据</t>
  </si>
  <si>
    <t>线径</t>
  </si>
  <si>
    <r>
      <rPr>
        <sz val="10"/>
        <rFont val="宋体"/>
        <charset val="134"/>
      </rPr>
      <t>截面面積-mm</t>
    </r>
    <r>
      <rPr>
        <vertAlign val="superscript"/>
        <sz val="9"/>
        <rFont val="宋体"/>
        <charset val="134"/>
      </rPr>
      <t>2</t>
    </r>
  </si>
  <si>
    <r>
      <rPr>
        <sz val="10"/>
        <rFont val="宋体"/>
        <charset val="134"/>
      </rPr>
      <t>每米电阻</t>
    </r>
    <r>
      <rPr>
        <sz val="10"/>
        <rFont val="Arial Narrow"/>
        <charset val="134"/>
      </rPr>
      <t>Ro/</t>
    </r>
    <r>
      <rPr>
        <sz val="10"/>
        <rFont val="宋体"/>
        <charset val="134"/>
      </rPr>
      <t>Ω</t>
    </r>
    <r>
      <rPr>
        <sz val="10"/>
        <rFont val="Arial Narrow"/>
        <charset val="134"/>
      </rPr>
      <t>*m</t>
    </r>
    <r>
      <rPr>
        <vertAlign val="superscript"/>
        <sz val="9"/>
        <rFont val="Arial Narrow"/>
        <charset val="134"/>
      </rPr>
      <t>-1</t>
    </r>
  </si>
  <si>
    <t>千米重量-kg/km</t>
  </si>
  <si>
    <r>
      <rPr>
        <sz val="11"/>
        <rFont val="宋体"/>
        <charset val="134"/>
      </rPr>
      <t xml:space="preserve">[3] </t>
    </r>
    <r>
      <rPr>
        <sz val="11"/>
        <color indexed="10"/>
        <rFont val="宋体"/>
        <charset val="134"/>
      </rPr>
      <t>最大电流允许值(不计趋肤效应，和表面允许温升所对应):</t>
    </r>
  </si>
  <si>
    <r>
      <rPr>
        <i/>
        <sz val="10"/>
        <rFont val="宋体"/>
        <charset val="134"/>
      </rPr>
      <t>导线表面</t>
    </r>
    <r>
      <rPr>
        <b/>
        <i/>
        <sz val="10"/>
        <rFont val="宋体"/>
        <charset val="134"/>
      </rPr>
      <t>温升 Δt/℃</t>
    </r>
  </si>
  <si>
    <t>[1]速查区</t>
  </si>
  <si>
    <t>电流  Amax</t>
  </si>
  <si>
    <t>漆包线寿命和表面温度</t>
  </si>
  <si>
    <r>
      <rPr>
        <sz val="9"/>
        <rFont val="宋体"/>
        <charset val="134"/>
      </rPr>
      <t>电流密度J</t>
    </r>
    <r>
      <rPr>
        <b/>
        <sz val="9"/>
        <rFont val="宋体"/>
        <charset val="134"/>
      </rPr>
      <t xml:space="preserve">: </t>
    </r>
    <r>
      <rPr>
        <sz val="9"/>
        <rFont val="宋体"/>
        <charset val="134"/>
      </rPr>
      <t>A/mm</t>
    </r>
    <r>
      <rPr>
        <vertAlign val="superscript"/>
        <sz val="8"/>
        <rFont val="宋体"/>
        <charset val="134"/>
      </rPr>
      <t>2</t>
    </r>
  </si>
  <si>
    <t>的关系可参考下面曲线</t>
  </si>
  <si>
    <t>[2]参考区</t>
  </si>
  <si>
    <r>
      <rPr>
        <b/>
        <sz val="9"/>
        <rFont val="宋体"/>
        <charset val="134"/>
      </rPr>
      <t>电流</t>
    </r>
    <r>
      <rPr>
        <b/>
        <sz val="9"/>
        <rFont val="Arial Narrow"/>
        <charset val="134"/>
      </rPr>
      <t xml:space="preserve">    </t>
    </r>
    <r>
      <rPr>
        <b/>
        <sz val="9"/>
        <rFont val="宋体"/>
        <charset val="134"/>
      </rPr>
      <t>Amax</t>
    </r>
  </si>
  <si>
    <t>漆包线的表面温度可以用</t>
  </si>
  <si>
    <r>
      <rPr>
        <sz val="10"/>
        <rFont val="宋体"/>
        <charset val="134"/>
      </rPr>
      <t>电流密度</t>
    </r>
    <r>
      <rPr>
        <sz val="9"/>
        <rFont val="Arial Narrow"/>
        <charset val="134"/>
      </rPr>
      <t>J</t>
    </r>
    <r>
      <rPr>
        <b/>
        <sz val="9"/>
        <rFont val="宋体"/>
        <charset val="134"/>
      </rPr>
      <t xml:space="preserve">: </t>
    </r>
    <r>
      <rPr>
        <sz val="9"/>
        <rFont val="宋体"/>
        <charset val="134"/>
      </rPr>
      <t>A/mm</t>
    </r>
    <r>
      <rPr>
        <vertAlign val="superscript"/>
        <sz val="8"/>
        <rFont val="宋体"/>
        <charset val="134"/>
      </rPr>
      <t>2</t>
    </r>
  </si>
  <si>
    <t>用环境温度加温升来近似</t>
  </si>
  <si>
    <r>
      <rPr>
        <sz val="10"/>
        <rFont val="宋体"/>
        <charset val="134"/>
      </rPr>
      <t>电磁软铜圆线直径表--</t>
    </r>
    <r>
      <rPr>
        <sz val="9"/>
        <rFont val="宋体"/>
        <charset val="134"/>
      </rPr>
      <t>红色数字无对应的AWG/SWG线号</t>
    </r>
  </si>
  <si>
    <t>表格使用说明：</t>
  </si>
  <si>
    <t>1。</t>
  </si>
  <si>
    <t>在速查区黄色框内写入要查找的线的线径_mm；导线长度框内写入线的长度；在速查区将自动列出有关的各项参数或数据。</t>
  </si>
  <si>
    <t>2。</t>
  </si>
  <si>
    <t>如果要查的线径不在列表内，则将其简要的数据列出在[2]和[3]的表内以供参考。</t>
  </si>
  <si>
    <t>3。</t>
  </si>
  <si>
    <t>电流会使导线发热，表[3]所列是导线在无风空间中，表面限定不同温升时计算的对应电流；供有关设计时参考。</t>
  </si>
  <si>
    <t>4。</t>
  </si>
  <si>
    <t>本表所列各项数据尽量参考标准数据，但不是标准，仅供工程设计或速算时参考。</t>
  </si>
  <si>
    <t>作成：</t>
  </si>
  <si>
    <t xml:space="preserve"> Du bao-m</t>
  </si>
  <si>
    <t>时间：</t>
  </si>
  <si>
    <t xml:space="preserve"> 2006-9-30</t>
  </si>
  <si>
    <t>1。基础数据：</t>
  </si>
  <si>
    <t>**不要随意改动数据**</t>
  </si>
  <si>
    <t>卷线时的导线张力</t>
  </si>
  <si>
    <t>2。逻辑运算：</t>
  </si>
  <si>
    <t>截面面积</t>
  </si>
  <si>
    <t>相似美规</t>
  </si>
  <si>
    <t>相似英规</t>
  </si>
  <si>
    <t>引張荷重</t>
  </si>
  <si>
    <t>安全張力</t>
  </si>
  <si>
    <t>最大張力</t>
  </si>
  <si>
    <t>Φn/mm</t>
  </si>
  <si>
    <t>mm2</t>
  </si>
  <si>
    <r>
      <rPr>
        <sz val="10"/>
        <rFont val="宋体"/>
        <charset val="134"/>
      </rPr>
      <t>max(</t>
    </r>
    <r>
      <rPr>
        <sz val="9"/>
        <rFont val="宋体"/>
        <charset val="134"/>
      </rPr>
      <t>ｇ)</t>
    </r>
  </si>
  <si>
    <t xml:space="preserve"> /</t>
  </si>
  <si>
    <t>查产品说明书</t>
  </si>
  <si>
    <t>5/0</t>
  </si>
  <si>
    <t>波长计算公式</t>
  </si>
  <si>
    <t xml:space="preserve">频率 = </t>
  </si>
  <si>
    <t>Ghz</t>
  </si>
  <si>
    <t xml:space="preserve">DK = </t>
  </si>
  <si>
    <t>mil</t>
  </si>
  <si>
    <t>inch</t>
  </si>
  <si>
    <t xml:space="preserve">波长 = </t>
  </si>
  <si>
    <t xml:space="preserve">半波长 = </t>
  </si>
  <si>
    <t>单位换算</t>
  </si>
  <si>
    <t>OPTION</t>
  </si>
  <si>
    <t>cm</t>
  </si>
  <si>
    <t>um</t>
  </si>
  <si>
    <t>趋肤深度计算</t>
  </si>
  <si>
    <t xml:space="preserve">F = </t>
  </si>
  <si>
    <t>(ghz)</t>
  </si>
  <si>
    <t>趋肤深度=</t>
  </si>
  <si>
    <t>频率范围计算</t>
  </si>
  <si>
    <t>频率（Mhz)</t>
  </si>
  <si>
    <t>PPM</t>
  </si>
  <si>
    <t>最低频率</t>
  </si>
  <si>
    <t>最高频率</t>
  </si>
  <si>
    <t>最小周期（ps）</t>
  </si>
  <si>
    <t>最大周期（ps）</t>
  </si>
  <si>
    <t>最小UI（ps）</t>
  </si>
  <si>
    <t>最大UI（ps）</t>
  </si>
  <si>
    <t>Pitch 计算公式</t>
  </si>
  <si>
    <t>Pitch(mm) ：</t>
  </si>
  <si>
    <t>频率周期换算公式</t>
  </si>
  <si>
    <t>GHz</t>
  </si>
  <si>
    <t>周期</t>
  </si>
  <si>
    <t>UI</t>
  </si>
  <si>
    <t>Tr</t>
  </si>
  <si>
    <t>ps</t>
  </si>
  <si>
    <t>ns</t>
  </si>
  <si>
    <t>us</t>
  </si>
  <si>
    <t>Mhz</t>
  </si>
  <si>
    <t>谐振点计算</t>
  </si>
  <si>
    <t>PN SKEW</t>
  </si>
  <si>
    <t>位置</t>
  </si>
  <si>
    <t>谐振点 (Ghz）</t>
  </si>
  <si>
    <t>同轴端口尺寸计算</t>
  </si>
  <si>
    <t>DK</t>
  </si>
  <si>
    <t>Z0 (Ohms)</t>
  </si>
  <si>
    <t>C （pf)</t>
  </si>
  <si>
    <t>L (nH)</t>
  </si>
  <si>
    <t>Cut-off Frequency (GHz)</t>
  </si>
  <si>
    <t>Zl</t>
  </si>
  <si>
    <t>时间计算</t>
  </si>
  <si>
    <t>单板MTBF计算书</t>
  </si>
  <si>
    <t>根据国际标准Telcordia SR-332 ISSUE II-2006数据得到，采用最新的失效率，利用计数法得到。</t>
  </si>
  <si>
    <t>器件类型</t>
  </si>
  <si>
    <t>类别</t>
  </si>
  <si>
    <t>电阻值</t>
  </si>
  <si>
    <t>电容值</t>
  </si>
  <si>
    <t>电流值</t>
  </si>
  <si>
    <t>失效率（FIT）</t>
  </si>
  <si>
    <t>器件数量</t>
  </si>
  <si>
    <t>合计失效率</t>
  </si>
  <si>
    <t>电阻</t>
  </si>
  <si>
    <t>R≤1MΩ</t>
  </si>
  <si>
    <t>R&gt;1MΩ</t>
  </si>
  <si>
    <t>热敏/压敏</t>
  </si>
  <si>
    <t>电位器</t>
  </si>
  <si>
    <t>排阻</t>
  </si>
  <si>
    <t>分流器</t>
  </si>
  <si>
    <t>电容</t>
  </si>
  <si>
    <t>陶瓷电容</t>
  </si>
  <si>
    <t>钽电容</t>
  </si>
  <si>
    <t>铝电解电容</t>
  </si>
  <si>
    <t>C≥400uF</t>
  </si>
  <si>
    <t>C&lt;400uF</t>
  </si>
  <si>
    <t>薄膜电容</t>
  </si>
  <si>
    <t>磁芯/磁珠</t>
  </si>
  <si>
    <t>电感</t>
  </si>
  <si>
    <t>变压器</t>
  </si>
  <si>
    <t>高频变压器</t>
  </si>
  <si>
    <t>互感器</t>
  </si>
  <si>
    <t>其它</t>
  </si>
  <si>
    <t>二极管</t>
  </si>
  <si>
    <t>I&lt;20A</t>
  </si>
  <si>
    <t>I≥20A</t>
  </si>
  <si>
    <t>三极管</t>
  </si>
  <si>
    <t>P≤0.6W</t>
  </si>
  <si>
    <t>0.6&lt;P≤6W</t>
  </si>
  <si>
    <t>P&gt;6W</t>
  </si>
  <si>
    <t>光耦</t>
  </si>
  <si>
    <t>运放</t>
  </si>
  <si>
    <t>晶振</t>
  </si>
  <si>
    <t>钟振</t>
  </si>
  <si>
    <t>MOSFET</t>
  </si>
  <si>
    <t>IGBT</t>
  </si>
  <si>
    <t>SCR</t>
  </si>
  <si>
    <t>IC</t>
  </si>
  <si>
    <t>气体放电管</t>
  </si>
  <si>
    <t>避雷器</t>
  </si>
  <si>
    <t>接触器</t>
  </si>
  <si>
    <t>熔断器</t>
  </si>
  <si>
    <t>断路器</t>
  </si>
  <si>
    <t>保险</t>
  </si>
  <si>
    <t>I≤30A</t>
  </si>
  <si>
    <t>I&gt;30A</t>
  </si>
  <si>
    <t>继电器</t>
  </si>
  <si>
    <t>电磁继电器</t>
  </si>
  <si>
    <t>固态继电器</t>
  </si>
  <si>
    <t>温度继电器</t>
  </si>
  <si>
    <t>开关</t>
  </si>
  <si>
    <t>纽子开关</t>
  </si>
  <si>
    <t>按键开关</t>
  </si>
  <si>
    <t>拨码开关</t>
  </si>
  <si>
    <t>微动开关</t>
  </si>
  <si>
    <t>连接器</t>
  </si>
  <si>
    <t>功率Pin</t>
  </si>
  <si>
    <t>普通Pin</t>
  </si>
  <si>
    <t>风扇</t>
  </si>
  <si>
    <t>计算原理说明：根据SR-332标准，单板中每个器件都认为是串联的，因此，失效率是各个器件失效率的总和。</t>
  </si>
  <si>
    <t>总失效率（FIT）</t>
  </si>
  <si>
    <t>MTBF（小时）</t>
  </si>
  <si>
    <t>折算时间（年）</t>
  </si>
</sst>
</file>

<file path=xl/styles.xml><?xml version="1.0" encoding="utf-8"?>
<styleSheet xmlns="http://schemas.openxmlformats.org/spreadsheetml/2006/main">
  <numFmts count="38">
    <numFmt numFmtId="176" formatCode="#,##0.0000"/>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 numFmtId="177" formatCode="0.00_);[Red]\(0.00\)"/>
    <numFmt numFmtId="178" formatCode="###\ ###\ ##0.###\ ###\ ###"/>
    <numFmt numFmtId="179" formatCode="###\ ###\ ##0"/>
    <numFmt numFmtId="180" formatCode="0.0"/>
    <numFmt numFmtId="181" formatCode="#,##0.000000"/>
    <numFmt numFmtId="182" formatCode="###\ ###\ ##0.#"/>
    <numFmt numFmtId="183" formatCode="#,##0.000"/>
    <numFmt numFmtId="184" formatCode="0.0000000_ "/>
    <numFmt numFmtId="185" formatCode="0.00_ "/>
    <numFmt numFmtId="186" formatCode="0.00000_ "/>
    <numFmt numFmtId="187" formatCode="0_ "/>
    <numFmt numFmtId="188" formatCode="0.0000_ "/>
    <numFmt numFmtId="189" formatCode="0.000_ "/>
    <numFmt numFmtId="190" formatCode="#,##0.0000000"/>
    <numFmt numFmtId="191" formatCode="0.000000_ "/>
    <numFmt numFmtId="192" formatCode="0.0_ "/>
    <numFmt numFmtId="193" formatCode="0.000000000_ "/>
    <numFmt numFmtId="194" formatCode="0.000"/>
    <numFmt numFmtId="195" formatCode="0.00;[Red]0.00"/>
    <numFmt numFmtId="196" formatCode="0;[Red]0"/>
    <numFmt numFmtId="197" formatCode="0.000\ 000\ 000"/>
    <numFmt numFmtId="198" formatCode="0.000E+00"/>
    <numFmt numFmtId="199" formatCode="0_);[Red]\(0\)"/>
    <numFmt numFmtId="200" formatCode="0.0;[Red]0.0"/>
    <numFmt numFmtId="201" formatCode="0.0000000000_);[Red]\(0.0000000000\)"/>
    <numFmt numFmtId="202" formatCode="0.000000_);[Red]\(0.000000\)"/>
    <numFmt numFmtId="203" formatCode="0.00000000_ "/>
    <numFmt numFmtId="204" formatCode="#,##0.0000000000000000_ "/>
    <numFmt numFmtId="205" formatCode="#,##0.000000000_ "/>
    <numFmt numFmtId="206" formatCode="#,##0.000000000_);[Red]\(#,##0.000000000\)"/>
    <numFmt numFmtId="207" formatCode="0/00"/>
    <numFmt numFmtId="208" formatCode="0.0%"/>
    <numFmt numFmtId="209" formatCode="###\ ###\ ##0.##"/>
  </numFmts>
  <fonts count="196">
    <font>
      <sz val="11"/>
      <color theme="1"/>
      <name val="宋体"/>
      <charset val="134"/>
      <scheme val="minor"/>
    </font>
    <font>
      <b/>
      <sz val="11"/>
      <color theme="1"/>
      <name val="华文细黑"/>
      <charset val="134"/>
    </font>
    <font>
      <b/>
      <sz val="11"/>
      <color rgb="FFC00000"/>
      <name val="华文细黑"/>
      <charset val="134"/>
    </font>
    <font>
      <sz val="12"/>
      <name val="宋体"/>
      <charset val="134"/>
    </font>
    <font>
      <sz val="8"/>
      <name val="宋体"/>
      <charset val="134"/>
    </font>
    <font>
      <sz val="10"/>
      <name val="Arial Narrow"/>
      <charset val="134"/>
    </font>
    <font>
      <sz val="9"/>
      <name val="宋体"/>
      <charset val="134"/>
    </font>
    <font>
      <b/>
      <sz val="10"/>
      <color indexed="10"/>
      <name val="宋体"/>
      <charset val="134"/>
    </font>
    <font>
      <b/>
      <sz val="22"/>
      <name val="华文新魏"/>
      <charset val="134"/>
    </font>
    <font>
      <sz val="11"/>
      <name val="宋体"/>
      <charset val="134"/>
    </font>
    <font>
      <sz val="10"/>
      <name val="宋体"/>
      <charset val="134"/>
    </font>
    <font>
      <b/>
      <sz val="8"/>
      <color indexed="12"/>
      <name val="宋体"/>
      <charset val="134"/>
    </font>
    <font>
      <sz val="11"/>
      <name val="Times New Roman"/>
      <charset val="134"/>
    </font>
    <font>
      <sz val="10"/>
      <color indexed="10"/>
      <name val="宋体"/>
      <charset val="134"/>
    </font>
    <font>
      <b/>
      <sz val="12"/>
      <name val="Arial Narrow"/>
      <charset val="134"/>
    </font>
    <font>
      <b/>
      <sz val="8"/>
      <color indexed="10"/>
      <name val="宋体"/>
      <charset val="134"/>
    </font>
    <font>
      <b/>
      <sz val="12"/>
      <name val="Arial"/>
      <charset val="134"/>
    </font>
    <font>
      <b/>
      <sz val="9"/>
      <name val="Arial"/>
      <charset val="134"/>
    </font>
    <font>
      <sz val="10"/>
      <color indexed="8"/>
      <name val="宋体"/>
      <charset val="134"/>
    </font>
    <font>
      <sz val="10"/>
      <color indexed="8"/>
      <name val="Arial"/>
      <charset val="134"/>
    </font>
    <font>
      <sz val="10"/>
      <name val="Arial"/>
      <charset val="134"/>
    </font>
    <font>
      <i/>
      <sz val="10"/>
      <name val="宋体"/>
      <charset val="134"/>
    </font>
    <font>
      <b/>
      <i/>
      <sz val="10"/>
      <color indexed="18"/>
      <name val="宋体"/>
      <charset val="134"/>
    </font>
    <font>
      <i/>
      <sz val="9"/>
      <color indexed="10"/>
      <name val="宋体"/>
      <charset val="134"/>
    </font>
    <font>
      <b/>
      <sz val="9"/>
      <name val="宋体"/>
      <charset val="134"/>
    </font>
    <font>
      <b/>
      <sz val="10"/>
      <name val="Arial Narrow"/>
      <charset val="134"/>
    </font>
    <font>
      <sz val="9"/>
      <name val="Arial Narrow"/>
      <charset val="134"/>
    </font>
    <font>
      <sz val="9"/>
      <color indexed="10"/>
      <name val="宋体"/>
      <charset val="134"/>
    </font>
    <font>
      <b/>
      <sz val="12"/>
      <name val="宋体"/>
      <charset val="134"/>
    </font>
    <font>
      <b/>
      <i/>
      <sz val="10"/>
      <color indexed="10"/>
      <name val="宋体"/>
      <charset val="134"/>
    </font>
    <font>
      <sz val="11"/>
      <color indexed="10"/>
      <name val="宋体"/>
      <charset val="134"/>
    </font>
    <font>
      <b/>
      <sz val="14"/>
      <name val="Arial Narrow"/>
      <charset val="134"/>
    </font>
    <font>
      <sz val="12"/>
      <color indexed="10"/>
      <name val="宋体"/>
      <charset val="134"/>
    </font>
    <font>
      <sz val="10"/>
      <color indexed="10"/>
      <name val="Arial Narrow"/>
      <charset val="134"/>
    </font>
    <font>
      <sz val="11"/>
      <color indexed="8"/>
      <name val="宋体"/>
      <charset val="134"/>
      <scheme val="minor"/>
    </font>
    <font>
      <b/>
      <sz val="14"/>
      <name val="Arial"/>
      <charset val="134"/>
    </font>
    <font>
      <u/>
      <sz val="20"/>
      <name val="Serpentine"/>
      <charset val="134"/>
    </font>
    <font>
      <b/>
      <sz val="10"/>
      <name val="Arial"/>
      <charset val="134"/>
    </font>
    <font>
      <sz val="10"/>
      <color rgb="FF0000FF"/>
      <name val="Arial"/>
      <charset val="134"/>
    </font>
    <font>
      <sz val="10"/>
      <color rgb="FFFF0000"/>
      <name val="Arial"/>
      <charset val="134"/>
    </font>
    <font>
      <sz val="8"/>
      <color rgb="FFFF0000"/>
      <name val="Arial"/>
      <charset val="134"/>
    </font>
    <font>
      <sz val="8"/>
      <color rgb="FFFFFFFF"/>
      <name val="Arial"/>
      <charset val="134"/>
    </font>
    <font>
      <sz val="10"/>
      <color rgb="FFFFFFFF"/>
      <name val="Arial"/>
      <charset val="134"/>
    </font>
    <font>
      <sz val="12"/>
      <name val="Times New Roman"/>
      <charset val="134"/>
    </font>
    <font>
      <b/>
      <sz val="10"/>
      <color rgb="FFFF0000"/>
      <name val="Arial"/>
      <charset val="134"/>
    </font>
    <font>
      <b/>
      <sz val="14"/>
      <name val="宋体"/>
      <charset val="134"/>
    </font>
    <font>
      <sz val="12"/>
      <name val="Arial"/>
      <charset val="134"/>
    </font>
    <font>
      <b/>
      <sz val="16"/>
      <name val="宋体"/>
      <charset val="134"/>
    </font>
    <font>
      <b/>
      <sz val="16"/>
      <name val="Arial"/>
      <charset val="134"/>
    </font>
    <font>
      <sz val="16"/>
      <name val="Arial"/>
      <charset val="134"/>
    </font>
    <font>
      <b/>
      <sz val="10"/>
      <name val="宋体"/>
      <charset val="134"/>
    </font>
    <font>
      <sz val="16"/>
      <name val="宋体"/>
      <charset val="134"/>
    </font>
    <font>
      <b/>
      <u/>
      <sz val="10"/>
      <name val="宋体"/>
      <charset val="134"/>
    </font>
    <font>
      <b/>
      <u/>
      <sz val="10"/>
      <name val="Arial"/>
      <charset val="134"/>
    </font>
    <font>
      <sz val="10"/>
      <name val="宋体"/>
      <charset val="134"/>
      <scheme val="major"/>
    </font>
    <font>
      <sz val="10"/>
      <name val="ItalicT"/>
      <charset val="134"/>
    </font>
    <font>
      <sz val="10"/>
      <name val="新宋体"/>
      <charset val="134"/>
    </font>
    <font>
      <sz val="10"/>
      <color indexed="18"/>
      <name val="Arial"/>
      <charset val="134"/>
    </font>
    <font>
      <u/>
      <sz val="7"/>
      <color indexed="12"/>
      <name val="Arial"/>
      <charset val="134"/>
    </font>
    <font>
      <sz val="10"/>
      <color indexed="18"/>
      <name val="宋体"/>
      <charset val="134"/>
    </font>
    <font>
      <sz val="10"/>
      <color theme="1"/>
      <name val="Arial"/>
      <charset val="134"/>
    </font>
    <font>
      <b/>
      <sz val="12"/>
      <color indexed="8"/>
      <name val="Arial"/>
      <charset val="134"/>
    </font>
    <font>
      <b/>
      <sz val="11"/>
      <color theme="1"/>
      <name val="宋体"/>
      <charset val="134"/>
      <scheme val="minor"/>
    </font>
    <font>
      <b/>
      <sz val="18"/>
      <color theme="1"/>
      <name val="Times New Roman"/>
      <charset val="134"/>
    </font>
    <font>
      <i/>
      <sz val="11"/>
      <color theme="1"/>
      <name val="Times New Roman"/>
      <charset val="134"/>
    </font>
    <font>
      <sz val="11"/>
      <color theme="1"/>
      <name val="Times New Roman"/>
      <charset val="134"/>
    </font>
    <font>
      <b/>
      <sz val="11"/>
      <color theme="1"/>
      <name val="Times New Roman"/>
      <charset val="134"/>
    </font>
    <font>
      <b/>
      <i/>
      <sz val="11"/>
      <color theme="1"/>
      <name val="Times New Roman"/>
      <charset val="134"/>
    </font>
    <font>
      <u/>
      <sz val="11"/>
      <color theme="10"/>
      <name val="宋体"/>
      <charset val="134"/>
    </font>
    <font>
      <b/>
      <sz val="12"/>
      <color theme="1"/>
      <name val="宋体"/>
      <charset val="134"/>
      <scheme val="minor"/>
    </font>
    <font>
      <sz val="11"/>
      <color rgb="FFFF0000"/>
      <name val="宋体"/>
      <charset val="134"/>
      <scheme val="minor"/>
    </font>
    <font>
      <sz val="11"/>
      <color rgb="FFF57B17"/>
      <name val="宋体"/>
      <charset val="134"/>
      <scheme val="minor"/>
    </font>
    <font>
      <sz val="11"/>
      <color rgb="FF7030A0"/>
      <name val="宋体"/>
      <charset val="134"/>
      <scheme val="minor"/>
    </font>
    <font>
      <sz val="11"/>
      <color theme="9" tint="-0.249977111117893"/>
      <name val="宋体"/>
      <charset val="134"/>
      <scheme val="minor"/>
    </font>
    <font>
      <b/>
      <sz val="14"/>
      <color rgb="FFFF0000"/>
      <name val="宋体"/>
      <charset val="134"/>
      <scheme val="minor"/>
    </font>
    <font>
      <b/>
      <sz val="11"/>
      <color rgb="FFFF0000"/>
      <name val="宋体"/>
      <charset val="134"/>
      <scheme val="minor"/>
    </font>
    <font>
      <sz val="11"/>
      <color theme="1"/>
      <name val="宋体"/>
      <charset val="134"/>
    </font>
    <font>
      <b/>
      <sz val="10"/>
      <color theme="1"/>
      <name val="宋体"/>
      <charset val="134"/>
    </font>
    <font>
      <sz val="10"/>
      <color theme="1"/>
      <name val="宋体"/>
      <charset val="134"/>
    </font>
    <font>
      <u/>
      <sz val="12"/>
      <color indexed="12"/>
      <name val="宋体"/>
      <charset val="134"/>
    </font>
    <font>
      <sz val="12"/>
      <color indexed="9"/>
      <name val="宋体"/>
      <charset val="134"/>
    </font>
    <font>
      <sz val="20"/>
      <color indexed="9"/>
      <name val="宋体"/>
      <charset val="134"/>
    </font>
    <font>
      <sz val="12"/>
      <name val="楷体_GB2312"/>
      <charset val="134"/>
    </font>
    <font>
      <sz val="12"/>
      <color indexed="44"/>
      <name val="宋体"/>
      <charset val="134"/>
    </font>
    <font>
      <b/>
      <sz val="12"/>
      <color indexed="44"/>
      <name val="宋体"/>
      <charset val="134"/>
    </font>
    <font>
      <sz val="9"/>
      <color indexed="8"/>
      <name val="Arial"/>
      <charset val="134"/>
    </font>
    <font>
      <sz val="9"/>
      <color indexed="9"/>
      <name val="Arial"/>
      <charset val="134"/>
    </font>
    <font>
      <b/>
      <sz val="12"/>
      <color indexed="9"/>
      <name val="宋体"/>
      <charset val="134"/>
    </font>
    <font>
      <b/>
      <sz val="14"/>
      <color indexed="9"/>
      <name val="宋体"/>
      <charset val="134"/>
    </font>
    <font>
      <b/>
      <sz val="9"/>
      <color indexed="9"/>
      <name val="宋体"/>
      <charset val="134"/>
    </font>
    <font>
      <b/>
      <sz val="9"/>
      <color indexed="9"/>
      <name val="Arial"/>
      <charset val="134"/>
    </font>
    <font>
      <b/>
      <sz val="11"/>
      <color indexed="9"/>
      <name val="Arial"/>
      <charset val="134"/>
    </font>
    <font>
      <sz val="11"/>
      <color indexed="9"/>
      <name val="Arial"/>
      <charset val="134"/>
    </font>
    <font>
      <sz val="9"/>
      <color indexed="9"/>
      <name val="宋体"/>
      <charset val="134"/>
    </font>
    <font>
      <b/>
      <sz val="18"/>
      <color indexed="9"/>
      <name val="Arial"/>
      <charset val="134"/>
    </font>
    <font>
      <sz val="11"/>
      <color indexed="9"/>
      <name val="宋体"/>
      <charset val="134"/>
    </font>
    <font>
      <b/>
      <sz val="12"/>
      <name val="宋体"/>
      <charset val="134"/>
      <scheme val="minor"/>
    </font>
    <font>
      <sz val="12"/>
      <color theme="1"/>
      <name val="宋体"/>
      <charset val="134"/>
      <scheme val="minor"/>
    </font>
    <font>
      <u/>
      <sz val="11"/>
      <color theme="10"/>
      <name val="Calibri"/>
      <charset val="134"/>
    </font>
    <font>
      <sz val="10"/>
      <color indexed="56"/>
      <name val="Arial"/>
      <charset val="134"/>
    </font>
    <font>
      <b/>
      <sz val="10"/>
      <color indexed="56"/>
      <name val="Arial"/>
      <charset val="134"/>
    </font>
    <font>
      <b/>
      <sz val="20"/>
      <color theme="1"/>
      <name val="宋体"/>
      <charset val="134"/>
      <scheme val="minor"/>
    </font>
    <font>
      <b/>
      <sz val="14"/>
      <color theme="1"/>
      <name val="宋体"/>
      <charset val="134"/>
      <scheme val="minor"/>
    </font>
    <font>
      <b/>
      <sz val="11"/>
      <name val="宋体"/>
      <charset val="134"/>
      <scheme val="minor"/>
    </font>
    <font>
      <b/>
      <sz val="16"/>
      <color theme="1"/>
      <name val="宋体"/>
      <charset val="134"/>
      <scheme val="minor"/>
    </font>
    <font>
      <b/>
      <sz val="18"/>
      <name val="Times New Roman"/>
      <charset val="134"/>
    </font>
    <font>
      <sz val="14"/>
      <color theme="1"/>
      <name val="宋体"/>
      <charset val="134"/>
      <scheme val="minor"/>
    </font>
    <font>
      <sz val="10"/>
      <name val="Calibri"/>
      <charset val="134"/>
    </font>
    <font>
      <b/>
      <sz val="18"/>
      <name val="Calibri"/>
      <charset val="134"/>
    </font>
    <font>
      <b/>
      <sz val="10"/>
      <name val="Calibri"/>
      <charset val="134"/>
    </font>
    <font>
      <sz val="10"/>
      <color theme="9"/>
      <name val="Calibri"/>
      <charset val="134"/>
    </font>
    <font>
      <b/>
      <sz val="14"/>
      <name val="Calibri"/>
      <charset val="134"/>
    </font>
    <font>
      <sz val="10"/>
      <color theme="1"/>
      <name val="Calibri"/>
      <charset val="134"/>
    </font>
    <font>
      <b/>
      <u/>
      <sz val="10"/>
      <name val="Calibri"/>
      <charset val="134"/>
    </font>
    <font>
      <b/>
      <sz val="12"/>
      <name val="Calibri"/>
      <charset val="134"/>
    </font>
    <font>
      <sz val="11"/>
      <color theme="0"/>
      <name val="宋体"/>
      <charset val="134"/>
      <scheme val="minor"/>
    </font>
    <font>
      <b/>
      <u/>
      <sz val="11"/>
      <color theme="1"/>
      <name val="宋体"/>
      <charset val="134"/>
      <scheme val="minor"/>
    </font>
    <font>
      <u/>
      <sz val="11"/>
      <color theme="1"/>
      <name val="宋体"/>
      <charset val="134"/>
      <scheme val="minor"/>
    </font>
    <font>
      <b/>
      <sz val="11"/>
      <color rgb="FF008000"/>
      <name val="宋体"/>
      <charset val="134"/>
      <scheme val="minor"/>
    </font>
    <font>
      <sz val="11"/>
      <color rgb="FF00B050"/>
      <name val="宋体"/>
      <charset val="134"/>
      <scheme val="minor"/>
    </font>
    <font>
      <sz val="11"/>
      <color rgb="FF008000"/>
      <name val="宋体"/>
      <charset val="134"/>
      <scheme val="minor"/>
    </font>
    <font>
      <b/>
      <u/>
      <sz val="14"/>
      <color indexed="12"/>
      <name val="Arial"/>
      <charset val="134"/>
    </font>
    <font>
      <b/>
      <sz val="14"/>
      <color indexed="12"/>
      <name val="Arial"/>
      <charset val="134"/>
    </font>
    <font>
      <sz val="12"/>
      <color rgb="FFFF0000"/>
      <name val="Arial"/>
      <charset val="134"/>
    </font>
    <font>
      <sz val="12"/>
      <name val="Wingdings"/>
      <charset val="2"/>
    </font>
    <font>
      <sz val="14"/>
      <color indexed="8"/>
      <name val="Consolas"/>
      <charset val="134"/>
    </font>
    <font>
      <sz val="14"/>
      <color indexed="12"/>
      <name val="Arial"/>
      <charset val="134"/>
    </font>
    <font>
      <sz val="11"/>
      <color theme="1"/>
      <name val="宋体"/>
      <charset val="0"/>
      <scheme val="minor"/>
    </font>
    <font>
      <sz val="11"/>
      <color theme="0"/>
      <name val="宋体"/>
      <charset val="0"/>
      <scheme val="minor"/>
    </font>
    <font>
      <sz val="11"/>
      <color rgb="FF006100"/>
      <name val="宋体"/>
      <charset val="0"/>
      <scheme val="minor"/>
    </font>
    <font>
      <sz val="11"/>
      <color rgb="FF3F3F76"/>
      <name val="宋体"/>
      <charset val="0"/>
      <scheme val="minor"/>
    </font>
    <font>
      <b/>
      <sz val="18"/>
      <color theme="3"/>
      <name val="宋体"/>
      <charset val="134"/>
      <scheme val="minor"/>
    </font>
    <font>
      <b/>
      <sz val="15"/>
      <color theme="3"/>
      <name val="宋体"/>
      <charset val="134"/>
      <scheme val="minor"/>
    </font>
    <font>
      <sz val="11"/>
      <color rgb="FF9C0006"/>
      <name val="宋体"/>
      <charset val="0"/>
      <scheme val="minor"/>
    </font>
    <font>
      <sz val="11"/>
      <color rgb="FFFA7D00"/>
      <name val="宋体"/>
      <charset val="0"/>
      <scheme val="minor"/>
    </font>
    <font>
      <b/>
      <sz val="11"/>
      <color rgb="FFFFFFFF"/>
      <name val="宋体"/>
      <charset val="0"/>
      <scheme val="minor"/>
    </font>
    <font>
      <sz val="11"/>
      <color rgb="FF9C6500"/>
      <name val="宋体"/>
      <charset val="0"/>
      <scheme val="minor"/>
    </font>
    <font>
      <b/>
      <sz val="11"/>
      <color theme="3"/>
      <name val="宋体"/>
      <charset val="134"/>
      <scheme val="minor"/>
    </font>
    <font>
      <u/>
      <sz val="11"/>
      <color rgb="FF800080"/>
      <name val="宋体"/>
      <charset val="0"/>
      <scheme val="minor"/>
    </font>
    <font>
      <b/>
      <sz val="11"/>
      <color theme="1"/>
      <name val="宋体"/>
      <charset val="0"/>
      <scheme val="minor"/>
    </font>
    <font>
      <b/>
      <sz val="11"/>
      <color rgb="FFFA7D00"/>
      <name val="宋体"/>
      <charset val="0"/>
      <scheme val="minor"/>
    </font>
    <font>
      <sz val="11"/>
      <color rgb="FFFF0000"/>
      <name val="宋体"/>
      <charset val="0"/>
      <scheme val="minor"/>
    </font>
    <font>
      <i/>
      <sz val="11"/>
      <color rgb="FF7F7F7F"/>
      <name val="宋体"/>
      <charset val="0"/>
      <scheme val="minor"/>
    </font>
    <font>
      <b/>
      <sz val="13"/>
      <color theme="3"/>
      <name val="宋体"/>
      <charset val="134"/>
      <scheme val="minor"/>
    </font>
    <font>
      <b/>
      <sz val="11"/>
      <color rgb="FF3F3F3F"/>
      <name val="宋体"/>
      <charset val="0"/>
      <scheme val="minor"/>
    </font>
    <font>
      <u/>
      <sz val="12.65"/>
      <color theme="10"/>
      <name val="Calibri"/>
      <charset val="134"/>
    </font>
    <font>
      <vertAlign val="superscript"/>
      <sz val="10"/>
      <name val="宋体"/>
      <charset val="134"/>
    </font>
    <font>
      <vertAlign val="superscript"/>
      <sz val="10"/>
      <name val="Times New Roman"/>
      <charset val="134"/>
    </font>
    <font>
      <sz val="10"/>
      <color indexed="8"/>
      <name val="Times New Roman"/>
      <charset val="134"/>
    </font>
    <font>
      <vertAlign val="superscript"/>
      <sz val="9"/>
      <name val="宋体"/>
      <charset val="134"/>
    </font>
    <font>
      <vertAlign val="superscript"/>
      <sz val="9"/>
      <name val="Arial Narrow"/>
      <charset val="134"/>
    </font>
    <font>
      <b/>
      <i/>
      <sz val="10"/>
      <name val="宋体"/>
      <charset val="134"/>
    </font>
    <font>
      <vertAlign val="superscript"/>
      <sz val="8"/>
      <name val="宋体"/>
      <charset val="134"/>
    </font>
    <font>
      <b/>
      <sz val="9"/>
      <name val="Arial Narrow"/>
      <charset val="134"/>
    </font>
    <font>
      <vertAlign val="subscript"/>
      <sz val="10"/>
      <name val="ItalicT"/>
      <charset val="134"/>
    </font>
    <font>
      <vertAlign val="subscript"/>
      <sz val="10"/>
      <name val="新宋体"/>
      <charset val="134"/>
    </font>
    <font>
      <vertAlign val="subscript"/>
      <sz val="10"/>
      <name val="Arial"/>
      <charset val="134"/>
    </font>
    <font>
      <vertAlign val="subscript"/>
      <sz val="10"/>
      <name val="宋体"/>
      <charset val="134"/>
    </font>
    <font>
      <sz val="6"/>
      <name val="新宋体"/>
      <charset val="134"/>
    </font>
    <font>
      <b/>
      <sz val="12"/>
      <color indexed="10"/>
      <name val="宋体"/>
      <charset val="134"/>
    </font>
    <font>
      <b/>
      <sz val="12"/>
      <color indexed="10"/>
      <name val="Arial"/>
      <charset val="134"/>
    </font>
    <font>
      <sz val="6"/>
      <name val="宋体"/>
      <charset val="134"/>
    </font>
    <font>
      <sz val="6"/>
      <name val="Arial"/>
      <charset val="134"/>
    </font>
    <font>
      <vertAlign val="superscript"/>
      <sz val="10"/>
      <name val="Arial"/>
      <charset val="134"/>
    </font>
    <font>
      <b/>
      <sz val="9"/>
      <color theme="1"/>
      <name val="Times New Roman"/>
      <charset val="134"/>
    </font>
    <font>
      <b/>
      <sz val="8"/>
      <color theme="1"/>
      <name val="Times New Roman"/>
      <charset val="134"/>
    </font>
    <font>
      <sz val="8"/>
      <color theme="1"/>
      <name val="Times New Roman"/>
      <charset val="134"/>
    </font>
    <font>
      <i/>
      <sz val="11"/>
      <color theme="1"/>
      <name val="华文楷体"/>
      <charset val="134"/>
    </font>
    <font>
      <b/>
      <vertAlign val="superscript"/>
      <sz val="12"/>
      <color indexed="9"/>
      <name val="宋体"/>
      <charset val="134"/>
    </font>
    <font>
      <b/>
      <vertAlign val="subscript"/>
      <sz val="12"/>
      <color indexed="9"/>
      <name val="宋体"/>
      <charset val="134"/>
    </font>
    <font>
      <vertAlign val="superscript"/>
      <sz val="12"/>
      <color indexed="9"/>
      <name val="宋体"/>
      <charset val="134"/>
    </font>
    <font>
      <vertAlign val="subscript"/>
      <sz val="12"/>
      <color indexed="9"/>
      <name val="宋体"/>
      <charset val="134"/>
    </font>
    <font>
      <b/>
      <vertAlign val="subscript"/>
      <sz val="20"/>
      <color theme="1"/>
      <name val="宋体"/>
      <charset val="134"/>
      <scheme val="minor"/>
    </font>
    <font>
      <b/>
      <sz val="11"/>
      <color theme="7" tint="-0.249977111117893"/>
      <name val="宋体"/>
      <charset val="134"/>
      <scheme val="minor"/>
    </font>
    <font>
      <b/>
      <sz val="11"/>
      <color rgb="FF0070C0"/>
      <name val="宋体"/>
      <charset val="134"/>
      <scheme val="minor"/>
    </font>
    <font>
      <b/>
      <sz val="11"/>
      <color theme="9" tint="-0.249977111117893"/>
      <name val="宋体"/>
      <charset val="134"/>
      <scheme val="minor"/>
    </font>
    <font>
      <b/>
      <vertAlign val="subscript"/>
      <sz val="11"/>
      <color theme="1"/>
      <name val="宋体"/>
      <charset val="134"/>
      <scheme val="minor"/>
    </font>
    <font>
      <b/>
      <sz val="12"/>
      <color rgb="FFC00000"/>
      <name val="宋体"/>
      <charset val="134"/>
      <scheme val="minor"/>
    </font>
    <font>
      <b/>
      <vertAlign val="superscript"/>
      <sz val="11"/>
      <color theme="1"/>
      <name val="宋体"/>
      <charset val="134"/>
      <scheme val="minor"/>
    </font>
    <font>
      <b/>
      <sz val="11"/>
      <color rgb="FFC00000"/>
      <name val="宋体"/>
      <charset val="134"/>
      <scheme val="minor"/>
    </font>
    <font>
      <b/>
      <vertAlign val="subscript"/>
      <sz val="11"/>
      <color rgb="FFC00000"/>
      <name val="宋体"/>
      <charset val="134"/>
      <scheme val="minor"/>
    </font>
    <font>
      <b/>
      <sz val="8"/>
      <color theme="1"/>
      <name val="宋体"/>
      <charset val="134"/>
      <scheme val="minor"/>
    </font>
    <font>
      <b/>
      <sz val="18"/>
      <name val="宋体"/>
      <charset val="134"/>
    </font>
    <font>
      <b/>
      <sz val="14"/>
      <name val="Times New Roman"/>
      <charset val="134"/>
    </font>
    <font>
      <vertAlign val="subscript"/>
      <sz val="12"/>
      <name val="Times New Roman"/>
      <charset val="134"/>
    </font>
    <font>
      <vertAlign val="subscript"/>
      <sz val="12"/>
      <name val="宋体"/>
      <charset val="134"/>
    </font>
    <font>
      <vertAlign val="superscript"/>
      <sz val="12"/>
      <name val="Times New Roman"/>
      <charset val="134"/>
    </font>
    <font>
      <b/>
      <vertAlign val="subscript"/>
      <sz val="10"/>
      <name val="Calibri"/>
      <charset val="134"/>
    </font>
    <font>
      <sz val="11"/>
      <color indexed="50"/>
      <name val="宋体"/>
      <charset val="134"/>
    </font>
    <font>
      <sz val="11"/>
      <color indexed="8"/>
      <name val="宋体"/>
      <charset val="134"/>
    </font>
    <font>
      <b/>
      <sz val="9"/>
      <name val="Tahoma"/>
      <charset val="134"/>
    </font>
    <font>
      <b/>
      <sz val="9"/>
      <name val="宋体"/>
      <charset val="134"/>
    </font>
    <font>
      <sz val="9"/>
      <name val="宋体"/>
      <charset val="134"/>
    </font>
    <font>
      <sz val="12"/>
      <color indexed="56"/>
      <name val="宋体"/>
      <charset val="134"/>
    </font>
    <font>
      <b/>
      <sz val="12"/>
      <color indexed="56"/>
      <name val="宋体"/>
      <charset val="134"/>
    </font>
    <font>
      <sz val="11"/>
      <color indexed="8"/>
      <name val="宋体"/>
      <charset val="0"/>
      <scheme val="minor"/>
    </font>
  </fonts>
  <fills count="72">
    <fill>
      <patternFill patternType="none"/>
    </fill>
    <fill>
      <patternFill patternType="gray125"/>
    </fill>
    <fill>
      <patternFill patternType="solid">
        <fgColor theme="6" tint="0.599993896298105"/>
        <bgColor indexed="64"/>
      </patternFill>
    </fill>
    <fill>
      <patternFill patternType="solid">
        <fgColor rgb="FF92D050"/>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indexed="13"/>
        <bgColor indexed="64"/>
      </patternFill>
    </fill>
    <fill>
      <patternFill patternType="solid">
        <fgColor indexed="41"/>
        <bgColor indexed="64"/>
      </patternFill>
    </fill>
    <fill>
      <patternFill patternType="solid">
        <fgColor indexed="47"/>
        <bgColor indexed="64"/>
      </patternFill>
    </fill>
    <fill>
      <patternFill patternType="solid">
        <fgColor indexed="11"/>
        <bgColor indexed="64"/>
      </patternFill>
    </fill>
    <fill>
      <patternFill patternType="solid">
        <fgColor indexed="9"/>
        <bgColor indexed="64"/>
      </patternFill>
    </fill>
    <fill>
      <patternFill patternType="solid">
        <fgColor indexed="10"/>
        <bgColor indexed="64"/>
      </patternFill>
    </fill>
    <fill>
      <patternFill patternType="solid">
        <fgColor rgb="FF0000FF"/>
        <bgColor indexed="64"/>
      </patternFill>
    </fill>
    <fill>
      <patternFill patternType="solid">
        <fgColor rgb="FFFFFFCC"/>
        <bgColor indexed="64"/>
      </patternFill>
    </fill>
    <fill>
      <patternFill patternType="solid">
        <fgColor rgb="FFFFFFFF"/>
        <bgColor indexed="64"/>
      </patternFill>
    </fill>
    <fill>
      <patternFill patternType="solid">
        <fgColor rgb="FFFF0000"/>
        <bgColor indexed="64"/>
      </patternFill>
    </fill>
    <fill>
      <patternFill patternType="solid">
        <fgColor indexed="51"/>
        <bgColor indexed="64"/>
      </patternFill>
    </fill>
    <fill>
      <patternFill patternType="solid">
        <fgColor indexed="22"/>
        <bgColor indexed="64"/>
      </patternFill>
    </fill>
    <fill>
      <patternFill patternType="solid">
        <fgColor indexed="27"/>
        <bgColor indexed="64"/>
      </patternFill>
    </fill>
    <fill>
      <patternFill patternType="solid">
        <fgColor indexed="44"/>
        <bgColor indexed="64"/>
      </patternFill>
    </fill>
    <fill>
      <patternFill patternType="solid">
        <fgColor indexed="26"/>
        <bgColor indexed="64"/>
      </patternFill>
    </fill>
    <fill>
      <patternFill patternType="solid">
        <fgColor indexed="52"/>
        <bgColor indexed="64"/>
      </patternFill>
    </fill>
    <fill>
      <patternFill patternType="solid">
        <fgColor indexed="42"/>
        <bgColor indexed="64"/>
      </patternFill>
    </fill>
    <fill>
      <patternFill patternType="solid">
        <fgColor indexed="31"/>
        <bgColor indexed="64"/>
      </patternFill>
    </fill>
    <fill>
      <patternFill patternType="solid">
        <fgColor theme="0"/>
        <bgColor indexed="64"/>
      </patternFill>
    </fill>
    <fill>
      <patternFill patternType="solid">
        <fgColor theme="9" tint="0.399975585192419"/>
        <bgColor indexed="64"/>
      </patternFill>
    </fill>
    <fill>
      <patternFill patternType="solid">
        <fgColor indexed="43"/>
        <bgColor indexed="64"/>
      </patternFill>
    </fill>
    <fill>
      <patternFill patternType="solid">
        <fgColor rgb="FFFFFF99"/>
        <bgColor indexed="64"/>
      </patternFill>
    </fill>
    <fill>
      <patternFill patternType="solid">
        <fgColor theme="0" tint="-0.349986266670736"/>
        <bgColor indexed="64"/>
      </patternFill>
    </fill>
    <fill>
      <patternFill patternType="solid">
        <fgColor rgb="FFCCFFFF"/>
        <bgColor indexed="64"/>
      </patternFill>
    </fill>
    <fill>
      <patternFill patternType="solid">
        <fgColor theme="9" tint="-0.249977111117893"/>
        <bgColor indexed="64"/>
      </patternFill>
    </fill>
    <fill>
      <patternFill patternType="solid">
        <fgColor theme="0" tint="-0.149998474074526"/>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FF00"/>
        <bgColor indexed="64"/>
      </patternFill>
    </fill>
    <fill>
      <patternFill patternType="solid">
        <fgColor theme="3" tint="0.799981688894314"/>
        <bgColor indexed="64"/>
      </patternFill>
    </fill>
    <fill>
      <patternFill patternType="solid">
        <fgColor indexed="40"/>
        <bgColor indexed="64"/>
      </patternFill>
    </fill>
    <fill>
      <patternFill patternType="solid">
        <fgColor indexed="53"/>
        <bgColor indexed="64"/>
      </patternFill>
    </fill>
    <fill>
      <patternFill patternType="solid">
        <fgColor theme="2"/>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theme="2" tint="-0.0999786370433668"/>
        <bgColor indexed="64"/>
      </patternFill>
    </fill>
    <fill>
      <patternFill patternType="solid">
        <fgColor theme="4" tint="0.399975585192419"/>
        <bgColor indexed="64"/>
      </patternFill>
    </fill>
    <fill>
      <patternFill patternType="solid">
        <fgColor indexed="50"/>
        <bgColor indexed="64"/>
      </patternFill>
    </fill>
    <fill>
      <patternFill patternType="solid">
        <fgColor indexed="14"/>
        <bgColor indexed="64"/>
      </patternFill>
    </fill>
    <fill>
      <patternFill patternType="solid">
        <fgColor indexed="15"/>
        <bgColor indexed="64"/>
      </patternFill>
    </fill>
    <fill>
      <patternFill patternType="solid">
        <fgColor indexed="45"/>
        <bgColor indexed="64"/>
      </patternFill>
    </fill>
    <fill>
      <patternFill patternType="solid">
        <fgColor theme="7" tint="0.599993896298105"/>
        <bgColor indexed="64"/>
      </patternFill>
    </fill>
    <fill>
      <patternFill patternType="solid">
        <fgColor rgb="FFFFC000"/>
        <bgColor indexed="64"/>
      </patternFill>
    </fill>
    <fill>
      <patternFill patternType="solid">
        <fgColor rgb="FF9999FF"/>
        <bgColor indexed="64"/>
      </patternFill>
    </fill>
    <fill>
      <patternFill patternType="solid">
        <fgColor theme="0" tint="-0.0499893185216834"/>
        <bgColor indexed="64"/>
      </patternFill>
    </fill>
    <fill>
      <patternFill patternType="solid">
        <fgColor theme="4" tint="0.599993896298105"/>
        <bgColor indexed="64"/>
      </patternFill>
    </fill>
    <fill>
      <patternFill patternType="solid">
        <fgColor rgb="FFCCFFCC"/>
        <bgColor indexed="64"/>
      </patternFill>
    </fill>
    <fill>
      <patternFill patternType="solid">
        <fgColor theme="8" tint="0.399975585192419"/>
        <bgColor indexed="64"/>
      </patternFill>
    </fill>
    <fill>
      <patternFill patternType="solid">
        <fgColor theme="6"/>
        <bgColor indexed="64"/>
      </patternFill>
    </fill>
    <fill>
      <patternFill patternType="solid">
        <fgColor rgb="FFC6EFCE"/>
        <bgColor indexed="64"/>
      </patternFill>
    </fill>
    <fill>
      <patternFill patternType="solid">
        <fgColor rgb="FFFFCC99"/>
        <bgColor indexed="64"/>
      </patternFill>
    </fill>
    <fill>
      <patternFill patternType="solid">
        <fgColor theme="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rgb="FFA5A5A5"/>
        <bgColor indexed="64"/>
      </patternFill>
    </fill>
    <fill>
      <patternFill patternType="solid">
        <fgColor rgb="FFFFEB9C"/>
        <bgColor indexed="64"/>
      </patternFill>
    </fill>
    <fill>
      <patternFill patternType="solid">
        <fgColor rgb="FFF2F2F2"/>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5" tint="0.799981688894314"/>
        <bgColor indexed="64"/>
      </patternFill>
    </fill>
    <fill>
      <patternFill patternType="solid">
        <fgColor theme="5" tint="0.599993896298105"/>
        <bgColor indexed="64"/>
      </patternFill>
    </fill>
  </fills>
  <borders count="14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diagonalUp="1">
      <left style="thin">
        <color auto="1"/>
      </left>
      <right style="thin">
        <color auto="1"/>
      </right>
      <top style="thin">
        <color auto="1"/>
      </top>
      <bottom style="thin">
        <color auto="1"/>
      </bottom>
      <diagonal style="thin">
        <color auto="1"/>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style="medium">
        <color auto="1"/>
      </left>
      <right style="thin">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double">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right style="thin">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style="medium">
        <color auto="1"/>
      </right>
      <top/>
      <bottom style="medium">
        <color auto="1"/>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style="medium">
        <color auto="1"/>
      </right>
      <top style="thin">
        <color auto="1"/>
      </top>
      <bottom style="double">
        <color auto="1"/>
      </bottom>
      <diagonal/>
    </border>
    <border>
      <left/>
      <right style="thin">
        <color auto="1"/>
      </right>
      <top style="thin">
        <color auto="1"/>
      </top>
      <bottom style="double">
        <color auto="1"/>
      </bottom>
      <diagonal/>
    </border>
    <border>
      <left style="medium">
        <color auto="1"/>
      </left>
      <right style="medium">
        <color auto="1"/>
      </right>
      <top/>
      <bottom style="thin">
        <color auto="1"/>
      </bottom>
      <diagonal/>
    </border>
    <border>
      <left style="medium">
        <color auto="1"/>
      </left>
      <right/>
      <top style="double">
        <color auto="1"/>
      </top>
      <bottom/>
      <diagonal/>
    </border>
    <border>
      <left/>
      <right style="medium">
        <color auto="1"/>
      </right>
      <top style="double">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medium">
        <color auto="1"/>
      </top>
      <bottom style="thin">
        <color auto="1"/>
      </bottom>
      <diagonal/>
    </border>
    <border>
      <left style="medium">
        <color auto="1"/>
      </left>
      <right/>
      <top style="thin">
        <color auto="1"/>
      </top>
      <bottom style="double">
        <color auto="1"/>
      </bottom>
      <diagonal/>
    </border>
    <border>
      <left style="thin">
        <color auto="1"/>
      </left>
      <right style="thin">
        <color auto="1"/>
      </right>
      <top style="thin">
        <color auto="1"/>
      </top>
      <bottom style="double">
        <color auto="1"/>
      </bottom>
      <diagonal/>
    </border>
    <border>
      <left style="medium">
        <color auto="1"/>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medium">
        <color auto="1"/>
      </top>
      <bottom style="double">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top style="medium">
        <color auto="1"/>
      </top>
      <bottom style="double">
        <color auto="1"/>
      </bottom>
      <diagonal/>
    </border>
    <border>
      <left/>
      <right style="thin">
        <color auto="1"/>
      </right>
      <top/>
      <bottom style="medium">
        <color auto="1"/>
      </bottom>
      <diagonal/>
    </border>
    <border>
      <left style="medium">
        <color auto="1"/>
      </left>
      <right/>
      <top style="medium">
        <color auto="1"/>
      </top>
      <bottom style="double">
        <color auto="1"/>
      </bottom>
      <diagonal/>
    </border>
    <border>
      <left/>
      <right/>
      <top style="medium">
        <color auto="1"/>
      </top>
      <bottom style="double">
        <color auto="1"/>
      </bottom>
      <diagonal/>
    </border>
    <border>
      <left/>
      <right style="medium">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medium">
        <color auto="1"/>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bottom style="double">
        <color auto="1"/>
      </bottom>
      <diagonal/>
    </border>
    <border>
      <left/>
      <right style="medium">
        <color auto="1"/>
      </right>
      <top/>
      <bottom style="double">
        <color auto="1"/>
      </bottom>
      <diagonal/>
    </border>
    <border>
      <left style="medium">
        <color auto="1"/>
      </left>
      <right/>
      <top style="double">
        <color auto="1"/>
      </top>
      <bottom style="medium">
        <color auto="1"/>
      </bottom>
      <diagonal/>
    </border>
    <border>
      <left/>
      <right style="medium">
        <color auto="1"/>
      </right>
      <top style="double">
        <color auto="1"/>
      </top>
      <bottom style="medium">
        <color auto="1"/>
      </bottom>
      <diagonal/>
    </border>
    <border>
      <left/>
      <right style="medium">
        <color auto="1"/>
      </right>
      <top style="thin">
        <color auto="1"/>
      </top>
      <bottom style="medium">
        <color auto="1"/>
      </bottom>
      <diagonal/>
    </border>
    <border>
      <left style="thin">
        <color rgb="FF0000FF"/>
      </left>
      <right style="thin">
        <color rgb="FF0000FF"/>
      </right>
      <top style="thin">
        <color rgb="FF0000FF"/>
      </top>
      <bottom style="thin">
        <color rgb="FF0000FF"/>
      </bottom>
      <diagonal/>
    </border>
    <border>
      <left style="thin">
        <color rgb="FF000000"/>
      </left>
      <right style="thin">
        <color rgb="FF000000"/>
      </right>
      <top style="thin">
        <color rgb="FF000000"/>
      </top>
      <bottom style="thin">
        <color rgb="FFFFFFCC"/>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FFFFCC"/>
      </top>
      <bottom style="thin">
        <color rgb="FFFFFFCC"/>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FFFFCC"/>
      </top>
      <bottom style="thin">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bottom/>
      <diagonal/>
    </border>
    <border>
      <left style="thin">
        <color rgb="FF000000"/>
      </left>
      <right style="thin">
        <color rgb="FF000000"/>
      </right>
      <top style="thin">
        <color rgb="FFFFFFFF"/>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FFFFFF"/>
      </bottom>
      <diagonal/>
    </border>
    <border>
      <left style="thin">
        <color rgb="FF0000FF"/>
      </left>
      <right style="thin">
        <color rgb="FF000000"/>
      </right>
      <top style="thin">
        <color rgb="FF000000"/>
      </top>
      <bottom style="thin">
        <color rgb="FF000000"/>
      </bottom>
      <diagonal/>
    </border>
    <border>
      <left style="thin">
        <color rgb="FFFF0000"/>
      </left>
      <right style="thin">
        <color rgb="FF000000"/>
      </right>
      <top style="thin">
        <color rgb="FF000000"/>
      </top>
      <bottom style="thin">
        <color rgb="FFFF0000"/>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ck">
        <color auto="1"/>
      </right>
      <top style="thick">
        <color auto="1"/>
      </top>
      <bottom/>
      <diagonal/>
    </border>
    <border>
      <left style="thick">
        <color auto="1"/>
      </left>
      <right/>
      <top/>
      <bottom style="thick">
        <color auto="1"/>
      </bottom>
      <diagonal/>
    </border>
    <border>
      <left/>
      <right style="thick">
        <color auto="1"/>
      </right>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ck">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medium">
        <color auto="1"/>
      </left>
      <right/>
      <top style="thin">
        <color auto="1"/>
      </top>
      <bottom/>
      <diagonal/>
    </border>
    <border>
      <left/>
      <right style="medium">
        <color auto="1"/>
      </right>
      <top/>
      <bottom style="thin">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style="thin">
        <color auto="1"/>
      </right>
      <top/>
      <bottom style="medium">
        <color auto="1"/>
      </bottom>
      <diagonal/>
    </border>
    <border>
      <left/>
      <right style="thin">
        <color rgb="FF000000"/>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medium">
        <color auto="1"/>
      </right>
      <top style="medium">
        <color auto="1"/>
      </top>
      <bottom style="thin">
        <color rgb="FF000000"/>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style="thin">
        <color rgb="FF000000"/>
      </bottom>
      <diagonal/>
    </border>
    <border>
      <left style="thin">
        <color rgb="FF000000"/>
      </left>
      <right style="medium">
        <color auto="1"/>
      </right>
      <top style="thin">
        <color rgb="FF000000"/>
      </top>
      <bottom style="thin">
        <color rgb="FF000000"/>
      </bottom>
      <diagonal/>
    </border>
    <border>
      <left style="medium">
        <color auto="1"/>
      </left>
      <right style="thin">
        <color rgb="FF000000"/>
      </right>
      <top style="thin">
        <color rgb="FF000000"/>
      </top>
      <bottom style="medium">
        <color auto="1"/>
      </bottom>
      <diagonal/>
    </border>
    <border>
      <left/>
      <right style="thin">
        <color rgb="FF000000"/>
      </right>
      <top style="thin">
        <color rgb="FF000000"/>
      </top>
      <bottom style="medium">
        <color auto="1"/>
      </bottom>
      <diagonal/>
    </border>
    <border>
      <left style="thin">
        <color rgb="FF000000"/>
      </left>
      <right style="thin">
        <color rgb="FF000000"/>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style="thin">
        <color indexed="40"/>
      </left>
      <right style="thin">
        <color indexed="40"/>
      </right>
      <top style="thin">
        <color indexed="40"/>
      </top>
      <bottom style="thin">
        <color indexed="40"/>
      </bottom>
      <diagonal/>
    </border>
    <border>
      <left style="thin">
        <color indexed="40"/>
      </left>
      <right style="thin">
        <color indexed="40"/>
      </right>
      <top/>
      <bottom style="thin">
        <color indexed="40"/>
      </bottom>
      <diagonal/>
    </border>
    <border>
      <left/>
      <right style="thin">
        <color indexed="40"/>
      </right>
      <top/>
      <bottom style="thin">
        <color indexed="40"/>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style="double">
        <color auto="1"/>
      </left>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double">
        <color auto="1"/>
      </left>
      <right style="medium">
        <color auto="1"/>
      </right>
      <top style="thin">
        <color auto="1"/>
      </top>
      <bottom style="thin">
        <color auto="1"/>
      </bottom>
      <diagonal/>
    </border>
    <border>
      <left/>
      <right style="double">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64">
    <xf numFmtId="0" fontId="0" fillId="0" borderId="0">
      <alignment vertical="center"/>
    </xf>
    <xf numFmtId="42" fontId="0" fillId="0" borderId="0" applyFont="0" applyFill="0" applyBorder="0" applyAlignment="0" applyProtection="0">
      <alignment vertical="center"/>
    </xf>
    <xf numFmtId="0" fontId="127" fillId="41" borderId="0" applyNumberFormat="0" applyBorder="0" applyAlignment="0" applyProtection="0">
      <alignment vertical="center"/>
    </xf>
    <xf numFmtId="0" fontId="130" fillId="59" borderId="13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7" fillId="2" borderId="0" applyNumberFormat="0" applyBorder="0" applyAlignment="0" applyProtection="0">
      <alignment vertical="center"/>
    </xf>
    <xf numFmtId="0" fontId="133" fillId="63" borderId="0" applyNumberFormat="0" applyBorder="0" applyAlignment="0" applyProtection="0">
      <alignment vertical="center"/>
    </xf>
    <xf numFmtId="43" fontId="0" fillId="0" borderId="0" applyFont="0" applyFill="0" applyBorder="0" applyAlignment="0" applyProtection="0">
      <alignment vertical="center"/>
    </xf>
    <xf numFmtId="0" fontId="128" fillId="42" borderId="0" applyNumberFormat="0" applyBorder="0" applyAlignment="0" applyProtection="0">
      <alignment vertical="center"/>
    </xf>
    <xf numFmtId="0" fontId="68"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138" fillId="0" borderId="0" applyNumberFormat="0" applyFill="0" applyBorder="0" applyAlignment="0" applyProtection="0">
      <alignment vertical="center"/>
    </xf>
    <xf numFmtId="9" fontId="0" fillId="0" borderId="0" applyFont="0" applyFill="0" applyBorder="0" applyAlignment="0" applyProtection="0"/>
    <xf numFmtId="0" fontId="20" fillId="0" borderId="0"/>
    <xf numFmtId="0" fontId="0" fillId="13" borderId="144" applyNumberFormat="0" applyFont="0" applyAlignment="0" applyProtection="0">
      <alignment vertical="center"/>
    </xf>
    <xf numFmtId="0" fontId="128" fillId="61" borderId="0" applyNumberFormat="0" applyBorder="0" applyAlignment="0" applyProtection="0">
      <alignment vertical="center"/>
    </xf>
    <xf numFmtId="0" fontId="137" fillId="0" borderId="0" applyNumberFormat="0" applyFill="0" applyBorder="0" applyAlignment="0" applyProtection="0">
      <alignment vertical="center"/>
    </xf>
    <xf numFmtId="0" fontId="141"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0" fillId="0" borderId="0"/>
    <xf numFmtId="0" fontId="132" fillId="0" borderId="139" applyNumberFormat="0" applyFill="0" applyAlignment="0" applyProtection="0">
      <alignment vertical="center"/>
    </xf>
    <xf numFmtId="0" fontId="3" fillId="0" borderId="0"/>
    <xf numFmtId="0" fontId="143" fillId="0" borderId="139" applyNumberFormat="0" applyFill="0" applyAlignment="0" applyProtection="0">
      <alignment vertical="center"/>
    </xf>
    <xf numFmtId="0" fontId="128" fillId="45" borderId="0" applyNumberFormat="0" applyBorder="0" applyAlignment="0" applyProtection="0">
      <alignment vertical="center"/>
    </xf>
    <xf numFmtId="0" fontId="137" fillId="0" borderId="142" applyNumberFormat="0" applyFill="0" applyAlignment="0" applyProtection="0">
      <alignment vertical="center"/>
    </xf>
    <xf numFmtId="0" fontId="128" fillId="40" borderId="0" applyNumberFormat="0" applyBorder="0" applyAlignment="0" applyProtection="0">
      <alignment vertical="center"/>
    </xf>
    <xf numFmtId="0" fontId="144" fillId="66" borderId="145" applyNumberFormat="0" applyAlignment="0" applyProtection="0">
      <alignment vertical="center"/>
    </xf>
    <xf numFmtId="0" fontId="140" fillId="66" borderId="138" applyNumberFormat="0" applyAlignment="0" applyProtection="0">
      <alignment vertical="center"/>
    </xf>
    <xf numFmtId="0" fontId="135" fillId="64" borderId="141" applyNumberFormat="0" applyAlignment="0" applyProtection="0">
      <alignment vertical="center"/>
    </xf>
    <xf numFmtId="0" fontId="127" fillId="32" borderId="0" applyNumberFormat="0" applyBorder="0" applyAlignment="0" applyProtection="0">
      <alignment vertical="center"/>
    </xf>
    <xf numFmtId="0" fontId="128" fillId="60" borderId="0" applyNumberFormat="0" applyBorder="0" applyAlignment="0" applyProtection="0">
      <alignment vertical="center"/>
    </xf>
    <xf numFmtId="0" fontId="134" fillId="0" borderId="140" applyNumberFormat="0" applyFill="0" applyAlignment="0" applyProtection="0">
      <alignment vertical="center"/>
    </xf>
    <xf numFmtId="0" fontId="139" fillId="0" borderId="143" applyNumberFormat="0" applyFill="0" applyAlignment="0" applyProtection="0">
      <alignment vertical="center"/>
    </xf>
    <xf numFmtId="0" fontId="129" fillId="58" borderId="0" applyNumberFormat="0" applyBorder="0" applyAlignment="0" applyProtection="0">
      <alignment vertical="center"/>
    </xf>
    <xf numFmtId="0" fontId="136" fillId="65" borderId="0" applyNumberFormat="0" applyBorder="0" applyAlignment="0" applyProtection="0">
      <alignment vertical="center"/>
    </xf>
    <xf numFmtId="0" fontId="127" fillId="33" borderId="0" applyNumberFormat="0" applyBorder="0" applyAlignment="0" applyProtection="0">
      <alignment vertical="center"/>
    </xf>
    <xf numFmtId="0" fontId="115" fillId="43" borderId="0" applyNumberFormat="0" applyBorder="0" applyAlignment="0" applyProtection="0">
      <alignment vertical="center"/>
    </xf>
    <xf numFmtId="0" fontId="127" fillId="39" borderId="0" applyNumberFormat="0" applyBorder="0" applyAlignment="0" applyProtection="0">
      <alignment vertical="center"/>
    </xf>
    <xf numFmtId="0" fontId="58" fillId="0" borderId="0" applyNumberFormat="0" applyFill="0" applyBorder="0" applyAlignment="0" applyProtection="0">
      <alignment vertical="top"/>
      <protection locked="0"/>
    </xf>
    <xf numFmtId="0" fontId="127" fillId="54" borderId="0" applyNumberFormat="0" applyBorder="0" applyAlignment="0" applyProtection="0">
      <alignment vertical="center"/>
    </xf>
    <xf numFmtId="0" fontId="127" fillId="70" borderId="0" applyNumberFormat="0" applyBorder="0" applyAlignment="0" applyProtection="0">
      <alignment vertical="center"/>
    </xf>
    <xf numFmtId="0" fontId="127" fillId="71" borderId="0" applyNumberFormat="0" applyBorder="0" applyAlignment="0" applyProtection="0">
      <alignment vertical="center"/>
    </xf>
    <xf numFmtId="41" fontId="3" fillId="0" borderId="0" applyFont="0" applyFill="0" applyBorder="0" applyAlignment="0" applyProtection="0"/>
    <xf numFmtId="0" fontId="128" fillId="57" borderId="0" applyNumberFormat="0" applyBorder="0" applyAlignment="0" applyProtection="0">
      <alignment vertical="center"/>
    </xf>
    <xf numFmtId="0" fontId="3" fillId="0" borderId="0"/>
    <xf numFmtId="0" fontId="128" fillId="67" borderId="0" applyNumberFormat="0" applyBorder="0" applyAlignment="0" applyProtection="0">
      <alignment vertical="center"/>
    </xf>
    <xf numFmtId="0" fontId="127" fillId="62" borderId="0" applyNumberFormat="0" applyBorder="0" applyAlignment="0" applyProtection="0">
      <alignment vertical="center"/>
    </xf>
    <xf numFmtId="0" fontId="127" fillId="50" borderId="0" applyNumberFormat="0" applyBorder="0" applyAlignment="0" applyProtection="0">
      <alignment vertical="center"/>
    </xf>
    <xf numFmtId="0" fontId="128" fillId="68" borderId="0" applyNumberFormat="0" applyBorder="0" applyAlignment="0" applyProtection="0">
      <alignment vertical="center"/>
    </xf>
    <xf numFmtId="0" fontId="127" fillId="5" borderId="0" applyNumberFormat="0" applyBorder="0" applyAlignment="0" applyProtection="0">
      <alignment vertical="center"/>
    </xf>
    <xf numFmtId="0" fontId="128" fillId="56" borderId="0" applyNumberFormat="0" applyBorder="0" applyAlignment="0" applyProtection="0">
      <alignment vertical="center"/>
    </xf>
    <xf numFmtId="0" fontId="128" fillId="69" borderId="0" applyNumberFormat="0" applyBorder="0" applyAlignment="0" applyProtection="0">
      <alignment vertical="center"/>
    </xf>
    <xf numFmtId="0" fontId="127" fillId="4" borderId="0" applyNumberFormat="0" applyBorder="0" applyAlignment="0" applyProtection="0">
      <alignment vertical="center"/>
    </xf>
    <xf numFmtId="0" fontId="128" fillId="25" borderId="0" applyNumberFormat="0" applyBorder="0" applyAlignment="0" applyProtection="0">
      <alignment vertical="center"/>
    </xf>
    <xf numFmtId="0" fontId="3" fillId="0" borderId="0"/>
    <xf numFmtId="0" fontId="3" fillId="0" borderId="0">
      <alignment vertical="center"/>
    </xf>
    <xf numFmtId="0" fontId="0" fillId="0" borderId="0">
      <alignment vertical="center"/>
    </xf>
    <xf numFmtId="0" fontId="0" fillId="0" borderId="0"/>
    <xf numFmtId="0" fontId="34" fillId="0" borderId="0">
      <alignment vertical="center"/>
    </xf>
    <xf numFmtId="0" fontId="6" fillId="0" borderId="0">
      <alignment vertical="center"/>
    </xf>
    <xf numFmtId="0" fontId="79" fillId="0" borderId="0" applyNumberFormat="0" applyFill="0" applyBorder="0" applyAlignment="0" applyProtection="0">
      <alignment vertical="top"/>
      <protection locked="0"/>
    </xf>
    <xf numFmtId="0" fontId="145" fillId="0" borderId="0" applyNumberFormat="0" applyFill="0" applyBorder="0" applyAlignment="0" applyProtection="0">
      <alignment vertical="top"/>
      <protection locked="0"/>
    </xf>
  </cellStyleXfs>
  <cellXfs count="1257">
    <xf numFmtId="0" fontId="0" fillId="0" borderId="0" xfId="0">
      <alignment vertical="center"/>
    </xf>
    <xf numFmtId="0" fontId="1" fillId="0" borderId="0" xfId="0" applyFont="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9" xfId="0" applyFont="1" applyFill="1" applyBorder="1" applyAlignment="1">
      <alignment horizontal="left" vertical="center" wrapText="1"/>
    </xf>
    <xf numFmtId="0" fontId="1" fillId="2" borderId="0" xfId="0" applyFont="1" applyFill="1" applyBorder="1" applyAlignment="1">
      <alignment horizontal="left" vertical="center" wrapText="1"/>
    </xf>
    <xf numFmtId="0" fontId="1" fillId="2" borderId="10" xfId="0" applyFont="1" applyFill="1" applyBorder="1" applyAlignment="1">
      <alignment horizontal="left" vertical="center" wrapText="1"/>
    </xf>
    <xf numFmtId="0" fontId="1" fillId="2" borderId="11"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1" fillId="2" borderId="13" xfId="0" applyFont="1" applyFill="1" applyBorder="1" applyAlignment="1">
      <alignment horizontal="left" vertical="center" wrapText="1"/>
    </xf>
    <xf numFmtId="177" fontId="1" fillId="2" borderId="1" xfId="0" applyNumberFormat="1" applyFont="1" applyFill="1" applyBorder="1" applyAlignment="1">
      <alignment horizontal="center" vertical="center"/>
    </xf>
    <xf numFmtId="0" fontId="0" fillId="0" borderId="0" xfId="21"/>
    <xf numFmtId="0" fontId="0" fillId="3" borderId="14" xfId="21" applyFill="1" applyBorder="1" applyAlignment="1">
      <alignment horizontal="center"/>
    </xf>
    <xf numFmtId="0" fontId="0" fillId="3" borderId="15" xfId="21" applyFill="1" applyBorder="1" applyAlignment="1">
      <alignment horizontal="center"/>
    </xf>
    <xf numFmtId="0" fontId="0" fillId="3" borderId="16" xfId="21" applyFill="1" applyBorder="1" applyAlignment="1">
      <alignment horizontal="center"/>
    </xf>
    <xf numFmtId="0" fontId="0" fillId="0" borderId="1" xfId="21" applyBorder="1"/>
    <xf numFmtId="0" fontId="0" fillId="3" borderId="1" xfId="21" applyFill="1" applyBorder="1"/>
    <xf numFmtId="0" fontId="0" fillId="3" borderId="1" xfId="21" applyFill="1" applyBorder="1" applyAlignment="1">
      <alignment horizontal="center"/>
    </xf>
    <xf numFmtId="0" fontId="0" fillId="0" borderId="17" xfId="21" applyBorder="1"/>
    <xf numFmtId="0" fontId="0" fillId="0" borderId="18" xfId="21" applyBorder="1"/>
    <xf numFmtId="0" fontId="0" fillId="0" borderId="19" xfId="21" applyBorder="1"/>
    <xf numFmtId="0" fontId="0" fillId="0" borderId="20" xfId="21" applyBorder="1" applyAlignment="1">
      <alignment horizontal="center" vertical="center"/>
    </xf>
    <xf numFmtId="0" fontId="0" fillId="0" borderId="0" xfId="21" applyAlignment="1">
      <alignment horizontal="center" vertical="center"/>
    </xf>
    <xf numFmtId="0" fontId="0" fillId="0" borderId="21" xfId="21" applyBorder="1"/>
    <xf numFmtId="0" fontId="0" fillId="0" borderId="22" xfId="21" applyBorder="1" applyAlignment="1">
      <alignment horizontal="center" vertical="center"/>
    </xf>
    <xf numFmtId="0" fontId="0" fillId="0" borderId="12" xfId="21" applyBorder="1" applyAlignment="1">
      <alignment horizontal="center" vertical="center"/>
    </xf>
    <xf numFmtId="0" fontId="0" fillId="0" borderId="23" xfId="21" applyBorder="1"/>
    <xf numFmtId="0" fontId="0" fillId="4" borderId="1" xfId="21" applyFill="1" applyBorder="1"/>
    <xf numFmtId="0" fontId="0" fillId="3" borderId="23" xfId="21" applyFill="1" applyBorder="1"/>
    <xf numFmtId="0" fontId="0" fillId="0" borderId="20" xfId="21" applyBorder="1"/>
    <xf numFmtId="0" fontId="0" fillId="0" borderId="24" xfId="21" applyBorder="1"/>
    <xf numFmtId="0" fontId="0" fillId="0" borderId="25" xfId="21" applyBorder="1"/>
    <xf numFmtId="0" fontId="0" fillId="0" borderId="26" xfId="21" applyBorder="1"/>
    <xf numFmtId="0" fontId="0" fillId="5" borderId="23" xfId="21" applyFill="1" applyBorder="1"/>
    <xf numFmtId="0" fontId="0" fillId="5" borderId="1" xfId="21" applyFill="1" applyBorder="1"/>
    <xf numFmtId="0" fontId="0" fillId="5" borderId="14" xfId="21" applyFill="1" applyBorder="1" applyAlignment="1">
      <alignment horizontal="center"/>
    </xf>
    <xf numFmtId="0" fontId="0" fillId="5" borderId="16" xfId="21" applyFill="1" applyBorder="1" applyAlignment="1">
      <alignment horizontal="center"/>
    </xf>
    <xf numFmtId="0" fontId="0" fillId="0" borderId="17" xfId="21" applyBorder="1" applyAlignment="1">
      <alignment horizontal="center"/>
    </xf>
    <xf numFmtId="0" fontId="0" fillId="0" borderId="18" xfId="21" applyBorder="1" applyAlignment="1">
      <alignment horizontal="center"/>
    </xf>
    <xf numFmtId="0" fontId="0" fillId="0" borderId="19" xfId="21" applyBorder="1" applyAlignment="1">
      <alignment horizontal="center"/>
    </xf>
    <xf numFmtId="0" fontId="0" fillId="0" borderId="20" xfId="21" applyBorder="1" applyAlignment="1">
      <alignment horizontal="center"/>
    </xf>
    <xf numFmtId="0" fontId="0" fillId="0" borderId="0" xfId="21" applyAlignment="1">
      <alignment horizontal="center"/>
    </xf>
    <xf numFmtId="0" fontId="0" fillId="0" borderId="21" xfId="21" applyBorder="1" applyAlignment="1">
      <alignment horizontal="center"/>
    </xf>
    <xf numFmtId="0" fontId="0" fillId="0" borderId="24" xfId="21" applyBorder="1" applyAlignment="1">
      <alignment horizontal="center"/>
    </xf>
    <xf numFmtId="0" fontId="0" fillId="0" borderId="25" xfId="21" applyBorder="1" applyAlignment="1">
      <alignment horizontal="center"/>
    </xf>
    <xf numFmtId="0" fontId="0" fillId="0" borderId="26" xfId="21" applyBorder="1" applyAlignment="1">
      <alignment horizontal="center"/>
    </xf>
    <xf numFmtId="11" fontId="0" fillId="0" borderId="0" xfId="21" applyNumberFormat="1"/>
    <xf numFmtId="0" fontId="3" fillId="0" borderId="0" xfId="56" applyAlignment="1">
      <alignment vertical="center"/>
    </xf>
    <xf numFmtId="0" fontId="3" fillId="0" borderId="0" xfId="56" applyBorder="1" applyAlignment="1">
      <alignment vertical="center"/>
    </xf>
    <xf numFmtId="0" fontId="4" fillId="0" borderId="0" xfId="56" applyFont="1" applyAlignment="1">
      <alignment vertical="center"/>
    </xf>
    <xf numFmtId="0" fontId="4" fillId="0" borderId="0" xfId="56" applyFont="1"/>
    <xf numFmtId="0" fontId="3" fillId="0" borderId="0" xfId="56"/>
    <xf numFmtId="0" fontId="5" fillId="0" borderId="0" xfId="56" applyFont="1" applyAlignment="1">
      <alignment horizontal="center"/>
    </xf>
    <xf numFmtId="0" fontId="3" fillId="0" borderId="0" xfId="56" applyBorder="1"/>
    <xf numFmtId="0" fontId="6" fillId="0" borderId="0" xfId="56" applyFont="1"/>
    <xf numFmtId="0" fontId="4" fillId="6" borderId="0" xfId="56" applyFont="1" applyFill="1" applyBorder="1"/>
    <xf numFmtId="0" fontId="3" fillId="0" borderId="0" xfId="56" applyBorder="1" applyAlignment="1">
      <alignment horizontal="center"/>
    </xf>
    <xf numFmtId="0" fontId="4" fillId="0" borderId="0" xfId="56" applyFont="1" applyBorder="1" applyAlignment="1">
      <alignment vertical="center"/>
    </xf>
    <xf numFmtId="0" fontId="7" fillId="0" borderId="0" xfId="56" applyFont="1" applyAlignment="1">
      <alignment vertical="center"/>
    </xf>
    <xf numFmtId="0" fontId="3" fillId="0" borderId="0" xfId="56" applyBorder="1" applyAlignment="1">
      <alignment horizontal="left" vertical="center"/>
    </xf>
    <xf numFmtId="0" fontId="3" fillId="0" borderId="0" xfId="56" applyBorder="1" applyAlignment="1">
      <alignment horizontal="center" vertical="center"/>
    </xf>
    <xf numFmtId="0" fontId="8" fillId="0" borderId="0" xfId="56" applyFont="1" applyBorder="1" applyAlignment="1">
      <alignment horizontal="center" vertical="center"/>
    </xf>
    <xf numFmtId="0" fontId="8" fillId="0" borderId="27" xfId="56" applyFont="1" applyBorder="1" applyAlignment="1">
      <alignment horizontal="center" vertical="center"/>
    </xf>
    <xf numFmtId="0" fontId="9" fillId="0" borderId="0" xfId="56" applyFont="1" applyAlignment="1">
      <alignment vertical="center"/>
    </xf>
    <xf numFmtId="0" fontId="3" fillId="0" borderId="0" xfId="56" applyAlignment="1">
      <alignment horizontal="center" vertical="center"/>
    </xf>
    <xf numFmtId="0" fontId="10" fillId="0" borderId="28" xfId="56" applyFont="1" applyBorder="1" applyAlignment="1">
      <alignment horizontal="center" vertical="center"/>
    </xf>
    <xf numFmtId="0" fontId="11" fillId="0" borderId="29" xfId="56" applyFont="1" applyBorder="1" applyAlignment="1">
      <alignment horizontal="center" vertical="center" wrapText="1"/>
    </xf>
    <xf numFmtId="0" fontId="10" fillId="0" borderId="17" xfId="56" applyFont="1" applyBorder="1" applyAlignment="1">
      <alignment horizontal="center" vertical="center"/>
    </xf>
    <xf numFmtId="0" fontId="10" fillId="0" borderId="18" xfId="56" applyFont="1" applyBorder="1" applyAlignment="1">
      <alignment horizontal="center" vertical="center"/>
    </xf>
    <xf numFmtId="0" fontId="10" fillId="0" borderId="19" xfId="56" applyFont="1" applyBorder="1" applyAlignment="1">
      <alignment horizontal="center" vertical="center"/>
    </xf>
    <xf numFmtId="0" fontId="10" fillId="0" borderId="30" xfId="56" applyFont="1" applyBorder="1" applyAlignment="1">
      <alignment horizontal="center" vertical="center"/>
    </xf>
    <xf numFmtId="0" fontId="12" fillId="0" borderId="31" xfId="56" applyFont="1" applyBorder="1" applyAlignment="1">
      <alignment horizontal="center" vertical="center"/>
    </xf>
    <xf numFmtId="0" fontId="11" fillId="0" borderId="32" xfId="56" applyFont="1" applyBorder="1" applyAlignment="1">
      <alignment horizontal="center" vertical="center" wrapText="1"/>
    </xf>
    <xf numFmtId="0" fontId="10" fillId="0" borderId="33" xfId="56" applyFont="1" applyBorder="1" applyAlignment="1">
      <alignment horizontal="center" vertical="center"/>
    </xf>
    <xf numFmtId="0" fontId="10" fillId="0" borderId="34" xfId="56" applyFont="1" applyBorder="1" applyAlignment="1">
      <alignment horizontal="center" vertical="center"/>
    </xf>
    <xf numFmtId="0" fontId="13" fillId="0" borderId="33" xfId="56" applyFont="1" applyBorder="1" applyAlignment="1">
      <alignment horizontal="center" vertical="center"/>
    </xf>
    <xf numFmtId="0" fontId="10" fillId="0" borderId="35" xfId="56" applyFont="1" applyBorder="1" applyAlignment="1">
      <alignment horizontal="center" vertical="center"/>
    </xf>
    <xf numFmtId="0" fontId="10" fillId="0" borderId="36" xfId="56" applyFont="1" applyBorder="1" applyAlignment="1">
      <alignment horizontal="center" vertical="center"/>
    </xf>
    <xf numFmtId="0" fontId="14" fillId="6" borderId="37" xfId="56" applyFont="1" applyFill="1" applyBorder="1" applyAlignment="1">
      <alignment horizontal="center" vertical="center" wrapText="1"/>
    </xf>
    <xf numFmtId="0" fontId="15" fillId="0" borderId="29" xfId="56" applyFont="1" applyBorder="1" applyAlignment="1">
      <alignment horizontal="center" vertical="center" wrapText="1"/>
    </xf>
    <xf numFmtId="181" fontId="14" fillId="0" borderId="38" xfId="56" applyNumberFormat="1" applyFont="1" applyBorder="1" applyAlignment="1">
      <alignment horizontal="center" vertical="center" wrapText="1"/>
    </xf>
    <xf numFmtId="181" fontId="14" fillId="0" borderId="39" xfId="56" applyNumberFormat="1" applyFont="1" applyBorder="1" applyAlignment="1">
      <alignment horizontal="center" vertical="center" wrapText="1"/>
    </xf>
    <xf numFmtId="3" fontId="16" fillId="0" borderId="40" xfId="56" applyNumberFormat="1" applyFont="1" applyBorder="1" applyAlignment="1">
      <alignment horizontal="center" vertical="center"/>
    </xf>
    <xf numFmtId="3" fontId="16" fillId="0" borderId="41" xfId="56" applyNumberFormat="1" applyFont="1" applyBorder="1" applyAlignment="1">
      <alignment horizontal="center" vertical="center"/>
    </xf>
    <xf numFmtId="183" fontId="17" fillId="0" borderId="13" xfId="56" applyNumberFormat="1" applyFont="1" applyBorder="1" applyAlignment="1">
      <alignment horizontal="center" vertical="center" wrapText="1"/>
    </xf>
    <xf numFmtId="0" fontId="14" fillId="6" borderId="42" xfId="56" applyFont="1" applyFill="1" applyBorder="1" applyAlignment="1">
      <alignment horizontal="center" vertical="center" wrapText="1"/>
    </xf>
    <xf numFmtId="0" fontId="15" fillId="0" borderId="32" xfId="56" applyFont="1" applyBorder="1" applyAlignment="1">
      <alignment horizontal="center" vertical="center" wrapText="1"/>
    </xf>
    <xf numFmtId="181" fontId="14" fillId="0" borderId="24" xfId="56" applyNumberFormat="1" applyFont="1" applyBorder="1" applyAlignment="1">
      <alignment horizontal="center" vertical="center" wrapText="1"/>
    </xf>
    <xf numFmtId="181" fontId="14" fillId="0" borderId="26" xfId="56" applyNumberFormat="1" applyFont="1" applyBorder="1" applyAlignment="1">
      <alignment horizontal="center" vertical="center" wrapText="1"/>
    </xf>
    <xf numFmtId="0" fontId="16" fillId="0" borderId="43" xfId="56" applyFont="1" applyBorder="1" applyAlignment="1">
      <alignment horizontal="center" vertical="center"/>
    </xf>
    <xf numFmtId="0" fontId="16" fillId="0" borderId="44" xfId="56" applyFont="1" applyBorder="1" applyAlignment="1">
      <alignment horizontal="center" vertical="center"/>
    </xf>
    <xf numFmtId="183" fontId="17" fillId="0" borderId="45" xfId="56" applyNumberFormat="1" applyFont="1" applyBorder="1" applyAlignment="1">
      <alignment horizontal="center" vertical="center" wrapText="1"/>
    </xf>
    <xf numFmtId="0" fontId="14" fillId="6" borderId="46" xfId="56" applyFont="1" applyFill="1" applyBorder="1" applyAlignment="1">
      <alignment horizontal="center" vertical="center" wrapText="1"/>
    </xf>
    <xf numFmtId="184" fontId="18" fillId="0" borderId="47" xfId="56" applyNumberFormat="1" applyFont="1" applyBorder="1" applyAlignment="1">
      <alignment horizontal="right" vertical="center"/>
    </xf>
    <xf numFmtId="184" fontId="19" fillId="0" borderId="48" xfId="56" applyNumberFormat="1" applyFont="1" applyBorder="1" applyAlignment="1">
      <alignment horizontal="right" vertical="center"/>
    </xf>
    <xf numFmtId="0" fontId="10" fillId="0" borderId="49" xfId="56" applyFont="1" applyBorder="1" applyAlignment="1">
      <alignment horizontal="center" vertical="center"/>
    </xf>
    <xf numFmtId="0" fontId="18" fillId="0" borderId="24" xfId="56" applyFont="1" applyBorder="1" applyAlignment="1">
      <alignment horizontal="right" vertical="center"/>
    </xf>
    <xf numFmtId="0" fontId="18" fillId="0" borderId="26" xfId="56" applyFont="1" applyBorder="1" applyAlignment="1">
      <alignment horizontal="right" vertical="center"/>
    </xf>
    <xf numFmtId="184" fontId="20" fillId="0" borderId="45" xfId="56" applyNumberFormat="1" applyFont="1" applyBorder="1" applyAlignment="1">
      <alignment horizontal="center" vertical="center"/>
    </xf>
    <xf numFmtId="184" fontId="20" fillId="0" borderId="50" xfId="56" applyNumberFormat="1" applyFont="1" applyBorder="1" applyAlignment="1">
      <alignment horizontal="center" vertical="center"/>
    </xf>
    <xf numFmtId="0" fontId="3" fillId="7" borderId="0" xfId="56" applyFill="1" applyAlignment="1">
      <alignment vertical="center"/>
    </xf>
    <xf numFmtId="0" fontId="5" fillId="7" borderId="0" xfId="56" applyFont="1" applyFill="1" applyAlignment="1">
      <alignment horizontal="center" vertical="center"/>
    </xf>
    <xf numFmtId="0" fontId="10" fillId="0" borderId="47" xfId="56" applyFont="1" applyBorder="1" applyAlignment="1">
      <alignment horizontal="center" vertical="center"/>
    </xf>
    <xf numFmtId="0" fontId="10" fillId="0" borderId="51" xfId="56" applyFont="1" applyBorder="1" applyAlignment="1">
      <alignment horizontal="center" vertical="center"/>
    </xf>
    <xf numFmtId="0" fontId="10" fillId="0" borderId="48" xfId="56" applyFont="1" applyBorder="1" applyAlignment="1">
      <alignment horizontal="center" vertical="center"/>
    </xf>
    <xf numFmtId="0" fontId="10" fillId="0" borderId="52" xfId="56" applyFont="1" applyBorder="1" applyAlignment="1">
      <alignment horizontal="center" vertical="center"/>
    </xf>
    <xf numFmtId="0" fontId="10" fillId="0" borderId="53" xfId="56" applyFont="1" applyBorder="1" applyAlignment="1">
      <alignment horizontal="center" vertical="center"/>
    </xf>
    <xf numFmtId="185" fontId="14" fillId="8" borderId="24" xfId="56" applyNumberFormat="1" applyFont="1" applyFill="1" applyBorder="1" applyAlignment="1">
      <alignment horizontal="center" vertical="center"/>
    </xf>
    <xf numFmtId="186" fontId="16" fillId="0" borderId="54" xfId="56" applyNumberFormat="1" applyFont="1" applyBorder="1" applyAlignment="1">
      <alignment horizontal="center" vertical="center"/>
    </xf>
    <xf numFmtId="186" fontId="16" fillId="0" borderId="55" xfId="56" applyNumberFormat="1" applyFont="1" applyBorder="1" applyAlignment="1">
      <alignment horizontal="center" vertical="center"/>
    </xf>
    <xf numFmtId="186" fontId="16" fillId="0" borderId="56" xfId="56" applyNumberFormat="1" applyFont="1" applyBorder="1" applyAlignment="1">
      <alignment horizontal="center" vertical="center"/>
    </xf>
    <xf numFmtId="0" fontId="3" fillId="7" borderId="0" xfId="56" applyFill="1" applyBorder="1" applyAlignment="1">
      <alignment horizontal="center" vertical="center"/>
    </xf>
    <xf numFmtId="0" fontId="10" fillId="7" borderId="57" xfId="56" applyFont="1" applyFill="1" applyBorder="1" applyAlignment="1">
      <alignment horizontal="center" vertical="center"/>
    </xf>
    <xf numFmtId="0" fontId="10" fillId="0" borderId="58" xfId="56" applyFont="1" applyBorder="1" applyAlignment="1">
      <alignment horizontal="center" vertical="center"/>
    </xf>
    <xf numFmtId="0" fontId="10" fillId="0" borderId="59" xfId="56" applyFont="1" applyBorder="1" applyAlignment="1">
      <alignment horizontal="center" vertical="center"/>
    </xf>
    <xf numFmtId="0" fontId="10" fillId="0" borderId="60" xfId="56" applyFont="1" applyBorder="1" applyAlignment="1">
      <alignment horizontal="center" vertical="center"/>
    </xf>
    <xf numFmtId="0" fontId="10" fillId="0" borderId="61" xfId="56" applyFont="1" applyBorder="1" applyAlignment="1">
      <alignment horizontal="center" vertical="center"/>
    </xf>
    <xf numFmtId="0" fontId="7" fillId="7" borderId="32" xfId="56" applyFont="1" applyFill="1" applyBorder="1" applyAlignment="1">
      <alignment horizontal="center" vertical="center"/>
    </xf>
    <xf numFmtId="0" fontId="10" fillId="0" borderId="54" xfId="56" applyFont="1" applyBorder="1" applyAlignment="1">
      <alignment horizontal="center" vertical="center"/>
    </xf>
    <xf numFmtId="0" fontId="10" fillId="0" borderId="56" xfId="56" applyFont="1" applyBorder="1" applyAlignment="1">
      <alignment horizontal="center" vertical="center"/>
    </xf>
    <xf numFmtId="0" fontId="10" fillId="0" borderId="62" xfId="56" applyFont="1" applyBorder="1" applyAlignment="1">
      <alignment horizontal="center" vertical="center"/>
    </xf>
    <xf numFmtId="0" fontId="10" fillId="0" borderId="55" xfId="56" applyFont="1" applyBorder="1" applyAlignment="1">
      <alignment horizontal="center" vertical="center"/>
    </xf>
    <xf numFmtId="0" fontId="21" fillId="0" borderId="63" xfId="56" applyFont="1" applyBorder="1" applyAlignment="1">
      <alignment horizontal="center" vertical="center"/>
    </xf>
    <xf numFmtId="0" fontId="21" fillId="0" borderId="64" xfId="56" applyFont="1" applyBorder="1" applyAlignment="1">
      <alignment horizontal="center" vertical="center"/>
    </xf>
    <xf numFmtId="0" fontId="21" fillId="0" borderId="65" xfId="56" applyFont="1" applyBorder="1" applyAlignment="1">
      <alignment horizontal="center" vertical="center"/>
    </xf>
    <xf numFmtId="187" fontId="22" fillId="9" borderId="58" xfId="56" applyNumberFormat="1" applyFont="1" applyFill="1" applyBorder="1" applyAlignment="1">
      <alignment horizontal="center"/>
    </xf>
    <xf numFmtId="187" fontId="22" fillId="9" borderId="66" xfId="56" applyNumberFormat="1" applyFont="1" applyFill="1" applyBorder="1" applyAlignment="1">
      <alignment horizontal="center"/>
    </xf>
    <xf numFmtId="0" fontId="21" fillId="0" borderId="20" xfId="56" applyFont="1" applyBorder="1" applyAlignment="1">
      <alignment horizontal="center" vertical="center"/>
    </xf>
    <xf numFmtId="0" fontId="21" fillId="0" borderId="0" xfId="56" applyFont="1" applyBorder="1" applyAlignment="1">
      <alignment horizontal="center" vertical="center"/>
    </xf>
    <xf numFmtId="0" fontId="21" fillId="0" borderId="21" xfId="56" applyFont="1" applyBorder="1" applyAlignment="1">
      <alignment horizontal="center" vertical="center"/>
    </xf>
    <xf numFmtId="188" fontId="23" fillId="0" borderId="67" xfId="56" applyNumberFormat="1" applyFont="1" applyBorder="1" applyAlignment="1">
      <alignment horizontal="center"/>
    </xf>
    <xf numFmtId="0" fontId="10" fillId="0" borderId="20" xfId="56" applyFont="1" applyBorder="1" applyAlignment="1">
      <alignment horizontal="center" vertical="center" wrapText="1"/>
    </xf>
    <xf numFmtId="0" fontId="24" fillId="6" borderId="68" xfId="56" applyFont="1" applyFill="1" applyBorder="1" applyAlignment="1">
      <alignment horizontal="center" vertical="center"/>
    </xf>
    <xf numFmtId="0" fontId="24" fillId="6" borderId="69" xfId="56" applyFont="1" applyFill="1" applyBorder="1" applyAlignment="1">
      <alignment horizontal="center" vertical="center"/>
    </xf>
    <xf numFmtId="185" fontId="25" fillId="0" borderId="40" xfId="56" applyNumberFormat="1" applyFont="1" applyBorder="1" applyAlignment="1">
      <alignment horizontal="center"/>
    </xf>
    <xf numFmtId="185" fontId="6" fillId="6" borderId="54" xfId="56" applyNumberFormat="1" applyFont="1" applyFill="1" applyBorder="1" applyAlignment="1">
      <alignment horizontal="center" vertical="center"/>
    </xf>
    <xf numFmtId="185" fontId="26" fillId="6" borderId="56" xfId="56" applyNumberFormat="1" applyFont="1" applyFill="1" applyBorder="1" applyAlignment="1">
      <alignment horizontal="center" vertical="center"/>
    </xf>
    <xf numFmtId="185" fontId="5" fillId="0" borderId="54" xfId="56" applyNumberFormat="1" applyFont="1" applyBorder="1" applyAlignment="1">
      <alignment horizontal="center"/>
    </xf>
    <xf numFmtId="185" fontId="5" fillId="0" borderId="62" xfId="56" applyNumberFormat="1" applyFont="1" applyBorder="1" applyAlignment="1">
      <alignment horizontal="center"/>
    </xf>
    <xf numFmtId="0" fontId="10" fillId="0" borderId="29" xfId="56" applyFont="1" applyBorder="1" applyAlignment="1">
      <alignment horizontal="center" vertical="center" wrapText="1"/>
    </xf>
    <xf numFmtId="0" fontId="24" fillId="7" borderId="68" xfId="56" applyFont="1" applyFill="1" applyBorder="1" applyAlignment="1">
      <alignment horizontal="center" vertical="center"/>
    </xf>
    <xf numFmtId="0" fontId="24" fillId="7" borderId="69" xfId="56" applyFont="1" applyFill="1" applyBorder="1" applyAlignment="1">
      <alignment horizontal="center" vertical="center"/>
    </xf>
    <xf numFmtId="0" fontId="10" fillId="0" borderId="32" xfId="56" applyFont="1" applyBorder="1" applyAlignment="1">
      <alignment horizontal="center" vertical="center" wrapText="1"/>
    </xf>
    <xf numFmtId="0" fontId="10" fillId="7" borderId="43" xfId="56" applyFont="1" applyFill="1" applyBorder="1" applyAlignment="1">
      <alignment horizontal="center" vertical="center"/>
    </xf>
    <xf numFmtId="0" fontId="10" fillId="7" borderId="44" xfId="56" applyFont="1" applyFill="1" applyBorder="1" applyAlignment="1">
      <alignment horizontal="center" vertical="center"/>
    </xf>
    <xf numFmtId="185" fontId="5" fillId="0" borderId="43" xfId="56" applyNumberFormat="1" applyFont="1" applyBorder="1" applyAlignment="1">
      <alignment horizontal="center"/>
    </xf>
    <xf numFmtId="185" fontId="5" fillId="0" borderId="45" xfId="56" applyNumberFormat="1" applyFont="1" applyBorder="1" applyAlignment="1">
      <alignment horizontal="center"/>
    </xf>
    <xf numFmtId="0" fontId="4" fillId="7" borderId="0" xfId="56" applyFont="1" applyFill="1" applyAlignment="1">
      <alignment vertical="center"/>
    </xf>
    <xf numFmtId="0" fontId="10" fillId="0" borderId="14" xfId="56" applyFont="1" applyBorder="1" applyAlignment="1">
      <alignment horizontal="center" vertical="center"/>
    </xf>
    <xf numFmtId="0" fontId="10" fillId="0" borderId="15" xfId="56" applyFont="1" applyBorder="1" applyAlignment="1">
      <alignment horizontal="center" vertical="center"/>
    </xf>
    <xf numFmtId="0" fontId="10" fillId="0" borderId="16" xfId="56" applyFont="1" applyBorder="1" applyAlignment="1">
      <alignment horizontal="center" vertical="center"/>
    </xf>
    <xf numFmtId="189" fontId="27" fillId="0" borderId="1" xfId="56" applyNumberFormat="1" applyFont="1" applyBorder="1" applyAlignment="1">
      <alignment horizontal="center" vertical="center"/>
    </xf>
    <xf numFmtId="189" fontId="6" fillId="0" borderId="1" xfId="56" applyNumberFormat="1" applyFont="1" applyBorder="1" applyAlignment="1">
      <alignment horizontal="center" vertical="center"/>
    </xf>
    <xf numFmtId="189" fontId="6" fillId="0" borderId="1" xfId="56" applyNumberFormat="1" applyFont="1" applyFill="1" applyBorder="1" applyAlignment="1">
      <alignment horizontal="center" vertical="center"/>
    </xf>
    <xf numFmtId="0" fontId="6" fillId="0" borderId="0" xfId="56" applyFont="1" applyBorder="1" applyAlignment="1">
      <alignment vertical="center"/>
    </xf>
    <xf numFmtId="0" fontId="6" fillId="0" borderId="0" xfId="56" applyFont="1" applyAlignment="1">
      <alignment vertical="center"/>
    </xf>
    <xf numFmtId="0" fontId="6" fillId="0" borderId="0" xfId="56" applyFont="1" applyAlignment="1">
      <alignment horizontal="center" vertical="center"/>
    </xf>
    <xf numFmtId="0" fontId="4" fillId="6" borderId="0" xfId="56" applyFont="1" applyFill="1" applyAlignment="1">
      <alignment vertical="center"/>
    </xf>
    <xf numFmtId="0" fontId="5" fillId="0" borderId="70" xfId="56" applyFont="1" applyBorder="1" applyAlignment="1">
      <alignment horizontal="center" vertical="center"/>
    </xf>
    <xf numFmtId="0" fontId="5" fillId="0" borderId="49" xfId="56" applyFont="1" applyBorder="1" applyAlignment="1">
      <alignment horizontal="center" vertical="center"/>
    </xf>
    <xf numFmtId="0" fontId="10" fillId="0" borderId="68" xfId="56" applyFont="1" applyBorder="1" applyAlignment="1">
      <alignment horizontal="center" vertical="center"/>
    </xf>
    <xf numFmtId="0" fontId="10" fillId="0" borderId="70" xfId="56" applyFont="1" applyBorder="1" applyAlignment="1">
      <alignment horizontal="center" vertical="center"/>
    </xf>
    <xf numFmtId="0" fontId="10" fillId="0" borderId="69" xfId="56" applyFont="1" applyBorder="1" applyAlignment="1">
      <alignment horizontal="center" vertical="center"/>
    </xf>
    <xf numFmtId="183" fontId="17" fillId="0" borderId="5" xfId="56" applyNumberFormat="1" applyFont="1" applyBorder="1" applyAlignment="1">
      <alignment horizontal="center" vertical="center" wrapText="1"/>
    </xf>
    <xf numFmtId="183" fontId="17" fillId="0" borderId="11" xfId="56" applyNumberFormat="1" applyFont="1" applyBorder="1" applyAlignment="1">
      <alignment horizontal="center" vertical="center" wrapText="1"/>
    </xf>
    <xf numFmtId="181" fontId="14" fillId="0" borderId="20" xfId="56" applyNumberFormat="1" applyFont="1" applyBorder="1" applyAlignment="1">
      <alignment horizontal="center" vertical="center" wrapText="1"/>
    </xf>
    <xf numFmtId="181" fontId="14" fillId="0" borderId="10" xfId="56" applyNumberFormat="1" applyFont="1" applyBorder="1" applyAlignment="1">
      <alignment horizontal="center" vertical="center" wrapText="1"/>
    </xf>
    <xf numFmtId="181" fontId="14" fillId="0" borderId="9" xfId="56" applyNumberFormat="1" applyFont="1" applyBorder="1" applyAlignment="1">
      <alignment horizontal="center" vertical="center" wrapText="1"/>
    </xf>
    <xf numFmtId="181" fontId="14" fillId="0" borderId="21" xfId="56" applyNumberFormat="1" applyFont="1" applyBorder="1" applyAlignment="1">
      <alignment horizontal="center" vertical="center" wrapText="1"/>
    </xf>
    <xf numFmtId="183" fontId="17" fillId="0" borderId="71" xfId="56" applyNumberFormat="1" applyFont="1" applyBorder="1" applyAlignment="1">
      <alignment horizontal="center" vertical="center" wrapText="1"/>
    </xf>
    <xf numFmtId="183" fontId="17" fillId="0" borderId="50" xfId="56" applyNumberFormat="1" applyFont="1" applyBorder="1" applyAlignment="1">
      <alignment horizontal="center" vertical="center" wrapText="1"/>
    </xf>
    <xf numFmtId="181" fontId="14" fillId="0" borderId="62" xfId="56" applyNumberFormat="1" applyFont="1" applyBorder="1" applyAlignment="1">
      <alignment horizontal="center" vertical="center" wrapText="1"/>
    </xf>
    <xf numFmtId="181" fontId="14" fillId="0" borderId="55" xfId="56" applyNumberFormat="1" applyFont="1" applyBorder="1" applyAlignment="1">
      <alignment horizontal="center" vertical="center" wrapText="1"/>
    </xf>
    <xf numFmtId="0" fontId="3" fillId="7" borderId="0" xfId="56" applyFill="1" applyBorder="1" applyAlignment="1">
      <alignment vertical="center"/>
    </xf>
    <xf numFmtId="184" fontId="20" fillId="0" borderId="43" xfId="56" applyNumberFormat="1" applyFont="1" applyBorder="1" applyAlignment="1">
      <alignment horizontal="center" vertical="center"/>
    </xf>
    <xf numFmtId="184" fontId="20" fillId="0" borderId="44" xfId="56" applyNumberFormat="1" applyFont="1" applyBorder="1" applyAlignment="1">
      <alignment horizontal="center" vertical="center"/>
    </xf>
    <xf numFmtId="0" fontId="6" fillId="7" borderId="0" xfId="56" applyFont="1" applyFill="1" applyAlignment="1">
      <alignment vertical="center"/>
    </xf>
    <xf numFmtId="176" fontId="3" fillId="0" borderId="0" xfId="56" applyNumberFormat="1" applyAlignment="1">
      <alignment vertical="center"/>
    </xf>
    <xf numFmtId="0" fontId="10" fillId="0" borderId="72" xfId="56" applyFont="1" applyBorder="1" applyAlignment="1">
      <alignment horizontal="center" vertical="center"/>
    </xf>
    <xf numFmtId="0" fontId="10" fillId="0" borderId="73" xfId="56" applyFont="1" applyBorder="1" applyAlignment="1">
      <alignment horizontal="center" vertical="center"/>
    </xf>
    <xf numFmtId="184" fontId="16" fillId="0" borderId="62" xfId="56" applyNumberFormat="1" applyFont="1" applyBorder="1" applyAlignment="1">
      <alignment horizontal="center" vertical="center"/>
    </xf>
    <xf numFmtId="184" fontId="16" fillId="0" borderId="56" xfId="56" applyNumberFormat="1" applyFont="1" applyBorder="1" applyAlignment="1">
      <alignment horizontal="center" vertical="center"/>
    </xf>
    <xf numFmtId="185" fontId="28" fillId="0" borderId="74" xfId="56" applyNumberFormat="1" applyFont="1" applyBorder="1" applyAlignment="1">
      <alignment horizontal="center" vertical="center"/>
    </xf>
    <xf numFmtId="185" fontId="28" fillId="0" borderId="75" xfId="56" applyNumberFormat="1" applyFont="1" applyBorder="1" applyAlignment="1">
      <alignment horizontal="center" vertical="center"/>
    </xf>
    <xf numFmtId="187" fontId="29" fillId="0" borderId="66" xfId="56" applyNumberFormat="1" applyFont="1" applyBorder="1" applyAlignment="1">
      <alignment horizontal="center"/>
    </xf>
    <xf numFmtId="0" fontId="9" fillId="0" borderId="17" xfId="56" applyFont="1" applyBorder="1" applyAlignment="1">
      <alignment horizontal="center" vertical="center"/>
    </xf>
    <xf numFmtId="185" fontId="5" fillId="0" borderId="26" xfId="56" applyNumberFormat="1" applyFont="1" applyBorder="1" applyAlignment="1">
      <alignment horizontal="center"/>
    </xf>
    <xf numFmtId="0" fontId="9" fillId="0" borderId="20" xfId="56" applyFont="1" applyBorder="1" applyAlignment="1">
      <alignment horizontal="center" vertical="center"/>
    </xf>
    <xf numFmtId="0" fontId="6" fillId="0" borderId="20" xfId="56" applyFont="1" applyBorder="1" applyAlignment="1">
      <alignment horizontal="center" vertical="center"/>
    </xf>
    <xf numFmtId="185" fontId="5" fillId="0" borderId="76" xfId="56" applyNumberFormat="1" applyFont="1" applyBorder="1" applyAlignment="1">
      <alignment horizontal="center"/>
    </xf>
    <xf numFmtId="0" fontId="6" fillId="0" borderId="24" xfId="56" applyFont="1" applyBorder="1" applyAlignment="1">
      <alignment horizontal="center" vertical="center"/>
    </xf>
    <xf numFmtId="0" fontId="3" fillId="0" borderId="0" xfId="56" applyAlignment="1">
      <alignment horizontal="center"/>
    </xf>
    <xf numFmtId="0" fontId="21" fillId="0" borderId="0" xfId="56" applyFont="1" applyAlignment="1">
      <alignment horizontal="center"/>
    </xf>
    <xf numFmtId="0" fontId="30" fillId="0" borderId="9" xfId="56" applyFont="1" applyBorder="1" applyAlignment="1">
      <alignment horizontal="center" vertical="center"/>
    </xf>
    <xf numFmtId="0" fontId="30" fillId="0" borderId="0" xfId="56" applyFont="1" applyBorder="1" applyAlignment="1">
      <alignment horizontal="center" vertical="center"/>
    </xf>
    <xf numFmtId="0" fontId="6" fillId="10" borderId="9" xfId="56" applyFont="1" applyFill="1" applyBorder="1" applyAlignment="1">
      <alignment horizontal="right" vertical="center"/>
    </xf>
    <xf numFmtId="0" fontId="24" fillId="0" borderId="0" xfId="56" applyFont="1" applyAlignment="1">
      <alignment horizontal="left" vertical="center" wrapText="1"/>
    </xf>
    <xf numFmtId="0" fontId="24" fillId="0" borderId="0" xfId="56" applyFont="1" applyAlignment="1">
      <alignment horizontal="left" vertical="center"/>
    </xf>
    <xf numFmtId="0" fontId="6" fillId="0" borderId="0" xfId="56" applyFont="1" applyBorder="1" applyAlignment="1">
      <alignment horizontal="right" vertical="center"/>
    </xf>
    <xf numFmtId="0" fontId="6" fillId="0" borderId="0" xfId="56" applyFont="1" applyAlignment="1">
      <alignment horizontal="center"/>
    </xf>
    <xf numFmtId="0" fontId="6" fillId="6" borderId="0" xfId="56" applyFont="1" applyFill="1"/>
    <xf numFmtId="0" fontId="10" fillId="0" borderId="27" xfId="56" applyFont="1" applyBorder="1" applyAlignment="1">
      <alignment horizontal="center" vertical="center"/>
    </xf>
    <xf numFmtId="181" fontId="14" fillId="0" borderId="13" xfId="56" applyNumberFormat="1" applyFont="1" applyBorder="1" applyAlignment="1">
      <alignment horizontal="center" vertical="center" wrapText="1"/>
    </xf>
    <xf numFmtId="181" fontId="14" fillId="0" borderId="41" xfId="56" applyNumberFormat="1" applyFont="1" applyBorder="1" applyAlignment="1">
      <alignment horizontal="center" vertical="center" wrapText="1"/>
    </xf>
    <xf numFmtId="181" fontId="14" fillId="0" borderId="45" xfId="56" applyNumberFormat="1" applyFont="1" applyBorder="1" applyAlignment="1">
      <alignment horizontal="center" vertical="center" wrapText="1"/>
    </xf>
    <xf numFmtId="181" fontId="14" fillId="0" borderId="44" xfId="56" applyNumberFormat="1" applyFont="1" applyBorder="1" applyAlignment="1">
      <alignment horizontal="center" vertical="center" wrapText="1"/>
    </xf>
    <xf numFmtId="0" fontId="10" fillId="0" borderId="0" xfId="56" applyFont="1" applyBorder="1" applyAlignment="1">
      <alignment horizontal="center" vertical="center"/>
    </xf>
    <xf numFmtId="190" fontId="31" fillId="0" borderId="0" xfId="56" applyNumberFormat="1" applyFont="1" applyBorder="1" applyAlignment="1">
      <alignment horizontal="center" vertical="center" wrapText="1"/>
    </xf>
    <xf numFmtId="0" fontId="9" fillId="0" borderId="18" xfId="56" applyFont="1" applyBorder="1" applyAlignment="1">
      <alignment horizontal="center" vertical="center"/>
    </xf>
    <xf numFmtId="0" fontId="9" fillId="0" borderId="19" xfId="56" applyFont="1" applyBorder="1" applyAlignment="1">
      <alignment horizontal="center" vertical="center"/>
    </xf>
    <xf numFmtId="0" fontId="9" fillId="0" borderId="0" xfId="56" applyFont="1" applyBorder="1" applyAlignment="1">
      <alignment horizontal="center" vertical="center"/>
    </xf>
    <xf numFmtId="0" fontId="9" fillId="0" borderId="21" xfId="56" applyFont="1" applyBorder="1" applyAlignment="1">
      <alignment horizontal="center" vertical="center"/>
    </xf>
    <xf numFmtId="0" fontId="6" fillId="0" borderId="0" xfId="56" applyFont="1" applyBorder="1" applyAlignment="1">
      <alignment horizontal="center" vertical="center"/>
    </xf>
    <xf numFmtId="0" fontId="6" fillId="0" borderId="21" xfId="56" applyFont="1" applyBorder="1" applyAlignment="1">
      <alignment horizontal="center" vertical="center"/>
    </xf>
    <xf numFmtId="0" fontId="6" fillId="0" borderId="25" xfId="56" applyFont="1" applyBorder="1" applyAlignment="1">
      <alignment horizontal="center" vertical="center"/>
    </xf>
    <xf numFmtId="0" fontId="6" fillId="0" borderId="26" xfId="56" applyFont="1" applyBorder="1" applyAlignment="1">
      <alignment horizontal="center" vertical="center"/>
    </xf>
    <xf numFmtId="0" fontId="10" fillId="0" borderId="0" xfId="56" applyFont="1" applyAlignment="1">
      <alignment vertical="center"/>
    </xf>
    <xf numFmtId="0" fontId="10" fillId="0" borderId="0" xfId="56" applyFont="1" applyBorder="1" applyAlignment="1">
      <alignment vertical="center"/>
    </xf>
    <xf numFmtId="14" fontId="10" fillId="0" borderId="0" xfId="56" applyNumberFormat="1" applyFont="1" applyAlignment="1">
      <alignment vertical="center"/>
    </xf>
    <xf numFmtId="0" fontId="9" fillId="6" borderId="0" xfId="56" applyFont="1" applyFill="1" applyBorder="1" applyAlignment="1">
      <alignment horizontal="center" vertical="center"/>
    </xf>
    <xf numFmtId="0" fontId="6" fillId="0" borderId="0" xfId="56" applyFont="1" applyBorder="1"/>
    <xf numFmtId="0" fontId="3" fillId="11" borderId="0" xfId="56" applyFill="1"/>
    <xf numFmtId="0" fontId="5" fillId="11" borderId="0" xfId="56" applyFont="1" applyFill="1" applyAlignment="1">
      <alignment horizontal="center"/>
    </xf>
    <xf numFmtId="0" fontId="10" fillId="11" borderId="0" xfId="56" applyFont="1" applyFill="1" applyAlignment="1">
      <alignment horizontal="center"/>
    </xf>
    <xf numFmtId="0" fontId="10" fillId="0" borderId="0" xfId="56" applyFont="1" applyAlignment="1">
      <alignment horizontal="center"/>
    </xf>
    <xf numFmtId="0" fontId="10" fillId="11" borderId="0" xfId="56" applyFont="1" applyFill="1" applyAlignment="1">
      <alignment horizontal="right"/>
    </xf>
    <xf numFmtId="0" fontId="6" fillId="11" borderId="0" xfId="56" applyFont="1" applyFill="1" applyAlignment="1">
      <alignment horizontal="center"/>
    </xf>
    <xf numFmtId="0" fontId="32" fillId="0" borderId="0" xfId="56" applyFont="1"/>
    <xf numFmtId="0" fontId="10" fillId="0" borderId="1" xfId="56" applyFont="1" applyBorder="1" applyAlignment="1">
      <alignment horizontal="center"/>
    </xf>
    <xf numFmtId="0" fontId="5" fillId="0" borderId="1" xfId="56" applyFont="1" applyBorder="1" applyAlignment="1">
      <alignment horizontal="center"/>
    </xf>
    <xf numFmtId="0" fontId="10" fillId="0" borderId="53" xfId="56" applyFont="1" applyBorder="1" applyAlignment="1">
      <alignment horizontal="center"/>
    </xf>
    <xf numFmtId="0" fontId="5" fillId="0" borderId="53" xfId="56" applyFont="1" applyBorder="1" applyAlignment="1">
      <alignment horizontal="center"/>
    </xf>
    <xf numFmtId="189" fontId="5" fillId="0" borderId="5" xfId="56" applyNumberFormat="1" applyFont="1" applyBorder="1" applyAlignment="1">
      <alignment horizontal="center"/>
    </xf>
    <xf numFmtId="184" fontId="5" fillId="0" borderId="5" xfId="56" applyNumberFormat="1" applyFont="1" applyBorder="1" applyAlignment="1">
      <alignment horizontal="center"/>
    </xf>
    <xf numFmtId="187" fontId="5" fillId="0" borderId="5" xfId="56" applyNumberFormat="1" applyFont="1" applyBorder="1" applyAlignment="1">
      <alignment horizontal="center"/>
    </xf>
    <xf numFmtId="189" fontId="5" fillId="0" borderId="13" xfId="56" applyNumberFormat="1" applyFont="1" applyBorder="1" applyAlignment="1">
      <alignment horizontal="center"/>
    </xf>
    <xf numFmtId="189" fontId="5" fillId="0" borderId="1" xfId="56" applyNumberFormat="1" applyFont="1" applyBorder="1" applyAlignment="1">
      <alignment horizontal="center"/>
    </xf>
    <xf numFmtId="184" fontId="5" fillId="0" borderId="1" xfId="56" applyNumberFormat="1" applyFont="1" applyBorder="1" applyAlignment="1">
      <alignment horizontal="center"/>
    </xf>
    <xf numFmtId="187" fontId="5" fillId="0" borderId="1" xfId="56" applyNumberFormat="1" applyFont="1" applyBorder="1" applyAlignment="1">
      <alignment horizontal="center"/>
    </xf>
    <xf numFmtId="189" fontId="5" fillId="0" borderId="16" xfId="56" applyNumberFormat="1" applyFont="1" applyBorder="1" applyAlignment="1">
      <alignment horizontal="center"/>
    </xf>
    <xf numFmtId="191" fontId="5" fillId="0" borderId="1" xfId="56" applyNumberFormat="1" applyFont="1" applyBorder="1" applyAlignment="1">
      <alignment horizontal="center"/>
    </xf>
    <xf numFmtId="189" fontId="33" fillId="0" borderId="1" xfId="56" applyNumberFormat="1" applyFont="1" applyBorder="1" applyAlignment="1">
      <alignment horizontal="center"/>
    </xf>
    <xf numFmtId="186" fontId="5" fillId="0" borderId="1" xfId="56" applyNumberFormat="1" applyFont="1" applyBorder="1" applyAlignment="1">
      <alignment horizontal="center"/>
    </xf>
    <xf numFmtId="188" fontId="5" fillId="0" borderId="1" xfId="56" applyNumberFormat="1" applyFont="1" applyBorder="1" applyAlignment="1">
      <alignment horizontal="center"/>
    </xf>
    <xf numFmtId="0" fontId="6" fillId="0" borderId="0" xfId="56" applyFont="1" applyBorder="1" applyAlignment="1">
      <alignment horizontal="center"/>
    </xf>
    <xf numFmtId="0" fontId="6" fillId="0" borderId="1" xfId="56" applyFont="1" applyBorder="1" applyAlignment="1">
      <alignment horizontal="center"/>
    </xf>
    <xf numFmtId="0" fontId="10" fillId="0" borderId="53" xfId="56" applyFont="1" applyFill="1" applyBorder="1" applyAlignment="1">
      <alignment horizontal="center"/>
    </xf>
    <xf numFmtId="185" fontId="5" fillId="0" borderId="5" xfId="56" applyNumberFormat="1" applyFont="1" applyBorder="1" applyAlignment="1">
      <alignment horizontal="center"/>
    </xf>
    <xf numFmtId="191" fontId="5" fillId="0" borderId="5" xfId="56" applyNumberFormat="1" applyFont="1" applyBorder="1" applyAlignment="1">
      <alignment horizontal="center"/>
    </xf>
    <xf numFmtId="192" fontId="6" fillId="0" borderId="1" xfId="44" applyNumberFormat="1" applyFont="1" applyBorder="1" applyAlignment="1">
      <alignment horizontal="center"/>
    </xf>
    <xf numFmtId="185" fontId="5" fillId="0" borderId="1" xfId="56" applyNumberFormat="1" applyFont="1" applyBorder="1" applyAlignment="1">
      <alignment horizontal="center"/>
    </xf>
    <xf numFmtId="40" fontId="6" fillId="0" borderId="5" xfId="44" applyNumberFormat="1" applyFont="1" applyBorder="1" applyAlignment="1">
      <alignment horizontal="center"/>
    </xf>
    <xf numFmtId="192" fontId="6" fillId="0" borderId="5" xfId="44" applyNumberFormat="1" applyFont="1" applyBorder="1" applyAlignment="1">
      <alignment horizontal="center"/>
    </xf>
    <xf numFmtId="40" fontId="6" fillId="0" borderId="1" xfId="44" applyNumberFormat="1" applyFont="1" applyBorder="1" applyAlignment="1">
      <alignment horizontal="center"/>
    </xf>
    <xf numFmtId="40" fontId="6" fillId="0" borderId="1" xfId="44" applyNumberFormat="1" applyFont="1" applyBorder="1"/>
    <xf numFmtId="192" fontId="6" fillId="0" borderId="1" xfId="44" applyNumberFormat="1" applyFont="1" applyBorder="1" applyAlignment="1">
      <alignment horizontal="right"/>
    </xf>
    <xf numFmtId="0" fontId="9" fillId="0" borderId="0" xfId="56" applyFont="1" applyBorder="1" applyAlignment="1">
      <alignment horizontal="center"/>
    </xf>
    <xf numFmtId="0" fontId="9" fillId="11" borderId="0" xfId="56" applyFont="1" applyFill="1" applyBorder="1" applyAlignment="1">
      <alignment horizontal="center"/>
    </xf>
    <xf numFmtId="0" fontId="6" fillId="11" borderId="0" xfId="56" applyFont="1" applyFill="1" applyBorder="1"/>
    <xf numFmtId="0" fontId="6" fillId="11" borderId="0" xfId="56" applyFont="1" applyFill="1"/>
    <xf numFmtId="0" fontId="32" fillId="0" borderId="0" xfId="56" applyFont="1" applyBorder="1" applyAlignment="1">
      <alignment horizontal="left"/>
    </xf>
    <xf numFmtId="183" fontId="5" fillId="0" borderId="5" xfId="56" applyNumberFormat="1" applyFont="1" applyBorder="1" applyAlignment="1">
      <alignment horizontal="center"/>
    </xf>
    <xf numFmtId="181" fontId="5" fillId="0" borderId="5" xfId="56" applyNumberFormat="1" applyFont="1" applyBorder="1" applyAlignment="1">
      <alignment horizontal="center"/>
    </xf>
    <xf numFmtId="3" fontId="5" fillId="0" borderId="5" xfId="56" applyNumberFormat="1" applyFont="1" applyBorder="1" applyAlignment="1">
      <alignment horizontal="center"/>
    </xf>
    <xf numFmtId="183" fontId="5" fillId="0" borderId="1" xfId="56" applyNumberFormat="1" applyFont="1" applyBorder="1" applyAlignment="1">
      <alignment horizontal="center"/>
    </xf>
    <xf numFmtId="181" fontId="5" fillId="0" borderId="1" xfId="56" applyNumberFormat="1" applyFont="1" applyBorder="1" applyAlignment="1">
      <alignment horizontal="center"/>
    </xf>
    <xf numFmtId="3" fontId="5" fillId="0" borderId="1" xfId="56" applyNumberFormat="1" applyFont="1" applyBorder="1" applyAlignment="1">
      <alignment horizontal="center"/>
    </xf>
    <xf numFmtId="4" fontId="5" fillId="0" borderId="5" xfId="56" applyNumberFormat="1" applyFont="1" applyBorder="1" applyAlignment="1">
      <alignment horizontal="center"/>
    </xf>
    <xf numFmtId="189" fontId="5" fillId="0" borderId="1" xfId="56" applyNumberFormat="1" applyFont="1" applyFill="1" applyBorder="1" applyAlignment="1">
      <alignment horizontal="center"/>
    </xf>
    <xf numFmtId="0" fontId="3" fillId="0" borderId="1" xfId="56" applyBorder="1"/>
    <xf numFmtId="191" fontId="33" fillId="0" borderId="1" xfId="56" applyNumberFormat="1" applyFont="1" applyBorder="1" applyAlignment="1">
      <alignment horizontal="center"/>
    </xf>
    <xf numFmtId="191" fontId="5" fillId="0" borderId="1" xfId="56" applyNumberFormat="1" applyFont="1" applyFill="1" applyBorder="1" applyAlignment="1">
      <alignment horizontal="center"/>
    </xf>
    <xf numFmtId="191" fontId="33" fillId="0" borderId="1" xfId="56" applyNumberFormat="1" applyFont="1" applyFill="1" applyBorder="1" applyAlignment="1">
      <alignment horizontal="center"/>
    </xf>
    <xf numFmtId="0" fontId="6" fillId="0" borderId="1" xfId="56" applyFont="1" applyBorder="1"/>
    <xf numFmtId="0" fontId="34" fillId="0" borderId="0" xfId="60">
      <alignment vertical="center"/>
    </xf>
    <xf numFmtId="0" fontId="35" fillId="12" borderId="77" xfId="60" applyNumberFormat="1" applyFont="1" applyFill="1" applyBorder="1" applyAlignment="1">
      <alignment horizontal="center"/>
    </xf>
    <xf numFmtId="0" fontId="34" fillId="0" borderId="0" xfId="60" applyNumberFormat="1" applyAlignment="1"/>
    <xf numFmtId="0" fontId="36" fillId="13" borderId="78" xfId="60" applyNumberFormat="1" applyFont="1" applyFill="1" applyBorder="1" applyAlignment="1">
      <alignment horizontal="center"/>
    </xf>
    <xf numFmtId="0" fontId="20" fillId="0" borderId="79" xfId="60" applyNumberFormat="1" applyFont="1" applyBorder="1" applyAlignment="1">
      <alignment horizontal="center"/>
    </xf>
    <xf numFmtId="0" fontId="20" fillId="13" borderId="80" xfId="60" applyNumberFormat="1" applyFont="1" applyFill="1" applyBorder="1" applyAlignment="1">
      <alignment horizontal="center"/>
    </xf>
    <xf numFmtId="0" fontId="16" fillId="12" borderId="81" xfId="60" applyNumberFormat="1" applyFont="1" applyFill="1" applyBorder="1" applyAlignment="1">
      <alignment horizontal="center"/>
    </xf>
    <xf numFmtId="0" fontId="36" fillId="13" borderId="80" xfId="60" applyNumberFormat="1" applyFont="1" applyFill="1" applyBorder="1" applyAlignment="1">
      <alignment horizontal="center"/>
    </xf>
    <xf numFmtId="0" fontId="20" fillId="0" borderId="82" xfId="60" applyNumberFormat="1" applyFont="1" applyBorder="1" applyAlignment="1">
      <alignment horizontal="center"/>
    </xf>
    <xf numFmtId="0" fontId="37" fillId="13" borderId="80" xfId="60" applyNumberFormat="1" applyFont="1" applyFill="1" applyBorder="1" applyAlignment="1">
      <alignment horizontal="center"/>
    </xf>
    <xf numFmtId="0" fontId="38" fillId="0" borderId="83" xfId="60" applyNumberFormat="1" applyFont="1" applyBorder="1" applyAlignment="1">
      <alignment horizontal="center"/>
    </xf>
    <xf numFmtId="0" fontId="37" fillId="12" borderId="81" xfId="60" applyNumberFormat="1" applyFont="1" applyFill="1" applyBorder="1" applyAlignment="1">
      <alignment horizontal="center"/>
    </xf>
    <xf numFmtId="0" fontId="38" fillId="0" borderId="84" xfId="60" applyNumberFormat="1" applyFont="1" applyBorder="1" applyAlignment="1">
      <alignment horizontal="center"/>
    </xf>
    <xf numFmtId="0" fontId="37" fillId="13" borderId="85" xfId="60" applyNumberFormat="1" applyFont="1" applyFill="1" applyBorder="1" applyAlignment="1">
      <alignment horizontal="center"/>
    </xf>
    <xf numFmtId="0" fontId="38" fillId="0" borderId="81" xfId="60" applyNumberFormat="1" applyFont="1" applyBorder="1" applyAlignment="1">
      <alignment horizontal="left" wrapText="1"/>
    </xf>
    <xf numFmtId="0" fontId="38" fillId="0" borderId="86" xfId="60" applyNumberFormat="1" applyFont="1" applyBorder="1" applyAlignment="1">
      <alignment horizontal="center"/>
    </xf>
    <xf numFmtId="0" fontId="20" fillId="0" borderId="87" xfId="60" applyNumberFormat="1" applyFont="1" applyBorder="1" applyAlignment="1">
      <alignment horizontal="center"/>
    </xf>
    <xf numFmtId="0" fontId="37" fillId="14" borderId="88" xfId="60" applyNumberFormat="1" applyFont="1" applyFill="1" applyBorder="1" applyAlignment="1">
      <alignment horizontal="center"/>
    </xf>
    <xf numFmtId="0" fontId="38" fillId="0" borderId="79" xfId="60" applyNumberFormat="1" applyFont="1" applyBorder="1" applyAlignment="1">
      <alignment horizontal="center"/>
    </xf>
    <xf numFmtId="0" fontId="16" fillId="15" borderId="81" xfId="60" applyNumberFormat="1" applyFont="1" applyFill="1" applyBorder="1" applyAlignment="1">
      <alignment horizontal="center"/>
    </xf>
    <xf numFmtId="0" fontId="20" fillId="0" borderId="84" xfId="60" applyNumberFormat="1" applyFont="1" applyBorder="1" applyAlignment="1">
      <alignment horizontal="center"/>
    </xf>
    <xf numFmtId="0" fontId="20" fillId="0" borderId="89" xfId="60" applyNumberFormat="1" applyFont="1" applyBorder="1" applyAlignment="1">
      <alignment horizontal="center"/>
    </xf>
    <xf numFmtId="0" fontId="37" fillId="14" borderId="90" xfId="60" applyNumberFormat="1" applyFont="1" applyFill="1" applyBorder="1" applyAlignment="1">
      <alignment horizontal="right"/>
    </xf>
    <xf numFmtId="0" fontId="39" fillId="14" borderId="81" xfId="60" applyNumberFormat="1" applyFont="1" applyFill="1" applyBorder="1" applyAlignment="1">
      <alignment horizontal="center"/>
    </xf>
    <xf numFmtId="194" fontId="16" fillId="15" borderId="81" xfId="60" applyNumberFormat="1" applyFont="1" applyFill="1" applyBorder="1" applyAlignment="1">
      <alignment horizontal="center"/>
    </xf>
    <xf numFmtId="0" fontId="39" fillId="0" borderId="84" xfId="60" applyNumberFormat="1" applyFont="1" applyBorder="1" applyAlignment="1">
      <alignment horizontal="center"/>
    </xf>
    <xf numFmtId="0" fontId="39" fillId="0" borderId="81" xfId="60" applyNumberFormat="1" applyFont="1" applyBorder="1" applyAlignment="1">
      <alignment horizontal="center"/>
    </xf>
    <xf numFmtId="0" fontId="40" fillId="0" borderId="0" xfId="60" applyNumberFormat="1" applyFont="1" applyAlignment="1">
      <alignment horizontal="center"/>
    </xf>
    <xf numFmtId="0" fontId="41" fillId="0" borderId="0" xfId="60" applyNumberFormat="1" applyFont="1" applyAlignment="1">
      <alignment horizontal="center"/>
    </xf>
    <xf numFmtId="0" fontId="42" fillId="0" borderId="0" xfId="60" applyNumberFormat="1" applyFont="1" applyAlignment="1">
      <alignment horizontal="center"/>
    </xf>
    <xf numFmtId="0" fontId="37" fillId="0" borderId="82" xfId="60" applyNumberFormat="1" applyFont="1" applyBorder="1" applyAlignment="1">
      <alignment horizontal="center"/>
    </xf>
    <xf numFmtId="0" fontId="43" fillId="0" borderId="87" xfId="60" applyNumberFormat="1" applyFont="1" applyBorder="1" applyAlignment="1">
      <alignment horizontal="center"/>
    </xf>
    <xf numFmtId="0" fontId="20" fillId="0" borderId="0" xfId="60" applyNumberFormat="1" applyFont="1" applyAlignment="1">
      <alignment horizontal="center"/>
    </xf>
    <xf numFmtId="0" fontId="38" fillId="0" borderId="81" xfId="60" applyNumberFormat="1" applyFont="1" applyBorder="1" applyAlignment="1">
      <alignment horizontal="center"/>
    </xf>
    <xf numFmtId="0" fontId="16" fillId="12" borderId="91" xfId="60" applyNumberFormat="1" applyFont="1" applyFill="1" applyBorder="1" applyAlignment="1">
      <alignment horizontal="center"/>
    </xf>
    <xf numFmtId="0" fontId="38" fillId="0" borderId="0" xfId="60" applyNumberFormat="1" applyFont="1" applyAlignment="1">
      <alignment horizontal="center"/>
    </xf>
    <xf numFmtId="0" fontId="34" fillId="0" borderId="81" xfId="60" applyNumberFormat="1" applyBorder="1" applyAlignment="1">
      <alignment horizontal="center"/>
    </xf>
    <xf numFmtId="0" fontId="37" fillId="0" borderId="0" xfId="60" applyNumberFormat="1" applyFont="1" applyAlignment="1">
      <alignment horizontal="center"/>
    </xf>
    <xf numFmtId="0" fontId="44" fillId="0" borderId="81" xfId="60" applyNumberFormat="1" applyFont="1" applyBorder="1" applyAlignment="1">
      <alignment horizontal="center"/>
    </xf>
    <xf numFmtId="0" fontId="39" fillId="0" borderId="0" xfId="60" applyNumberFormat="1" applyFont="1" applyAlignment="1">
      <alignment horizontal="center"/>
    </xf>
    <xf numFmtId="0" fontId="16" fillId="15" borderId="92" xfId="60" applyNumberFormat="1" applyFont="1" applyFill="1" applyBorder="1" applyAlignment="1">
      <alignment horizontal="center"/>
    </xf>
    <xf numFmtId="0" fontId="0" fillId="0" borderId="0" xfId="0" applyAlignment="1"/>
    <xf numFmtId="0" fontId="0" fillId="10" borderId="0" xfId="0" applyFill="1" applyBorder="1" applyAlignment="1" applyProtection="1"/>
    <xf numFmtId="0" fontId="37" fillId="10" borderId="0" xfId="0" applyFont="1" applyFill="1" applyBorder="1" applyAlignment="1" applyProtection="1">
      <alignment horizontal="center"/>
      <protection locked="0"/>
    </xf>
    <xf numFmtId="2" fontId="37" fillId="10" borderId="0" xfId="0" applyNumberFormat="1" applyFont="1" applyFill="1" applyBorder="1" applyAlignment="1" applyProtection="1">
      <alignment horizontal="center" vertical="center"/>
      <protection locked="0"/>
    </xf>
    <xf numFmtId="0" fontId="45" fillId="10" borderId="0" xfId="0" applyFont="1" applyFill="1" applyBorder="1" applyAlignment="1" applyProtection="1"/>
    <xf numFmtId="0" fontId="46" fillId="16" borderId="1" xfId="0" applyFont="1" applyFill="1" applyBorder="1" applyAlignment="1" applyProtection="1">
      <alignment horizontal="center"/>
    </xf>
    <xf numFmtId="0" fontId="46" fillId="16" borderId="1" xfId="0" applyFont="1" applyFill="1" applyBorder="1" applyAlignment="1" applyProtection="1">
      <alignment horizontal="center"/>
      <protection locked="0"/>
    </xf>
    <xf numFmtId="0" fontId="46" fillId="17" borderId="1" xfId="0" applyFont="1" applyFill="1" applyBorder="1" applyAlignment="1" applyProtection="1">
      <alignment horizontal="center"/>
    </xf>
    <xf numFmtId="0" fontId="3" fillId="18" borderId="14" xfId="0" applyFont="1" applyFill="1" applyBorder="1" applyAlignment="1" applyProtection="1">
      <alignment horizontal="center"/>
    </xf>
    <xf numFmtId="0" fontId="0" fillId="0" borderId="16" xfId="0" applyBorder="1" applyAlignment="1" applyProtection="1"/>
    <xf numFmtId="0" fontId="46" fillId="18" borderId="1" xfId="0" applyNumberFormat="1" applyFont="1" applyFill="1" applyBorder="1" applyAlignment="1" applyProtection="1">
      <alignment horizontal="center"/>
    </xf>
    <xf numFmtId="0" fontId="10" fillId="10" borderId="0" xfId="0" applyFont="1" applyFill="1" applyBorder="1" applyAlignment="1" applyProtection="1"/>
    <xf numFmtId="0" fontId="3" fillId="19" borderId="1" xfId="0" applyFont="1" applyFill="1" applyBorder="1" applyAlignment="1" applyProtection="1">
      <alignment horizontal="center"/>
    </xf>
    <xf numFmtId="0" fontId="46" fillId="19" borderId="1" xfId="0" applyFont="1" applyFill="1" applyBorder="1" applyAlignment="1" applyProtection="1">
      <alignment horizontal="center"/>
      <protection locked="0"/>
    </xf>
    <xf numFmtId="0" fontId="46" fillId="20" borderId="14" xfId="0" applyFont="1" applyFill="1" applyBorder="1" applyAlignment="1" applyProtection="1">
      <alignment horizontal="center"/>
    </xf>
    <xf numFmtId="0" fontId="46" fillId="20" borderId="16" xfId="0" applyFont="1" applyFill="1" applyBorder="1" applyAlignment="1" applyProtection="1">
      <alignment horizontal="center"/>
    </xf>
    <xf numFmtId="2" fontId="46" fillId="20" borderId="1" xfId="0" applyNumberFormat="1" applyFont="1" applyFill="1" applyBorder="1" applyAlignment="1" applyProtection="1">
      <alignment horizontal="center"/>
    </xf>
    <xf numFmtId="0" fontId="46" fillId="20" borderId="6" xfId="0" applyFont="1" applyFill="1" applyBorder="1" applyAlignment="1" applyProtection="1"/>
    <xf numFmtId="0" fontId="46" fillId="20" borderId="8" xfId="0" applyFont="1" applyFill="1" applyBorder="1" applyAlignment="1" applyProtection="1"/>
    <xf numFmtId="0" fontId="46" fillId="20" borderId="7" xfId="0" applyFont="1" applyFill="1" applyBorder="1" applyAlignment="1" applyProtection="1"/>
    <xf numFmtId="0" fontId="46" fillId="20" borderId="9" xfId="0" applyFont="1" applyFill="1" applyBorder="1" applyAlignment="1" applyProtection="1"/>
    <xf numFmtId="0" fontId="46" fillId="20" borderId="0" xfId="0" applyFont="1" applyFill="1" applyBorder="1" applyAlignment="1" applyProtection="1"/>
    <xf numFmtId="0" fontId="0" fillId="0" borderId="0" xfId="0" applyBorder="1" applyAlignment="1" applyProtection="1"/>
    <xf numFmtId="0" fontId="0" fillId="20" borderId="11" xfId="0" applyFill="1" applyBorder="1" applyAlignment="1" applyProtection="1"/>
    <xf numFmtId="0" fontId="0" fillId="0" borderId="12" xfId="0" applyBorder="1" applyAlignment="1"/>
    <xf numFmtId="0" fontId="0" fillId="10" borderId="0" xfId="0" applyFill="1" applyBorder="1" applyAlignment="1"/>
    <xf numFmtId="0" fontId="37" fillId="10" borderId="0" xfId="0" applyFont="1" applyFill="1" applyBorder="1" applyAlignment="1" applyProtection="1">
      <alignment horizontal="center"/>
    </xf>
    <xf numFmtId="2" fontId="0" fillId="10" borderId="0" xfId="0" applyNumberFormat="1" applyFill="1" applyBorder="1" applyAlignment="1" applyProtection="1">
      <alignment horizontal="center"/>
    </xf>
    <xf numFmtId="0" fontId="47" fillId="10" borderId="0" xfId="0" applyFont="1" applyFill="1" applyBorder="1" applyAlignment="1" applyProtection="1">
      <alignment horizontal="center"/>
    </xf>
    <xf numFmtId="0" fontId="48" fillId="0" borderId="0" xfId="0" applyFont="1" applyAlignment="1" applyProtection="1"/>
    <xf numFmtId="0" fontId="49" fillId="10" borderId="0" xfId="0" applyFont="1" applyFill="1" applyBorder="1" applyAlignment="1">
      <alignment horizontal="center"/>
    </xf>
    <xf numFmtId="0" fontId="50" fillId="0" borderId="93" xfId="0" applyFont="1" applyBorder="1" applyAlignment="1" applyProtection="1">
      <alignment horizontal="center" wrapText="1"/>
    </xf>
    <xf numFmtId="0" fontId="0" fillId="0" borderId="94" xfId="0" applyBorder="1" applyAlignment="1" applyProtection="1">
      <alignment horizontal="center"/>
    </xf>
    <xf numFmtId="0" fontId="37" fillId="7" borderId="93" xfId="0" applyFont="1" applyFill="1" applyBorder="1" applyAlignment="1" applyProtection="1">
      <alignment horizontal="right" wrapText="1"/>
      <protection locked="0"/>
    </xf>
    <xf numFmtId="0" fontId="0" fillId="7" borderId="94" xfId="0" applyFill="1" applyBorder="1" applyAlignment="1" applyProtection="1"/>
    <xf numFmtId="0" fontId="10" fillId="10" borderId="0" xfId="0" applyFont="1" applyFill="1" applyBorder="1" applyAlignment="1"/>
    <xf numFmtId="0" fontId="50" fillId="10" borderId="0" xfId="0" applyFont="1" applyFill="1" applyBorder="1" applyAlignment="1" applyProtection="1"/>
    <xf numFmtId="0" fontId="50" fillId="17" borderId="95" xfId="0" applyFont="1" applyFill="1" applyBorder="1" applyAlignment="1" applyProtection="1">
      <alignment horizontal="center"/>
    </xf>
    <xf numFmtId="0" fontId="37" fillId="17" borderId="96" xfId="0" applyFont="1" applyFill="1" applyBorder="1" applyAlignment="1" applyProtection="1">
      <alignment horizontal="center"/>
    </xf>
    <xf numFmtId="194" fontId="16" fillId="21" borderId="97" xfId="0" applyNumberFormat="1" applyFont="1" applyFill="1" applyBorder="1" applyAlignment="1" applyProtection="1">
      <alignment horizontal="center"/>
    </xf>
    <xf numFmtId="0" fontId="37" fillId="17" borderId="98" xfId="0" applyFont="1" applyFill="1" applyBorder="1" applyAlignment="1" applyProtection="1">
      <alignment horizontal="center"/>
    </xf>
    <xf numFmtId="0" fontId="37" fillId="17" borderId="99" xfId="0" applyFont="1" applyFill="1" applyBorder="1" applyAlignment="1" applyProtection="1">
      <alignment horizontal="center"/>
    </xf>
    <xf numFmtId="0" fontId="46" fillId="21" borderId="100" xfId="0" applyFont="1" applyFill="1" applyBorder="1" applyAlignment="1" applyProtection="1"/>
    <xf numFmtId="2" fontId="37" fillId="22" borderId="101" xfId="0" applyNumberFormat="1" applyFont="1" applyFill="1" applyBorder="1" applyAlignment="1" applyProtection="1">
      <alignment horizontal="center"/>
      <protection locked="0"/>
    </xf>
    <xf numFmtId="0" fontId="50" fillId="17" borderId="93" xfId="0" applyFont="1" applyFill="1" applyBorder="1" applyAlignment="1" applyProtection="1">
      <alignment horizontal="center" wrapText="1"/>
    </xf>
    <xf numFmtId="0" fontId="0" fillId="17" borderId="94" xfId="0" applyFill="1" applyBorder="1" applyAlignment="1" applyProtection="1">
      <alignment horizontal="center"/>
    </xf>
    <xf numFmtId="196" fontId="37" fillId="23" borderId="101" xfId="0" applyNumberFormat="1" applyFont="1" applyFill="1" applyBorder="1" applyAlignment="1" applyProtection="1">
      <alignment horizontal="center" wrapText="1"/>
    </xf>
    <xf numFmtId="0" fontId="46" fillId="20" borderId="10" xfId="0" applyFont="1" applyFill="1" applyBorder="1" applyAlignment="1" applyProtection="1"/>
    <xf numFmtId="0" fontId="0" fillId="0" borderId="10" xfId="0" applyBorder="1" applyAlignment="1" applyProtection="1"/>
    <xf numFmtId="0" fontId="46" fillId="20" borderId="0" xfId="0" applyFont="1" applyFill="1" applyBorder="1" applyAlignment="1" applyProtection="1">
      <alignment horizontal="center" vertical="top"/>
    </xf>
    <xf numFmtId="0" fontId="0" fillId="0" borderId="0" xfId="0" applyBorder="1" applyAlignment="1">
      <alignment horizontal="center" vertical="top"/>
    </xf>
    <xf numFmtId="0" fontId="0" fillId="0" borderId="10" xfId="0" applyBorder="1" applyAlignment="1">
      <alignment horizontal="center" vertical="top"/>
    </xf>
    <xf numFmtId="0" fontId="46" fillId="20" borderId="12" xfId="0" applyFont="1" applyFill="1" applyBorder="1" applyAlignment="1" applyProtection="1">
      <alignment horizontal="center" vertical="top"/>
    </xf>
    <xf numFmtId="0" fontId="46" fillId="20" borderId="13" xfId="0" applyFont="1" applyFill="1" applyBorder="1" applyAlignment="1" applyProtection="1">
      <alignment horizontal="center" vertical="top"/>
    </xf>
    <xf numFmtId="0" fontId="20" fillId="24" borderId="0" xfId="14" applyFill="1" applyProtection="1">
      <protection hidden="1"/>
    </xf>
    <xf numFmtId="0" fontId="37" fillId="24" borderId="0" xfId="14" applyFont="1" applyFill="1" applyProtection="1">
      <protection hidden="1"/>
    </xf>
    <xf numFmtId="0" fontId="20" fillId="0" borderId="0" xfId="14" applyProtection="1">
      <protection hidden="1"/>
    </xf>
    <xf numFmtId="0" fontId="20" fillId="0" borderId="0" xfId="14" applyAlignment="1" applyProtection="1">
      <alignment horizontal="center" vertical="center"/>
      <protection hidden="1"/>
    </xf>
    <xf numFmtId="0" fontId="39" fillId="0" borderId="0" xfId="14" applyFont="1" applyBorder="1" applyAlignment="1" applyProtection="1">
      <alignment horizontal="left" vertical="center" wrapText="1"/>
      <protection hidden="1"/>
    </xf>
    <xf numFmtId="0" fontId="51" fillId="24" borderId="68" xfId="14" applyFont="1" applyFill="1" applyBorder="1" applyAlignment="1" applyProtection="1">
      <alignment horizontal="center" vertical="center" wrapText="1"/>
      <protection hidden="1"/>
    </xf>
    <xf numFmtId="0" fontId="51" fillId="24" borderId="70" xfId="14" applyFont="1" applyFill="1" applyBorder="1" applyAlignment="1" applyProtection="1">
      <alignment horizontal="center" vertical="center" wrapText="1"/>
      <protection hidden="1"/>
    </xf>
    <xf numFmtId="0" fontId="37" fillId="24" borderId="23" xfId="14" applyFont="1" applyFill="1" applyBorder="1" applyAlignment="1" applyProtection="1">
      <alignment vertical="center"/>
      <protection hidden="1"/>
    </xf>
    <xf numFmtId="0" fontId="52" fillId="24" borderId="1" xfId="14" applyFont="1" applyFill="1" applyBorder="1" applyAlignment="1" applyProtection="1">
      <alignment horizontal="left" vertical="center"/>
      <protection hidden="1"/>
    </xf>
    <xf numFmtId="0" fontId="37" fillId="24" borderId="1" xfId="14" applyFont="1" applyFill="1" applyBorder="1" applyAlignment="1" applyProtection="1">
      <alignment horizontal="center" vertical="center"/>
      <protection hidden="1"/>
    </xf>
    <xf numFmtId="0" fontId="53" fillId="24" borderId="1" xfId="14" applyFont="1" applyFill="1" applyBorder="1" applyAlignment="1" applyProtection="1">
      <alignment horizontal="center" vertical="center"/>
      <protection hidden="1"/>
    </xf>
    <xf numFmtId="0" fontId="37" fillId="24" borderId="1" xfId="14" applyFont="1" applyFill="1" applyBorder="1" applyAlignment="1" applyProtection="1">
      <alignment vertical="center"/>
      <protection hidden="1"/>
    </xf>
    <xf numFmtId="0" fontId="16" fillId="24" borderId="23" xfId="14" applyFont="1" applyFill="1" applyBorder="1" applyAlignment="1" applyProtection="1">
      <alignment horizontal="center" vertical="center"/>
      <protection hidden="1"/>
    </xf>
    <xf numFmtId="0" fontId="16" fillId="24" borderId="1" xfId="14" applyFont="1" applyFill="1" applyBorder="1" applyAlignment="1" applyProtection="1">
      <alignment horizontal="center" vertical="center"/>
      <protection hidden="1"/>
    </xf>
    <xf numFmtId="0" fontId="16" fillId="24" borderId="1" xfId="14" applyFont="1" applyFill="1" applyBorder="1"/>
    <xf numFmtId="0" fontId="28" fillId="25" borderId="23" xfId="14" applyFont="1" applyFill="1" applyBorder="1" applyAlignment="1" applyProtection="1">
      <alignment horizontal="left" vertical="center"/>
      <protection hidden="1"/>
    </xf>
    <xf numFmtId="0" fontId="16" fillId="25" borderId="1" xfId="14" applyFont="1" applyFill="1" applyBorder="1" applyAlignment="1" applyProtection="1">
      <alignment horizontal="left" vertical="center"/>
      <protection hidden="1"/>
    </xf>
    <xf numFmtId="0" fontId="20" fillId="0" borderId="23" xfId="14" applyBorder="1" applyAlignment="1" applyProtection="1">
      <alignment horizontal="center" vertical="center"/>
      <protection hidden="1"/>
    </xf>
    <xf numFmtId="0" fontId="54" fillId="0" borderId="1" xfId="14" applyFont="1" applyBorder="1" applyAlignment="1" applyProtection="1">
      <alignment horizontal="center" vertical="center"/>
      <protection hidden="1"/>
    </xf>
    <xf numFmtId="0" fontId="20" fillId="17" borderId="1" xfId="14" applyFill="1" applyBorder="1" applyAlignment="1" applyProtection="1">
      <alignment horizontal="center" vertical="center"/>
    </xf>
    <xf numFmtId="0" fontId="20" fillId="0" borderId="1" xfId="14" applyFill="1" applyBorder="1" applyAlignment="1" applyProtection="1">
      <alignment horizontal="center" vertical="center"/>
      <protection hidden="1"/>
    </xf>
    <xf numFmtId="0" fontId="20" fillId="0" borderId="1" xfId="14" applyBorder="1" applyAlignment="1" applyProtection="1">
      <alignment horizontal="center" vertical="center"/>
      <protection hidden="1"/>
    </xf>
    <xf numFmtId="0" fontId="55" fillId="0" borderId="1" xfId="14" applyFont="1" applyBorder="1" applyAlignment="1" applyProtection="1">
      <alignment horizontal="center" vertical="center"/>
      <protection hidden="1"/>
    </xf>
    <xf numFmtId="0" fontId="55" fillId="26" borderId="1" xfId="14" applyFont="1" applyFill="1" applyBorder="1" applyAlignment="1" applyProtection="1">
      <alignment horizontal="center" vertical="center"/>
      <protection hidden="1"/>
    </xf>
    <xf numFmtId="0" fontId="20" fillId="26" borderId="1" xfId="14" applyFill="1" applyBorder="1" applyAlignment="1" applyProtection="1">
      <alignment horizontal="center" vertical="center"/>
      <protection hidden="1"/>
    </xf>
    <xf numFmtId="0" fontId="56" fillId="27" borderId="1" xfId="14" applyFont="1" applyFill="1" applyBorder="1" applyAlignment="1" applyProtection="1">
      <alignment horizontal="center" vertical="center"/>
      <protection hidden="1"/>
    </xf>
    <xf numFmtId="0" fontId="56" fillId="26" borderId="1" xfId="14" applyFont="1" applyFill="1" applyBorder="1" applyAlignment="1" applyProtection="1">
      <alignment horizontal="center" vertical="center"/>
      <protection hidden="1"/>
    </xf>
    <xf numFmtId="192" fontId="57" fillId="7" borderId="1" xfId="14" applyNumberFormat="1" applyFont="1" applyFill="1" applyBorder="1" applyAlignment="1" applyProtection="1">
      <alignment horizontal="center" vertical="center"/>
      <protection hidden="1"/>
    </xf>
    <xf numFmtId="0" fontId="20" fillId="27" borderId="1" xfId="14" applyFill="1" applyBorder="1" applyAlignment="1" applyProtection="1">
      <alignment horizontal="center" vertical="center"/>
      <protection hidden="1"/>
    </xf>
    <xf numFmtId="0" fontId="56" fillId="0" borderId="1" xfId="14" applyFont="1" applyBorder="1" applyAlignment="1" applyProtection="1">
      <alignment horizontal="center" vertical="center"/>
      <protection hidden="1"/>
    </xf>
    <xf numFmtId="0" fontId="20" fillId="28" borderId="1" xfId="14" applyFill="1" applyBorder="1" applyAlignment="1" applyProtection="1">
      <alignment horizontal="center" vertical="center"/>
      <protection hidden="1"/>
    </xf>
    <xf numFmtId="0" fontId="20" fillId="24" borderId="1" xfId="14" applyFill="1" applyBorder="1" applyAlignment="1" applyProtection="1">
      <alignment horizontal="center" vertical="center"/>
      <protection hidden="1"/>
    </xf>
    <xf numFmtId="0" fontId="57" fillId="0" borderId="1" xfId="14" applyNumberFormat="1" applyFont="1" applyFill="1" applyBorder="1" applyAlignment="1" applyProtection="1">
      <alignment horizontal="center" vertical="center"/>
      <protection hidden="1"/>
    </xf>
    <xf numFmtId="0" fontId="10" fillId="0" borderId="1" xfId="14" applyFont="1" applyBorder="1" applyAlignment="1" applyProtection="1">
      <alignment horizontal="center" vertical="center" wrapText="1"/>
      <protection hidden="1"/>
    </xf>
    <xf numFmtId="0" fontId="10" fillId="0" borderId="1" xfId="14" applyFont="1" applyBorder="1" applyAlignment="1" applyProtection="1">
      <alignment horizontal="left" vertical="center" wrapText="1"/>
      <protection hidden="1"/>
    </xf>
    <xf numFmtId="192" fontId="20" fillId="29" borderId="1" xfId="14" applyNumberFormat="1" applyFill="1" applyBorder="1" applyAlignment="1" applyProtection="1">
      <alignment horizontal="center" vertical="center"/>
    </xf>
    <xf numFmtId="0" fontId="57" fillId="0" borderId="1" xfId="14" applyFont="1" applyFill="1" applyBorder="1" applyAlignment="1" applyProtection="1">
      <alignment horizontal="center" vertical="center"/>
      <protection hidden="1"/>
    </xf>
    <xf numFmtId="189" fontId="57" fillId="7" borderId="1" xfId="14" applyNumberFormat="1" applyFont="1" applyFill="1" applyBorder="1" applyAlignment="1" applyProtection="1">
      <alignment horizontal="center" vertical="center"/>
      <protection hidden="1"/>
    </xf>
    <xf numFmtId="0" fontId="10" fillId="0" borderId="1" xfId="14" applyFont="1" applyBorder="1" applyAlignment="1" applyProtection="1">
      <alignment horizontal="center" vertical="center"/>
      <protection hidden="1"/>
    </xf>
    <xf numFmtId="192" fontId="57" fillId="0" borderId="1" xfId="14" applyNumberFormat="1" applyFont="1" applyFill="1" applyBorder="1" applyAlignment="1" applyProtection="1">
      <alignment horizontal="center" vertical="center"/>
      <protection hidden="1"/>
    </xf>
    <xf numFmtId="185" fontId="57" fillId="7" borderId="1" xfId="14" applyNumberFormat="1" applyFont="1" applyFill="1" applyBorder="1" applyAlignment="1" applyProtection="1">
      <alignment horizontal="center" vertical="center"/>
      <protection hidden="1"/>
    </xf>
    <xf numFmtId="0" fontId="28" fillId="24" borderId="23" xfId="14" applyFont="1" applyFill="1" applyBorder="1" applyAlignment="1" applyProtection="1">
      <alignment horizontal="center" vertical="center"/>
      <protection hidden="1"/>
    </xf>
    <xf numFmtId="0" fontId="16" fillId="24" borderId="1" xfId="14" applyFont="1" applyFill="1" applyBorder="1" applyAlignment="1" applyProtection="1">
      <alignment horizontal="left" vertical="center"/>
      <protection hidden="1"/>
    </xf>
    <xf numFmtId="0" fontId="16" fillId="24" borderId="1" xfId="14" applyFont="1" applyFill="1" applyBorder="1" applyAlignment="1" applyProtection="1">
      <alignment vertical="center"/>
      <protection hidden="1"/>
    </xf>
    <xf numFmtId="0" fontId="20" fillId="0" borderId="23" xfId="14" applyFont="1" applyBorder="1" applyAlignment="1" applyProtection="1">
      <alignment horizontal="center" vertical="center" wrapText="1"/>
      <protection hidden="1"/>
    </xf>
    <xf numFmtId="0" fontId="20" fillId="0" borderId="1" xfId="14" applyBorder="1" applyAlignment="1" applyProtection="1">
      <alignment horizontal="center" vertical="center" wrapText="1"/>
      <protection hidden="1"/>
    </xf>
    <xf numFmtId="192" fontId="20" fillId="27" borderId="1" xfId="14" applyNumberFormat="1" applyFill="1" applyBorder="1" applyAlignment="1" applyProtection="1">
      <alignment horizontal="center" vertical="center"/>
      <protection hidden="1"/>
    </xf>
    <xf numFmtId="0" fontId="20" fillId="0" borderId="1" xfId="14" applyBorder="1" applyAlignment="1" applyProtection="1">
      <alignment horizontal="left" vertical="center" wrapText="1"/>
      <protection hidden="1"/>
    </xf>
    <xf numFmtId="185" fontId="20" fillId="17" borderId="1" xfId="14" applyNumberFormat="1" applyFill="1" applyBorder="1" applyAlignment="1" applyProtection="1">
      <alignment horizontal="center" vertical="center"/>
    </xf>
    <xf numFmtId="187" fontId="20" fillId="17" borderId="1" xfId="14" applyNumberFormat="1" applyFill="1" applyBorder="1" applyAlignment="1" applyProtection="1">
      <alignment horizontal="center" vertical="center"/>
    </xf>
    <xf numFmtId="189" fontId="20" fillId="17" borderId="1" xfId="14" applyNumberFormat="1" applyFill="1" applyBorder="1" applyAlignment="1" applyProtection="1">
      <alignment horizontal="center" vertical="center"/>
    </xf>
    <xf numFmtId="0" fontId="28" fillId="30" borderId="1" xfId="14" applyFont="1" applyFill="1" applyBorder="1" applyAlignment="1" applyProtection="1">
      <alignment horizontal="center" vertical="center" wrapText="1"/>
      <protection hidden="1"/>
    </xf>
    <xf numFmtId="0" fontId="28" fillId="24" borderId="23" xfId="14" applyFont="1" applyFill="1" applyBorder="1" applyAlignment="1" applyProtection="1">
      <alignment vertical="center"/>
      <protection hidden="1"/>
    </xf>
    <xf numFmtId="0" fontId="37" fillId="0" borderId="23" xfId="14" applyFont="1" applyBorder="1" applyAlignment="1" applyProtection="1">
      <alignment horizontal="left" vertical="center" wrapText="1"/>
      <protection hidden="1"/>
    </xf>
    <xf numFmtId="0" fontId="37" fillId="0" borderId="1" xfId="14" applyFont="1" applyBorder="1" applyAlignment="1" applyProtection="1">
      <alignment horizontal="left" vertical="center" wrapText="1"/>
      <protection hidden="1"/>
    </xf>
    <xf numFmtId="0" fontId="20" fillId="0" borderId="1" xfId="14" applyFont="1" applyBorder="1" applyAlignment="1" applyProtection="1">
      <alignment horizontal="center" vertical="center" wrapText="1"/>
      <protection hidden="1"/>
    </xf>
    <xf numFmtId="185" fontId="20" fillId="27" borderId="1" xfId="14" applyNumberFormat="1" applyFill="1" applyBorder="1" applyAlignment="1" applyProtection="1">
      <alignment horizontal="center" vertical="center"/>
      <protection hidden="1"/>
    </xf>
    <xf numFmtId="0" fontId="50" fillId="30" borderId="1" xfId="14" applyFont="1" applyFill="1" applyBorder="1" applyAlignment="1" applyProtection="1">
      <alignment horizontal="center" vertical="center" wrapText="1"/>
      <protection hidden="1"/>
    </xf>
    <xf numFmtId="185" fontId="57" fillId="30" borderId="1" xfId="14" applyNumberFormat="1" applyFont="1" applyFill="1" applyBorder="1" applyAlignment="1" applyProtection="1">
      <alignment horizontal="center" vertical="center"/>
      <protection hidden="1"/>
    </xf>
    <xf numFmtId="0" fontId="28" fillId="25" borderId="1" xfId="14" applyFont="1" applyFill="1" applyBorder="1" applyAlignment="1" applyProtection="1">
      <alignment horizontal="left" vertical="center"/>
      <protection hidden="1"/>
    </xf>
    <xf numFmtId="199" fontId="20" fillId="17" borderId="1" xfId="14" applyNumberFormat="1" applyFill="1" applyBorder="1" applyAlignment="1" applyProtection="1">
      <alignment horizontal="center" vertical="center"/>
    </xf>
    <xf numFmtId="0" fontId="51" fillId="24" borderId="69" xfId="14" applyFont="1" applyFill="1" applyBorder="1" applyAlignment="1" applyProtection="1">
      <alignment horizontal="center" vertical="center" wrapText="1"/>
      <protection hidden="1"/>
    </xf>
    <xf numFmtId="0" fontId="53" fillId="24" borderId="1" xfId="14" applyFont="1" applyFill="1" applyBorder="1" applyAlignment="1" applyProtection="1">
      <alignment horizontal="left" vertical="center"/>
      <protection hidden="1"/>
    </xf>
    <xf numFmtId="0" fontId="53" fillId="24" borderId="102" xfId="14" applyFont="1" applyFill="1" applyBorder="1" applyAlignment="1" applyProtection="1">
      <alignment horizontal="left" vertical="center"/>
      <protection hidden="1"/>
    </xf>
    <xf numFmtId="0" fontId="16" fillId="24" borderId="102" xfId="14" applyFont="1" applyFill="1" applyBorder="1" applyAlignment="1" applyProtection="1">
      <alignment horizontal="center" vertical="center"/>
      <protection hidden="1"/>
    </xf>
    <xf numFmtId="0" fontId="39" fillId="0" borderId="102" xfId="14" applyFont="1" applyBorder="1" applyAlignment="1" applyProtection="1">
      <alignment horizontal="left" vertical="center" wrapText="1"/>
      <protection hidden="1"/>
    </xf>
    <xf numFmtId="0" fontId="20" fillId="0" borderId="1" xfId="14" applyBorder="1" applyAlignment="1" applyProtection="1">
      <alignment vertical="center"/>
      <protection hidden="1"/>
    </xf>
    <xf numFmtId="0" fontId="10" fillId="0" borderId="1" xfId="14" applyFont="1" applyBorder="1" applyAlignment="1" applyProtection="1">
      <alignment vertical="center"/>
      <protection hidden="1"/>
    </xf>
    <xf numFmtId="0" fontId="20" fillId="0" borderId="1" xfId="14" applyBorder="1" applyAlignment="1" applyProtection="1">
      <alignment horizontal="left" vertical="center"/>
      <protection hidden="1"/>
    </xf>
    <xf numFmtId="0" fontId="20" fillId="24" borderId="102" xfId="14" applyFill="1" applyBorder="1" applyAlignment="1" applyProtection="1">
      <alignment vertical="center"/>
      <protection hidden="1"/>
    </xf>
    <xf numFmtId="0" fontId="16" fillId="24" borderId="102" xfId="14" applyFont="1" applyFill="1" applyBorder="1" applyAlignment="1" applyProtection="1">
      <alignment vertical="center"/>
      <protection hidden="1"/>
    </xf>
    <xf numFmtId="0" fontId="58" fillId="0" borderId="1" xfId="40" applyBorder="1" applyAlignment="1" applyProtection="1">
      <alignment vertical="center"/>
      <protection hidden="1"/>
    </xf>
    <xf numFmtId="185" fontId="20" fillId="0" borderId="1" xfId="14" applyNumberFormat="1" applyBorder="1" applyAlignment="1" applyProtection="1">
      <alignment horizontal="center" vertical="center" wrapText="1"/>
      <protection hidden="1"/>
    </xf>
    <xf numFmtId="188" fontId="20" fillId="17" borderId="1" xfId="14" applyNumberFormat="1" applyFill="1" applyBorder="1" applyAlignment="1" applyProtection="1">
      <alignment horizontal="center" vertical="center"/>
    </xf>
    <xf numFmtId="192" fontId="20" fillId="17" borderId="1" xfId="14" applyNumberFormat="1" applyFill="1" applyBorder="1" applyAlignment="1" applyProtection="1">
      <alignment horizontal="center" vertical="center"/>
    </xf>
    <xf numFmtId="49" fontId="20" fillId="0" borderId="1" xfId="14" applyNumberFormat="1" applyBorder="1" applyAlignment="1" applyProtection="1">
      <alignment horizontal="center" vertical="center"/>
      <protection hidden="1"/>
    </xf>
    <xf numFmtId="180" fontId="59" fillId="0" borderId="1" xfId="14" applyNumberFormat="1" applyFont="1" applyFill="1" applyBorder="1" applyAlignment="1" applyProtection="1">
      <alignment horizontal="center" vertical="center"/>
      <protection hidden="1"/>
    </xf>
    <xf numFmtId="194" fontId="57" fillId="7" borderId="1" xfId="14" applyNumberFormat="1" applyFont="1" applyFill="1" applyBorder="1" applyAlignment="1" applyProtection="1">
      <alignment horizontal="center" vertical="center"/>
      <protection hidden="1"/>
    </xf>
    <xf numFmtId="180" fontId="57" fillId="0" borderId="1" xfId="14" applyNumberFormat="1" applyFont="1" applyFill="1" applyBorder="1" applyAlignment="1" applyProtection="1">
      <alignment horizontal="center" vertical="center"/>
      <protection hidden="1"/>
    </xf>
    <xf numFmtId="180" fontId="57" fillId="7" borderId="1" xfId="14" applyNumberFormat="1" applyFont="1" applyFill="1" applyBorder="1" applyAlignment="1" applyProtection="1">
      <alignment horizontal="center" vertical="center"/>
      <protection hidden="1"/>
    </xf>
    <xf numFmtId="1" fontId="57" fillId="17" borderId="1" xfId="14" applyNumberFormat="1" applyFont="1" applyFill="1" applyBorder="1" applyAlignment="1" applyProtection="1">
      <alignment horizontal="center" vertical="center"/>
    </xf>
    <xf numFmtId="1" fontId="57" fillId="7" borderId="1" xfId="14" applyNumberFormat="1" applyFont="1" applyFill="1" applyBorder="1" applyAlignment="1" applyProtection="1">
      <alignment horizontal="center" vertical="center"/>
      <protection hidden="1"/>
    </xf>
    <xf numFmtId="0" fontId="16" fillId="25" borderId="23" xfId="14" applyFont="1" applyFill="1" applyBorder="1" applyAlignment="1" applyProtection="1">
      <alignment horizontal="left" vertical="center"/>
      <protection hidden="1"/>
    </xf>
    <xf numFmtId="198" fontId="20" fillId="17" borderId="1" xfId="14" applyNumberFormat="1" applyFill="1" applyBorder="1" applyAlignment="1" applyProtection="1">
      <alignment horizontal="center" vertical="center"/>
    </xf>
    <xf numFmtId="187" fontId="20" fillId="27" borderId="1" xfId="14" applyNumberFormat="1" applyFill="1" applyBorder="1" applyAlignment="1" applyProtection="1">
      <alignment horizontal="center" vertical="center"/>
      <protection hidden="1"/>
    </xf>
    <xf numFmtId="187" fontId="20" fillId="0" borderId="1" xfId="14" applyNumberFormat="1" applyFill="1" applyBorder="1" applyAlignment="1" applyProtection="1">
      <alignment horizontal="center" vertical="center"/>
      <protection hidden="1"/>
    </xf>
    <xf numFmtId="189" fontId="20" fillId="27" borderId="1" xfId="14" applyNumberFormat="1" applyFill="1" applyBorder="1" applyAlignment="1" applyProtection="1">
      <alignment horizontal="center" vertical="center"/>
      <protection hidden="1"/>
    </xf>
    <xf numFmtId="189" fontId="20" fillId="0" borderId="1" xfId="14" applyNumberFormat="1" applyFill="1" applyBorder="1" applyAlignment="1" applyProtection="1">
      <alignment horizontal="center" vertical="center"/>
      <protection hidden="1"/>
    </xf>
    <xf numFmtId="0" fontId="20" fillId="0" borderId="1" xfId="14" applyFont="1" applyBorder="1" applyAlignment="1" applyProtection="1">
      <alignment horizontal="center" vertical="center"/>
      <protection hidden="1"/>
    </xf>
    <xf numFmtId="1" fontId="20" fillId="0" borderId="1" xfId="14" applyNumberFormat="1" applyFill="1" applyBorder="1" applyAlignment="1" applyProtection="1">
      <alignment horizontal="center" vertical="center"/>
      <protection hidden="1"/>
    </xf>
    <xf numFmtId="187" fontId="57" fillId="7" borderId="1" xfId="14" applyNumberFormat="1" applyFont="1" applyFill="1" applyBorder="1" applyAlignment="1" applyProtection="1">
      <alignment horizontal="center" vertical="center"/>
      <protection hidden="1"/>
    </xf>
    <xf numFmtId="0" fontId="39" fillId="0" borderId="102" xfId="14" applyFont="1" applyFill="1" applyBorder="1" applyAlignment="1" applyProtection="1">
      <alignment horizontal="left" vertical="center" wrapText="1"/>
      <protection hidden="1"/>
    </xf>
    <xf numFmtId="0" fontId="20" fillId="24" borderId="0" xfId="14" applyFill="1" applyAlignment="1" applyProtection="1">
      <alignment vertical="center"/>
      <protection hidden="1"/>
    </xf>
    <xf numFmtId="200" fontId="57" fillId="7" borderId="1" xfId="14" applyNumberFormat="1" applyFont="1" applyFill="1" applyBorder="1" applyAlignment="1" applyProtection="1">
      <alignment horizontal="center" vertical="center"/>
      <protection hidden="1"/>
    </xf>
    <xf numFmtId="195" fontId="60" fillId="7" borderId="1" xfId="14" applyNumberFormat="1" applyFont="1" applyFill="1" applyBorder="1" applyAlignment="1" applyProtection="1">
      <alignment horizontal="center" vertical="center"/>
      <protection hidden="1"/>
    </xf>
    <xf numFmtId="195" fontId="57" fillId="7" borderId="1" xfId="14" applyNumberFormat="1" applyFont="1" applyFill="1" applyBorder="1" applyAlignment="1" applyProtection="1">
      <alignment horizontal="center" vertical="center"/>
      <protection hidden="1"/>
    </xf>
    <xf numFmtId="194" fontId="61" fillId="30" borderId="1" xfId="14" applyNumberFormat="1" applyFont="1" applyFill="1" applyBorder="1" applyAlignment="1" applyProtection="1">
      <alignment horizontal="center" vertical="center"/>
      <protection hidden="1"/>
    </xf>
    <xf numFmtId="0" fontId="28" fillId="0" borderId="23" xfId="14" applyFont="1" applyBorder="1" applyAlignment="1" applyProtection="1">
      <alignment horizontal="left" vertical="center"/>
      <protection hidden="1"/>
    </xf>
    <xf numFmtId="0" fontId="37" fillId="0" borderId="1" xfId="14" applyFont="1" applyBorder="1" applyAlignment="1" applyProtection="1">
      <alignment horizontal="left" vertical="center"/>
      <protection hidden="1"/>
    </xf>
    <xf numFmtId="0" fontId="28" fillId="24" borderId="1" xfId="14" applyFont="1" applyFill="1" applyBorder="1" applyAlignment="1" applyProtection="1">
      <alignment horizontal="center" vertical="center" wrapText="1"/>
      <protection hidden="1"/>
    </xf>
    <xf numFmtId="0" fontId="10" fillId="0" borderId="1" xfId="14" applyFont="1" applyBorder="1" applyAlignment="1" applyProtection="1">
      <alignment horizontal="center"/>
      <protection hidden="1"/>
    </xf>
    <xf numFmtId="199" fontId="20" fillId="27" borderId="1" xfId="14" applyNumberFormat="1" applyFill="1" applyBorder="1" applyAlignment="1" applyProtection="1">
      <alignment horizontal="center" vertical="center"/>
      <protection hidden="1"/>
    </xf>
    <xf numFmtId="0" fontId="20" fillId="0" borderId="43" xfId="14" applyBorder="1" applyAlignment="1" applyProtection="1">
      <alignment horizontal="center" vertical="center"/>
      <protection hidden="1"/>
    </xf>
    <xf numFmtId="0" fontId="10" fillId="0" borderId="71" xfId="14" applyFont="1" applyBorder="1" applyAlignment="1" applyProtection="1">
      <alignment horizontal="center" vertical="center"/>
      <protection hidden="1"/>
    </xf>
    <xf numFmtId="192" fontId="57" fillId="7" borderId="71" xfId="14" applyNumberFormat="1" applyFont="1" applyFill="1" applyBorder="1" applyAlignment="1" applyProtection="1">
      <alignment horizontal="center" vertical="center"/>
      <protection hidden="1"/>
    </xf>
    <xf numFmtId="0" fontId="20" fillId="0" borderId="71" xfId="14" applyBorder="1" applyAlignment="1" applyProtection="1">
      <alignment horizontal="center" vertical="center"/>
      <protection hidden="1"/>
    </xf>
    <xf numFmtId="0" fontId="10" fillId="0" borderId="1" xfId="14" applyFont="1" applyBorder="1" applyAlignment="1" applyProtection="1">
      <alignment horizontal="left" vertical="center"/>
      <protection hidden="1"/>
    </xf>
    <xf numFmtId="0" fontId="39" fillId="0" borderId="102" xfId="14" applyFont="1" applyBorder="1" applyAlignment="1" applyProtection="1">
      <alignment horizontal="center" vertical="center" wrapText="1"/>
      <protection hidden="1"/>
    </xf>
    <xf numFmtId="0" fontId="20" fillId="0" borderId="71" xfId="14" applyBorder="1" applyAlignment="1" applyProtection="1">
      <alignment horizontal="left" vertical="center"/>
      <protection hidden="1"/>
    </xf>
    <xf numFmtId="0" fontId="39" fillId="0" borderId="44" xfId="14" applyFont="1" applyBorder="1" applyAlignment="1" applyProtection="1">
      <alignment horizontal="left" vertical="center" wrapText="1"/>
      <protection hidden="1"/>
    </xf>
    <xf numFmtId="0" fontId="62" fillId="0" borderId="0" xfId="0" applyFont="1" applyAlignment="1">
      <alignment horizontal="center" vertical="center"/>
    </xf>
    <xf numFmtId="0" fontId="62" fillId="0" borderId="0" xfId="0" applyFont="1" applyAlignment="1">
      <alignment horizontal="left" vertical="center"/>
    </xf>
    <xf numFmtId="185" fontId="0" fillId="0" borderId="0" xfId="0" applyNumberFormat="1" applyAlignment="1">
      <alignment horizontal="center" vertical="center"/>
    </xf>
    <xf numFmtId="0" fontId="0" fillId="0" borderId="0" xfId="0" applyAlignment="1">
      <alignment horizontal="center" vertical="center"/>
    </xf>
    <xf numFmtId="0" fontId="0" fillId="0" borderId="0" xfId="0" applyBorder="1">
      <alignment vertical="center"/>
    </xf>
    <xf numFmtId="0" fontId="62" fillId="0" borderId="0" xfId="0" applyFont="1">
      <alignment vertical="center"/>
    </xf>
    <xf numFmtId="0" fontId="63" fillId="0" borderId="17" xfId="0" applyFont="1" applyBorder="1" applyAlignment="1" applyProtection="1">
      <alignment horizontal="center" vertical="center" wrapText="1"/>
      <protection locked="0"/>
    </xf>
    <xf numFmtId="0" fontId="63" fillId="0" borderId="18" xfId="0" applyFont="1" applyBorder="1" applyAlignment="1" applyProtection="1">
      <alignment horizontal="center" vertical="center"/>
      <protection locked="0"/>
    </xf>
    <xf numFmtId="0" fontId="64" fillId="0" borderId="20" xfId="0" applyFont="1" applyBorder="1" applyProtection="1">
      <alignment vertical="center"/>
      <protection locked="0"/>
    </xf>
    <xf numFmtId="0" fontId="65" fillId="0" borderId="0" xfId="0" applyFont="1" applyBorder="1" applyProtection="1">
      <alignment vertical="center"/>
      <protection locked="0"/>
    </xf>
    <xf numFmtId="0" fontId="64" fillId="0" borderId="24" xfId="0" applyFont="1" applyBorder="1" applyProtection="1">
      <alignment vertical="center"/>
      <protection locked="0"/>
    </xf>
    <xf numFmtId="0" fontId="65" fillId="0" borderId="25" xfId="0" applyFont="1" applyBorder="1" applyProtection="1">
      <alignment vertical="center"/>
      <protection locked="0"/>
    </xf>
    <xf numFmtId="0" fontId="66" fillId="0" borderId="40" xfId="0" applyFont="1" applyBorder="1" applyAlignment="1" applyProtection="1">
      <alignment horizontal="left" vertical="center"/>
      <protection locked="0"/>
    </xf>
    <xf numFmtId="185" fontId="66" fillId="0" borderId="5" xfId="0" applyNumberFormat="1" applyFont="1" applyBorder="1" applyAlignment="1" applyProtection="1">
      <alignment horizontal="center" vertical="center"/>
      <protection locked="0"/>
    </xf>
    <xf numFmtId="0" fontId="66" fillId="0" borderId="5" xfId="0" applyFont="1" applyBorder="1" applyAlignment="1" applyProtection="1">
      <alignment horizontal="center" vertical="center"/>
      <protection locked="0"/>
    </xf>
    <xf numFmtId="0" fontId="66" fillId="0" borderId="11" xfId="0" applyFont="1" applyBorder="1" applyAlignment="1" applyProtection="1">
      <alignment horizontal="center" vertical="center"/>
      <protection locked="0"/>
    </xf>
    <xf numFmtId="0" fontId="65" fillId="0" borderId="4" xfId="0" applyFont="1" applyBorder="1" applyProtection="1">
      <alignment vertical="center"/>
      <protection locked="0"/>
    </xf>
    <xf numFmtId="0" fontId="66" fillId="0" borderId="23" xfId="0" applyFont="1" applyBorder="1" applyAlignment="1" applyProtection="1">
      <alignment horizontal="left" vertical="center"/>
      <protection locked="0"/>
    </xf>
    <xf numFmtId="185" fontId="65" fillId="0" borderId="1" xfId="0" applyNumberFormat="1" applyFont="1" applyBorder="1" applyAlignment="1" applyProtection="1">
      <alignment horizontal="center" vertical="center"/>
      <protection locked="0"/>
    </xf>
    <xf numFmtId="0" fontId="65" fillId="0" borderId="1" xfId="0" applyFont="1" applyBorder="1" applyAlignment="1" applyProtection="1">
      <alignment horizontal="center" vertical="center"/>
      <protection locked="0"/>
    </xf>
    <xf numFmtId="0" fontId="65" fillId="0" borderId="14" xfId="0" applyFont="1" applyBorder="1" applyProtection="1">
      <alignment vertical="center"/>
      <protection locked="0"/>
    </xf>
    <xf numFmtId="0" fontId="66" fillId="0" borderId="4" xfId="0" applyFont="1" applyBorder="1" applyAlignment="1" applyProtection="1">
      <alignment horizontal="center" vertical="center"/>
      <protection locked="0"/>
    </xf>
    <xf numFmtId="185" fontId="65" fillId="31" borderId="1" xfId="0" applyNumberFormat="1" applyFont="1" applyFill="1" applyBorder="1" applyAlignment="1" applyProtection="1">
      <alignment horizontal="center" vertical="center"/>
    </xf>
    <xf numFmtId="185" fontId="65" fillId="31" borderId="5" xfId="0" applyNumberFormat="1" applyFont="1" applyFill="1" applyBorder="1" applyAlignment="1" applyProtection="1">
      <alignment horizontal="center" vertical="center"/>
    </xf>
    <xf numFmtId="0" fontId="65" fillId="0" borderId="5" xfId="0" applyFont="1" applyBorder="1" applyAlignment="1" applyProtection="1">
      <alignment horizontal="center" vertical="center"/>
      <protection locked="0"/>
    </xf>
    <xf numFmtId="0" fontId="65" fillId="0" borderId="11" xfId="0" applyFont="1" applyBorder="1" applyProtection="1">
      <alignment vertical="center"/>
      <protection locked="0"/>
    </xf>
    <xf numFmtId="0" fontId="65" fillId="0" borderId="14" xfId="0" applyFont="1" applyBorder="1" applyAlignment="1" applyProtection="1">
      <alignment vertical="center" wrapText="1"/>
      <protection locked="0"/>
    </xf>
    <xf numFmtId="0" fontId="65" fillId="0" borderId="12" xfId="0" applyFont="1" applyBorder="1" applyProtection="1">
      <alignment vertical="center"/>
      <protection locked="0"/>
    </xf>
    <xf numFmtId="0" fontId="66" fillId="0" borderId="16" xfId="0" applyFont="1" applyBorder="1" applyAlignment="1" applyProtection="1">
      <alignment horizontal="center" vertical="center"/>
      <protection locked="0"/>
    </xf>
    <xf numFmtId="185" fontId="66" fillId="0" borderId="1" xfId="0" applyNumberFormat="1" applyFont="1" applyBorder="1" applyAlignment="1" applyProtection="1">
      <alignment horizontal="center" vertical="center"/>
      <protection locked="0"/>
    </xf>
    <xf numFmtId="0" fontId="66" fillId="0" borderId="16" xfId="0" applyFont="1" applyBorder="1" applyProtection="1">
      <alignment vertical="center"/>
      <protection locked="0"/>
    </xf>
    <xf numFmtId="0" fontId="64" fillId="0" borderId="23" xfId="0" applyFont="1" applyBorder="1" applyAlignment="1" applyProtection="1">
      <alignment vertical="center" wrapText="1"/>
      <protection locked="0"/>
    </xf>
    <xf numFmtId="0" fontId="65" fillId="0" borderId="1" xfId="0" applyFont="1" applyBorder="1" applyAlignment="1" applyProtection="1">
      <alignment vertical="center" wrapText="1"/>
      <protection locked="0"/>
    </xf>
    <xf numFmtId="0" fontId="65" fillId="0" borderId="23" xfId="0" applyFont="1" applyBorder="1" applyAlignment="1" applyProtection="1">
      <alignment vertical="center" wrapText="1"/>
      <protection locked="0"/>
    </xf>
    <xf numFmtId="0" fontId="66" fillId="0" borderId="23" xfId="0" applyFont="1" applyFill="1" applyBorder="1" applyAlignment="1" applyProtection="1">
      <alignment horizontal="left" vertical="center"/>
      <protection locked="0"/>
    </xf>
    <xf numFmtId="0" fontId="64" fillId="0" borderId="16" xfId="0" applyFont="1" applyBorder="1" applyAlignment="1" applyProtection="1">
      <alignment vertical="center" wrapText="1"/>
      <protection locked="0"/>
    </xf>
    <xf numFmtId="0" fontId="65" fillId="0" borderId="1" xfId="0" applyFont="1" applyBorder="1" applyProtection="1">
      <alignment vertical="center"/>
      <protection locked="0"/>
    </xf>
    <xf numFmtId="0" fontId="65" fillId="0" borderId="16" xfId="0" applyFont="1" applyBorder="1" applyProtection="1">
      <alignment vertical="center"/>
      <protection locked="0"/>
    </xf>
    <xf numFmtId="0" fontId="65" fillId="0" borderId="8" xfId="0" applyFont="1" applyBorder="1" applyProtection="1">
      <alignment vertical="center"/>
      <protection locked="0"/>
    </xf>
    <xf numFmtId="0" fontId="65" fillId="0" borderId="2" xfId="0" applyFont="1" applyBorder="1" applyProtection="1">
      <alignment vertical="center"/>
      <protection locked="0"/>
    </xf>
    <xf numFmtId="0" fontId="66" fillId="0" borderId="7" xfId="0" applyFont="1" applyBorder="1" applyProtection="1">
      <alignment vertical="center"/>
      <protection locked="0"/>
    </xf>
    <xf numFmtId="185" fontId="65" fillId="0" borderId="7" xfId="0" applyNumberFormat="1" applyFont="1" applyBorder="1" applyAlignment="1" applyProtection="1">
      <alignment horizontal="center" vertical="center"/>
      <protection locked="0"/>
    </xf>
    <xf numFmtId="0" fontId="66" fillId="0" borderId="0" xfId="0" applyFont="1" applyBorder="1" applyProtection="1">
      <alignment vertical="center"/>
      <protection locked="0"/>
    </xf>
    <xf numFmtId="185" fontId="65" fillId="0" borderId="0" xfId="0" applyNumberFormat="1" applyFont="1" applyBorder="1" applyAlignment="1" applyProtection="1">
      <alignment horizontal="center" vertical="center"/>
      <protection locked="0"/>
    </xf>
    <xf numFmtId="0" fontId="64" fillId="0" borderId="23" xfId="0" applyFont="1" applyBorder="1" applyAlignment="1" applyProtection="1">
      <alignment horizontal="left" vertical="center" wrapText="1"/>
      <protection locked="0"/>
    </xf>
    <xf numFmtId="0" fontId="67" fillId="0" borderId="1" xfId="0" applyFont="1" applyBorder="1" applyAlignment="1" applyProtection="1">
      <alignment horizontal="left" vertical="center"/>
      <protection locked="0"/>
    </xf>
    <xf numFmtId="0" fontId="67" fillId="0" borderId="14" xfId="0" applyFont="1" applyBorder="1" applyAlignment="1" applyProtection="1">
      <alignment horizontal="left" vertical="center"/>
      <protection locked="0"/>
    </xf>
    <xf numFmtId="0" fontId="67" fillId="0" borderId="23" xfId="0" applyFont="1" applyBorder="1" applyAlignment="1" applyProtection="1">
      <alignment horizontal="left" vertical="center" wrapText="1"/>
      <protection locked="0"/>
    </xf>
    <xf numFmtId="0" fontId="67" fillId="0" borderId="23" xfId="0" applyFont="1" applyBorder="1" applyAlignment="1" applyProtection="1">
      <alignment horizontal="left" vertical="center"/>
      <protection locked="0"/>
    </xf>
    <xf numFmtId="0" fontId="64" fillId="0" borderId="1" xfId="0" applyFont="1" applyBorder="1" applyAlignment="1" applyProtection="1">
      <alignment horizontal="left" vertical="center"/>
      <protection locked="0"/>
    </xf>
    <xf numFmtId="0" fontId="64" fillId="0" borderId="14" xfId="0" applyFont="1" applyBorder="1" applyAlignment="1" applyProtection="1">
      <alignment horizontal="left" vertical="center"/>
      <protection locked="0"/>
    </xf>
    <xf numFmtId="0" fontId="64" fillId="0" borderId="23" xfId="0" applyFont="1" applyBorder="1" applyAlignment="1" applyProtection="1">
      <alignment horizontal="left" vertical="center"/>
      <protection locked="0"/>
    </xf>
    <xf numFmtId="0" fontId="64" fillId="0" borderId="103" xfId="0" applyFont="1" applyBorder="1" applyAlignment="1" applyProtection="1">
      <alignment horizontal="left" vertical="center"/>
      <protection locked="0"/>
    </xf>
    <xf numFmtId="0" fontId="64" fillId="0" borderId="2" xfId="0" applyFont="1" applyBorder="1" applyAlignment="1" applyProtection="1">
      <alignment horizontal="left" vertical="center"/>
      <protection locked="0"/>
    </xf>
    <xf numFmtId="0" fontId="64" fillId="0" borderId="6" xfId="0" applyFont="1" applyBorder="1" applyAlignment="1" applyProtection="1">
      <alignment horizontal="left" vertical="center"/>
      <protection locked="0"/>
    </xf>
    <xf numFmtId="0" fontId="66" fillId="0" borderId="104" xfId="0" applyFont="1" applyBorder="1" applyAlignment="1" applyProtection="1">
      <alignment horizontal="left" vertical="center"/>
      <protection locked="0"/>
    </xf>
    <xf numFmtId="0" fontId="66" fillId="0" borderId="7" xfId="0" applyFont="1" applyBorder="1" applyAlignment="1" applyProtection="1">
      <alignment horizontal="left" vertical="center"/>
      <protection locked="0"/>
    </xf>
    <xf numFmtId="0" fontId="66" fillId="0" borderId="20" xfId="0" applyFont="1" applyBorder="1" applyAlignment="1" applyProtection="1">
      <alignment horizontal="left" vertical="center"/>
      <protection locked="0"/>
    </xf>
    <xf numFmtId="0" fontId="66" fillId="0" borderId="0" xfId="0" applyFont="1" applyBorder="1" applyAlignment="1" applyProtection="1">
      <alignment horizontal="left" vertical="center"/>
      <protection locked="0"/>
    </xf>
    <xf numFmtId="9" fontId="65" fillId="0" borderId="1" xfId="11" applyFont="1" applyBorder="1" applyAlignment="1" applyProtection="1">
      <alignment horizontal="center" vertical="center"/>
      <protection locked="0"/>
    </xf>
    <xf numFmtId="9" fontId="66" fillId="0" borderId="16" xfId="11" applyFont="1" applyBorder="1" applyProtection="1">
      <alignment vertical="center"/>
      <protection locked="0"/>
    </xf>
    <xf numFmtId="0" fontId="64" fillId="0" borderId="7" xfId="0" applyFont="1" applyBorder="1" applyAlignment="1" applyProtection="1">
      <alignment vertical="center" wrapText="1"/>
      <protection locked="0"/>
    </xf>
    <xf numFmtId="0" fontId="64" fillId="0" borderId="0" xfId="0" applyFont="1" applyBorder="1" applyAlignment="1" applyProtection="1">
      <alignment vertical="center" wrapText="1"/>
      <protection locked="0"/>
    </xf>
    <xf numFmtId="0" fontId="64" fillId="0" borderId="12" xfId="0" applyFont="1" applyBorder="1" applyAlignment="1" applyProtection="1">
      <alignment vertical="center" wrapText="1"/>
      <protection locked="0"/>
    </xf>
    <xf numFmtId="0" fontId="63" fillId="0" borderId="19" xfId="0" applyFont="1" applyBorder="1" applyAlignment="1" applyProtection="1">
      <alignment horizontal="center" vertical="center"/>
      <protection locked="0"/>
    </xf>
    <xf numFmtId="0" fontId="65" fillId="0" borderId="21" xfId="0" applyFont="1" applyBorder="1" applyProtection="1">
      <alignment vertical="center"/>
      <protection locked="0"/>
    </xf>
    <xf numFmtId="0" fontId="65" fillId="0" borderId="26" xfId="0" applyFont="1" applyBorder="1" applyProtection="1">
      <alignment vertical="center"/>
      <protection locked="0"/>
    </xf>
    <xf numFmtId="0" fontId="65" fillId="0" borderId="105" xfId="0" applyFont="1" applyBorder="1" applyProtection="1">
      <alignment vertical="center"/>
      <protection locked="0"/>
    </xf>
    <xf numFmtId="0" fontId="66" fillId="0" borderId="1" xfId="0" applyFont="1" applyBorder="1" applyAlignment="1" applyProtection="1">
      <alignment horizontal="center" vertical="center"/>
      <protection locked="0"/>
    </xf>
    <xf numFmtId="0" fontId="66" fillId="0" borderId="102" xfId="0" applyFont="1" applyBorder="1" applyAlignment="1" applyProtection="1">
      <alignment horizontal="center" vertical="center"/>
      <protection locked="0"/>
    </xf>
    <xf numFmtId="0" fontId="65" fillId="0" borderId="102" xfId="0" applyFont="1" applyBorder="1" applyProtection="1">
      <alignment vertical="center"/>
      <protection locked="0"/>
    </xf>
    <xf numFmtId="0" fontId="65" fillId="0" borderId="102" xfId="0" applyFont="1" applyBorder="1" applyAlignment="1" applyProtection="1">
      <alignment vertical="center" wrapText="1"/>
      <protection locked="0"/>
    </xf>
    <xf numFmtId="0" fontId="65" fillId="0" borderId="106" xfId="0" applyFont="1" applyBorder="1" applyProtection="1">
      <alignment vertical="center"/>
      <protection locked="0"/>
    </xf>
    <xf numFmtId="0" fontId="65" fillId="0" borderId="7" xfId="0" applyFont="1" applyBorder="1" applyAlignment="1" applyProtection="1">
      <alignment horizontal="center" vertical="center"/>
      <protection locked="0"/>
    </xf>
    <xf numFmtId="0" fontId="65" fillId="0" borderId="107" xfId="0" applyFont="1" applyBorder="1" applyProtection="1">
      <alignment vertical="center"/>
      <protection locked="0"/>
    </xf>
    <xf numFmtId="0" fontId="65" fillId="0" borderId="0" xfId="0" applyFont="1" applyBorder="1" applyAlignment="1" applyProtection="1">
      <alignment horizontal="center" vertical="center"/>
      <protection locked="0"/>
    </xf>
    <xf numFmtId="0" fontId="64" fillId="0" borderId="107" xfId="0" applyFont="1" applyBorder="1" applyAlignment="1" applyProtection="1">
      <alignment vertical="center" wrapText="1"/>
      <protection locked="0"/>
    </xf>
    <xf numFmtId="0" fontId="64" fillId="0" borderId="21" xfId="0" applyFont="1" applyBorder="1" applyAlignment="1" applyProtection="1">
      <alignment vertical="center" wrapText="1"/>
      <protection locked="0"/>
    </xf>
    <xf numFmtId="0" fontId="64" fillId="0" borderId="105" xfId="0" applyFont="1" applyBorder="1" applyAlignment="1" applyProtection="1">
      <alignment vertical="center" wrapText="1"/>
      <protection locked="0"/>
    </xf>
    <xf numFmtId="0" fontId="66" fillId="0" borderId="24" xfId="0" applyFont="1" applyBorder="1" applyAlignment="1" applyProtection="1">
      <alignment horizontal="left" vertical="center"/>
      <protection locked="0"/>
    </xf>
    <xf numFmtId="0" fontId="66" fillId="0" borderId="25" xfId="0" applyFont="1" applyBorder="1" applyAlignment="1" applyProtection="1">
      <alignment horizontal="left" vertical="center"/>
      <protection locked="0"/>
    </xf>
    <xf numFmtId="0" fontId="65" fillId="0" borderId="108" xfId="0" applyFont="1" applyBorder="1" applyProtection="1">
      <alignment vertical="center"/>
      <protection locked="0"/>
    </xf>
    <xf numFmtId="0" fontId="65" fillId="0" borderId="45" xfId="0" applyFont="1" applyBorder="1" applyProtection="1">
      <alignment vertical="center"/>
      <protection locked="0"/>
    </xf>
    <xf numFmtId="0" fontId="65" fillId="0" borderId="71" xfId="0" applyFont="1" applyBorder="1" applyProtection="1">
      <alignment vertical="center"/>
      <protection locked="0"/>
    </xf>
    <xf numFmtId="0" fontId="65" fillId="0" borderId="44" xfId="0" applyFont="1" applyBorder="1" applyProtection="1">
      <alignment vertical="center"/>
      <protection locked="0"/>
    </xf>
    <xf numFmtId="0" fontId="68" fillId="0" borderId="0" xfId="10" applyAlignment="1" applyProtection="1">
      <alignment vertical="center"/>
    </xf>
    <xf numFmtId="0" fontId="0" fillId="0" borderId="0" xfId="0" applyFill="1">
      <alignment vertical="center"/>
    </xf>
    <xf numFmtId="0" fontId="0" fillId="0" borderId="6" xfId="0" applyBorder="1">
      <alignment vertical="center"/>
    </xf>
    <xf numFmtId="0" fontId="0" fillId="0" borderId="7" xfId="0" applyBorder="1">
      <alignment vertical="center"/>
    </xf>
    <xf numFmtId="0" fontId="0" fillId="0" borderId="9" xfId="0" applyBorder="1">
      <alignment vertical="center"/>
    </xf>
    <xf numFmtId="201" fontId="0" fillId="0" borderId="0" xfId="0" applyNumberFormat="1" applyBorder="1">
      <alignment vertical="center"/>
    </xf>
    <xf numFmtId="0" fontId="69" fillId="0" borderId="47" xfId="0" applyFont="1" applyBorder="1" applyAlignment="1">
      <alignment horizontal="center" vertical="center"/>
    </xf>
    <xf numFmtId="0" fontId="69" fillId="0" borderId="51" xfId="0" applyFont="1" applyBorder="1" applyAlignment="1">
      <alignment horizontal="center" vertical="center"/>
    </xf>
    <xf numFmtId="0" fontId="0" fillId="32" borderId="23" xfId="0" applyFill="1" applyBorder="1" applyAlignment="1">
      <alignment horizontal="center" vertical="center"/>
    </xf>
    <xf numFmtId="0" fontId="0" fillId="32" borderId="1" xfId="0" applyFill="1" applyBorder="1" applyAlignment="1">
      <alignment horizontal="center" vertical="center"/>
    </xf>
    <xf numFmtId="0" fontId="70" fillId="32" borderId="1" xfId="0" applyFont="1" applyFill="1" applyBorder="1" applyAlignment="1">
      <alignment horizontal="center" vertical="center"/>
    </xf>
    <xf numFmtId="0" fontId="0" fillId="0" borderId="23" xfId="0" applyBorder="1" applyAlignment="1">
      <alignment horizontal="center" vertical="center"/>
    </xf>
    <xf numFmtId="0" fontId="0" fillId="13" borderId="1" xfId="0" applyFill="1" applyBorder="1" applyAlignment="1">
      <alignment horizontal="center" vertical="center"/>
    </xf>
    <xf numFmtId="201" fontId="70" fillId="33" borderId="1" xfId="0" applyNumberFormat="1" applyFont="1" applyFill="1" applyBorder="1" applyAlignment="1">
      <alignment horizontal="center" vertical="center"/>
    </xf>
    <xf numFmtId="0" fontId="70" fillId="33" borderId="1" xfId="0" applyFont="1" applyFill="1" applyBorder="1" applyAlignment="1">
      <alignment horizontal="center" vertical="center"/>
    </xf>
    <xf numFmtId="0" fontId="0" fillId="0" borderId="43" xfId="0" applyBorder="1" applyAlignment="1">
      <alignment horizontal="center" vertical="center"/>
    </xf>
    <xf numFmtId="201" fontId="70" fillId="33" borderId="71" xfId="0" applyNumberFormat="1" applyFont="1" applyFill="1" applyBorder="1" applyAlignment="1">
      <alignment horizontal="center" vertical="center"/>
    </xf>
    <xf numFmtId="0" fontId="70" fillId="33" borderId="71" xfId="0" applyFont="1" applyFill="1" applyBorder="1" applyAlignment="1">
      <alignment horizontal="center" vertical="center"/>
    </xf>
    <xf numFmtId="0" fontId="0" fillId="0" borderId="11" xfId="0" applyFill="1" applyBorder="1">
      <alignment vertical="center"/>
    </xf>
    <xf numFmtId="0" fontId="0" fillId="0" borderId="12" xfId="0" applyFill="1" applyBorder="1" applyAlignment="1">
      <alignment horizontal="center" vertical="center"/>
    </xf>
    <xf numFmtId="0" fontId="70" fillId="0" borderId="12" xfId="0" applyFont="1"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center" vertical="center"/>
    </xf>
    <xf numFmtId="0" fontId="70" fillId="0" borderId="0" xfId="0" applyFont="1" applyFill="1" applyBorder="1" applyAlignment="1">
      <alignment horizontal="center" vertical="center"/>
    </xf>
    <xf numFmtId="177" fontId="0" fillId="0" borderId="0" xfId="0" applyNumberFormat="1" applyAlignment="1">
      <alignment horizontal="center" vertical="center"/>
    </xf>
    <xf numFmtId="0" fontId="62" fillId="0" borderId="68" xfId="0" applyFont="1" applyBorder="1" applyAlignment="1">
      <alignment horizontal="center" vertical="center"/>
    </xf>
    <xf numFmtId="0" fontId="62" fillId="0" borderId="70" xfId="0" applyFont="1" applyBorder="1" applyAlignment="1">
      <alignment horizontal="center" vertical="center"/>
    </xf>
    <xf numFmtId="0" fontId="70" fillId="32" borderId="23" xfId="0" applyFont="1" applyFill="1" applyBorder="1" applyAlignment="1">
      <alignment horizontal="center" vertical="center"/>
    </xf>
    <xf numFmtId="0" fontId="0" fillId="32" borderId="0" xfId="0" applyFill="1" applyBorder="1">
      <alignment vertical="center"/>
    </xf>
    <xf numFmtId="202" fontId="0" fillId="0" borderId="20" xfId="0" applyNumberFormat="1" applyBorder="1" applyAlignment="1">
      <alignment horizontal="center" vertical="center"/>
    </xf>
    <xf numFmtId="0" fontId="71" fillId="13" borderId="1" xfId="0" applyFont="1" applyFill="1" applyBorder="1" applyAlignment="1">
      <alignment horizontal="center" vertical="center"/>
    </xf>
    <xf numFmtId="0" fontId="72" fillId="33" borderId="1" xfId="0" applyFont="1" applyFill="1" applyBorder="1" applyAlignment="1">
      <alignment horizontal="center" vertical="center"/>
    </xf>
    <xf numFmtId="0" fontId="0" fillId="13" borderId="71" xfId="0" applyFill="1" applyBorder="1" applyAlignment="1">
      <alignment horizontal="center" vertical="center"/>
    </xf>
    <xf numFmtId="0" fontId="71" fillId="13" borderId="71" xfId="0" applyFont="1" applyFill="1" applyBorder="1" applyAlignment="1">
      <alignment horizontal="center" vertical="center"/>
    </xf>
    <xf numFmtId="0" fontId="72" fillId="33" borderId="71" xfId="0" applyFont="1" applyFill="1" applyBorder="1" applyAlignment="1">
      <alignment horizontal="center" vertical="center"/>
    </xf>
    <xf numFmtId="0" fontId="0" fillId="0" borderId="11" xfId="0" applyBorder="1">
      <alignment vertical="center"/>
    </xf>
    <xf numFmtId="0" fontId="70" fillId="0" borderId="0" xfId="0" applyFont="1" applyBorder="1" applyAlignment="1">
      <alignment horizontal="center" vertical="center"/>
    </xf>
    <xf numFmtId="0" fontId="71" fillId="0" borderId="0" xfId="0" applyFont="1" applyFill="1" applyBorder="1" applyAlignment="1">
      <alignment horizontal="center" vertical="center"/>
    </xf>
    <xf numFmtId="0" fontId="72" fillId="0" borderId="0" xfId="0" applyFont="1" applyFill="1" applyBorder="1" applyAlignment="1">
      <alignment horizontal="center" vertical="center"/>
    </xf>
    <xf numFmtId="0" fontId="69" fillId="0" borderId="68" xfId="0" applyFont="1" applyBorder="1" applyAlignment="1">
      <alignment horizontal="center"/>
    </xf>
    <xf numFmtId="0" fontId="69" fillId="0" borderId="70" xfId="0" applyFont="1" applyBorder="1" applyAlignment="1">
      <alignment horizontal="center"/>
    </xf>
    <xf numFmtId="0" fontId="73" fillId="32" borderId="23" xfId="0" applyFont="1" applyFill="1" applyBorder="1" applyAlignment="1">
      <alignment horizontal="center"/>
    </xf>
    <xf numFmtId="0" fontId="73" fillId="32" borderId="1" xfId="0" applyFont="1" applyFill="1" applyBorder="1" applyAlignment="1">
      <alignment horizontal="center"/>
    </xf>
    <xf numFmtId="0" fontId="0" fillId="13" borderId="23" xfId="0" applyFill="1" applyBorder="1" applyAlignment="1">
      <alignment horizontal="center"/>
    </xf>
    <xf numFmtId="0" fontId="0" fillId="13" borderId="1" xfId="0" applyFill="1" applyBorder="1" applyAlignment="1">
      <alignment horizontal="center"/>
    </xf>
    <xf numFmtId="0" fontId="0" fillId="13" borderId="71" xfId="0" applyFill="1" applyBorder="1" applyAlignment="1">
      <alignment horizontal="center"/>
    </xf>
    <xf numFmtId="0" fontId="0" fillId="0" borderId="12"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3" xfId="0" applyBorder="1">
      <alignment vertical="center"/>
    </xf>
    <xf numFmtId="0" fontId="0" fillId="0" borderId="1" xfId="0" applyBorder="1">
      <alignment vertical="center"/>
    </xf>
    <xf numFmtId="0" fontId="0" fillId="0" borderId="21" xfId="0" applyBorder="1">
      <alignment vertical="center"/>
    </xf>
    <xf numFmtId="0" fontId="0" fillId="13" borderId="1" xfId="0" applyFill="1" applyBorder="1">
      <alignment vertical="center"/>
    </xf>
    <xf numFmtId="0" fontId="0" fillId="0" borderId="43" xfId="0" applyBorder="1">
      <alignment vertical="center"/>
    </xf>
    <xf numFmtId="0" fontId="0" fillId="5" borderId="71" xfId="0" applyFill="1" applyBorder="1">
      <alignment vertical="center"/>
    </xf>
    <xf numFmtId="0" fontId="0" fillId="0" borderId="25" xfId="0" applyBorder="1">
      <alignment vertical="center"/>
    </xf>
    <xf numFmtId="0" fontId="0" fillId="0" borderId="26" xfId="0" applyBorder="1">
      <alignment vertical="center"/>
    </xf>
    <xf numFmtId="0" fontId="0" fillId="0" borderId="8" xfId="0" applyBorder="1">
      <alignment vertical="center"/>
    </xf>
    <xf numFmtId="0" fontId="0" fillId="0" borderId="10" xfId="0" applyBorder="1">
      <alignment vertical="center"/>
    </xf>
    <xf numFmtId="0" fontId="0" fillId="34" borderId="0" xfId="0" applyFill="1">
      <alignment vertical="center"/>
    </xf>
    <xf numFmtId="0" fontId="69" fillId="0" borderId="48" xfId="0" applyFont="1" applyBorder="1" applyAlignment="1">
      <alignment horizontal="center" vertical="center"/>
    </xf>
    <xf numFmtId="0" fontId="70" fillId="32" borderId="102" xfId="0" applyFont="1" applyFill="1" applyBorder="1" applyAlignment="1">
      <alignment horizontal="center" vertical="center"/>
    </xf>
    <xf numFmtId="0" fontId="70" fillId="33" borderId="102" xfId="0" applyFont="1" applyFill="1" applyBorder="1" applyAlignment="1">
      <alignment horizontal="center" vertical="center"/>
    </xf>
    <xf numFmtId="0" fontId="74" fillId="0" borderId="0" xfId="0" applyFont="1">
      <alignment vertical="center"/>
    </xf>
    <xf numFmtId="202" fontId="0" fillId="0" borderId="0" xfId="0" applyNumberFormat="1">
      <alignment vertical="center"/>
    </xf>
    <xf numFmtId="0" fontId="70" fillId="33" borderId="44" xfId="0" applyFont="1" applyFill="1" applyBorder="1" applyAlignment="1">
      <alignment horizontal="center" vertical="center"/>
    </xf>
    <xf numFmtId="191" fontId="0" fillId="0" borderId="0" xfId="0" applyNumberFormat="1">
      <alignment vertical="center"/>
    </xf>
    <xf numFmtId="0" fontId="0" fillId="0" borderId="13" xfId="0" applyFill="1" applyBorder="1">
      <alignment vertical="center"/>
    </xf>
    <xf numFmtId="0" fontId="0" fillId="5" borderId="0" xfId="0" applyFill="1">
      <alignment vertical="center"/>
    </xf>
    <xf numFmtId="0" fontId="62" fillId="0" borderId="69" xfId="0" applyFont="1" applyBorder="1" applyAlignment="1">
      <alignment horizontal="center" vertical="center"/>
    </xf>
    <xf numFmtId="203" fontId="0" fillId="0" borderId="0" xfId="0" applyNumberFormat="1" applyFill="1">
      <alignment vertical="center"/>
    </xf>
    <xf numFmtId="0" fontId="0" fillId="32" borderId="102" xfId="0" applyFill="1" applyBorder="1" applyAlignment="1">
      <alignment horizontal="center" vertical="center"/>
    </xf>
    <xf numFmtId="202" fontId="70" fillId="33" borderId="1" xfId="0" applyNumberFormat="1" applyFont="1" applyFill="1" applyBorder="1" applyAlignment="1">
      <alignment horizontal="center" vertical="center"/>
    </xf>
    <xf numFmtId="58" fontId="0" fillId="0" borderId="0" xfId="0" applyNumberFormat="1">
      <alignment vertical="center"/>
    </xf>
    <xf numFmtId="202" fontId="70" fillId="33" borderId="71" xfId="0" applyNumberFormat="1" applyFont="1" applyFill="1" applyBorder="1" applyAlignment="1">
      <alignment horizontal="center" vertical="center"/>
    </xf>
    <xf numFmtId="204" fontId="0" fillId="0" borderId="0" xfId="0" applyNumberFormat="1">
      <alignment vertical="center"/>
    </xf>
    <xf numFmtId="205" fontId="0" fillId="0" borderId="0" xfId="0" applyNumberFormat="1" applyAlignment="1">
      <alignment horizontal="center" vertical="center"/>
    </xf>
    <xf numFmtId="0" fontId="69" fillId="0" borderId="69" xfId="0" applyFont="1" applyBorder="1" applyAlignment="1">
      <alignment horizontal="center"/>
    </xf>
    <xf numFmtId="0" fontId="0" fillId="32" borderId="1" xfId="0" applyFill="1" applyBorder="1">
      <alignment vertical="center"/>
    </xf>
    <xf numFmtId="0" fontId="0" fillId="32" borderId="102" xfId="0" applyFill="1" applyBorder="1" applyAlignment="1">
      <alignment horizontal="center"/>
    </xf>
    <xf numFmtId="0" fontId="70" fillId="33" borderId="102" xfId="0" applyFont="1" applyFill="1" applyBorder="1" applyAlignment="1">
      <alignment horizontal="center"/>
    </xf>
    <xf numFmtId="0" fontId="0" fillId="0" borderId="71" xfId="0" applyBorder="1">
      <alignment vertical="center"/>
    </xf>
    <xf numFmtId="0" fontId="0" fillId="0" borderId="13" xfId="0" applyBorder="1">
      <alignment vertical="center"/>
    </xf>
    <xf numFmtId="0" fontId="0" fillId="0" borderId="20" xfId="0" applyBorder="1">
      <alignment vertical="center"/>
    </xf>
    <xf numFmtId="0" fontId="0" fillId="0" borderId="1" xfId="0" applyBorder="1" applyAlignment="1">
      <alignment horizontal="center" vertical="center"/>
    </xf>
    <xf numFmtId="0" fontId="0" fillId="24" borderId="1" xfId="0" applyFill="1" applyBorder="1" applyAlignment="1">
      <alignment horizontal="center" vertical="center"/>
    </xf>
    <xf numFmtId="0" fontId="0" fillId="0" borderId="24" xfId="0" applyBorder="1">
      <alignment vertical="center"/>
    </xf>
    <xf numFmtId="0" fontId="0" fillId="32" borderId="0" xfId="0" applyFill="1" applyBorder="1" applyAlignment="1">
      <alignment horizontal="center" vertical="center"/>
    </xf>
    <xf numFmtId="0" fontId="0" fillId="0" borderId="1" xfId="0" applyFill="1" applyBorder="1" applyAlignment="1">
      <alignment horizontal="center" vertical="center"/>
    </xf>
    <xf numFmtId="188" fontId="0" fillId="35" borderId="1" xfId="0" applyNumberFormat="1" applyFill="1" applyBorder="1" applyAlignment="1">
      <alignment horizontal="center" vertical="center"/>
    </xf>
    <xf numFmtId="0" fontId="75" fillId="35" borderId="1" xfId="0" applyFont="1" applyFill="1" applyBorder="1" applyAlignment="1">
      <alignment horizontal="center" vertical="center"/>
    </xf>
    <xf numFmtId="0" fontId="0" fillId="33" borderId="1" xfId="0" applyFill="1" applyBorder="1" applyAlignment="1">
      <alignment horizontal="center" vertical="center"/>
    </xf>
    <xf numFmtId="0" fontId="0" fillId="35" borderId="1" xfId="0" applyFill="1" applyBorder="1" applyAlignment="1">
      <alignment horizontal="center" vertical="center"/>
    </xf>
    <xf numFmtId="0" fontId="73" fillId="33" borderId="1" xfId="0" applyFont="1" applyFill="1" applyBorder="1">
      <alignment vertical="center"/>
    </xf>
    <xf numFmtId="0" fontId="0" fillId="33" borderId="0" xfId="0" applyFill="1" applyBorder="1" applyAlignment="1">
      <alignment horizontal="center" vertical="center"/>
    </xf>
    <xf numFmtId="0" fontId="70" fillId="32" borderId="0" xfId="0" applyFont="1" applyFill="1" applyBorder="1" applyAlignment="1">
      <alignment horizontal="center" vertical="center"/>
    </xf>
    <xf numFmtId="10" fontId="0" fillId="0" borderId="0" xfId="0" applyNumberFormat="1" applyBorder="1">
      <alignment vertical="center"/>
    </xf>
    <xf numFmtId="0" fontId="0" fillId="0" borderId="1" xfId="0" applyFill="1" applyBorder="1">
      <alignment vertical="center"/>
    </xf>
    <xf numFmtId="0" fontId="76" fillId="0" borderId="0" xfId="0" applyNumberFormat="1" applyFont="1">
      <alignment vertical="center"/>
    </xf>
    <xf numFmtId="0" fontId="77" fillId="0" borderId="0" xfId="0" applyNumberFormat="1" applyFont="1" applyAlignment="1">
      <alignment horizontal="left" vertical="center" wrapText="1"/>
    </xf>
    <xf numFmtId="0" fontId="78" fillId="0" borderId="0" xfId="0" applyNumberFormat="1" applyFont="1" applyAlignment="1">
      <alignment horizontal="center" vertical="top" wrapText="1"/>
    </xf>
    <xf numFmtId="0" fontId="77" fillId="0" borderId="0" xfId="0" applyNumberFormat="1" applyFont="1">
      <alignment vertical="center"/>
    </xf>
    <xf numFmtId="0" fontId="78" fillId="0" borderId="0" xfId="0" applyNumberFormat="1" applyFont="1" applyAlignment="1">
      <alignment horizontal="left" vertical="top" wrapText="1"/>
    </xf>
    <xf numFmtId="0" fontId="78" fillId="0" borderId="0" xfId="0" applyNumberFormat="1" applyFont="1">
      <alignment vertical="center"/>
    </xf>
    <xf numFmtId="0" fontId="77" fillId="0" borderId="1" xfId="0" applyNumberFormat="1" applyFont="1" applyBorder="1" applyAlignment="1">
      <alignment horizontal="center" vertical="center" wrapText="1"/>
    </xf>
    <xf numFmtId="0" fontId="78" fillId="0" borderId="0" xfId="0" applyNumberFormat="1" applyFont="1" applyBorder="1">
      <alignment vertical="center"/>
    </xf>
    <xf numFmtId="0" fontId="77" fillId="0" borderId="68" xfId="0" applyNumberFormat="1" applyFont="1" applyBorder="1" applyAlignment="1">
      <alignment horizontal="center" vertical="center" wrapText="1"/>
    </xf>
    <xf numFmtId="0" fontId="78" fillId="0" borderId="1" xfId="0" applyNumberFormat="1" applyFont="1" applyBorder="1" applyAlignment="1">
      <alignment vertical="center" wrapText="1"/>
    </xf>
    <xf numFmtId="0" fontId="78" fillId="0" borderId="1" xfId="0" applyNumberFormat="1" applyFont="1" applyBorder="1" applyAlignment="1">
      <alignment horizontal="center" vertical="center" wrapText="1"/>
    </xf>
    <xf numFmtId="0" fontId="78" fillId="0" borderId="23" xfId="0" applyNumberFormat="1" applyFont="1" applyBorder="1" applyAlignment="1">
      <alignment vertical="center" wrapText="1"/>
    </xf>
    <xf numFmtId="0" fontId="78" fillId="0" borderId="43" xfId="0" applyNumberFormat="1" applyFont="1" applyBorder="1" applyAlignment="1">
      <alignment vertical="center" wrapText="1"/>
    </xf>
    <xf numFmtId="0" fontId="77" fillId="0" borderId="109" xfId="0" applyNumberFormat="1" applyFont="1" applyBorder="1" applyAlignment="1">
      <alignment horizontal="center" vertical="center" wrapText="1"/>
    </xf>
    <xf numFmtId="0" fontId="77" fillId="0" borderId="110" xfId="0" applyNumberFormat="1" applyFont="1" applyBorder="1" applyAlignment="1">
      <alignment horizontal="center" vertical="center" wrapText="1"/>
    </xf>
    <xf numFmtId="0" fontId="77" fillId="0" borderId="111" xfId="0" applyNumberFormat="1" applyFont="1" applyBorder="1" applyAlignment="1">
      <alignment horizontal="center" vertical="center" wrapText="1"/>
    </xf>
    <xf numFmtId="0" fontId="77" fillId="0" borderId="112" xfId="0" applyNumberFormat="1" applyFont="1" applyBorder="1" applyAlignment="1">
      <alignment horizontal="center" vertical="center" wrapText="1"/>
    </xf>
    <xf numFmtId="0" fontId="78" fillId="0" borderId="84" xfId="0" applyNumberFormat="1" applyFont="1" applyBorder="1" applyAlignment="1">
      <alignment horizontal="center" vertical="center" wrapText="1"/>
    </xf>
    <xf numFmtId="0" fontId="78" fillId="0" borderId="79" xfId="0" applyNumberFormat="1" applyFont="1" applyBorder="1" applyAlignment="1">
      <alignment horizontal="center" vertical="center" wrapText="1"/>
    </xf>
    <xf numFmtId="0" fontId="78" fillId="0" borderId="21" xfId="0" applyNumberFormat="1" applyFont="1" applyBorder="1" applyAlignment="1">
      <alignment horizontal="center" vertical="center"/>
    </xf>
    <xf numFmtId="0" fontId="78" fillId="0" borderId="113" xfId="0" applyNumberFormat="1" applyFont="1" applyBorder="1" applyAlignment="1">
      <alignment vertical="center" wrapText="1"/>
    </xf>
    <xf numFmtId="0" fontId="78" fillId="0" borderId="21" xfId="0" applyNumberFormat="1" applyFont="1" applyBorder="1">
      <alignment vertical="center"/>
    </xf>
    <xf numFmtId="0" fontId="78" fillId="0" borderId="114" xfId="0" applyNumberFormat="1" applyFont="1" applyBorder="1" applyAlignment="1">
      <alignment horizontal="center" vertical="center" wrapText="1"/>
    </xf>
    <xf numFmtId="0" fontId="78" fillId="0" borderId="115" xfId="0" applyNumberFormat="1" applyFont="1" applyBorder="1" applyAlignment="1">
      <alignment vertical="center" wrapText="1"/>
    </xf>
    <xf numFmtId="0" fontId="78" fillId="0" borderId="116" xfId="0" applyNumberFormat="1" applyFont="1" applyBorder="1" applyAlignment="1">
      <alignment horizontal="center" vertical="center" wrapText="1"/>
    </xf>
    <xf numFmtId="0" fontId="78" fillId="0" borderId="117" xfId="0" applyNumberFormat="1" applyFont="1" applyBorder="1" applyAlignment="1">
      <alignment horizontal="center" vertical="center" wrapText="1"/>
    </xf>
    <xf numFmtId="0" fontId="78" fillId="0" borderId="26" xfId="0" applyNumberFormat="1" applyFont="1" applyBorder="1" applyAlignment="1">
      <alignment horizontal="center" vertical="center"/>
    </xf>
    <xf numFmtId="0" fontId="78" fillId="0" borderId="118" xfId="0" applyNumberFormat="1" applyFont="1" applyBorder="1" applyAlignment="1">
      <alignment horizontal="center" vertical="center" wrapText="1"/>
    </xf>
    <xf numFmtId="0" fontId="78" fillId="0" borderId="26" xfId="0" applyNumberFormat="1" applyFont="1" applyBorder="1">
      <alignment vertical="center"/>
    </xf>
    <xf numFmtId="0" fontId="3" fillId="0" borderId="0" xfId="57">
      <alignment vertical="center"/>
    </xf>
    <xf numFmtId="0" fontId="0" fillId="17" borderId="1" xfId="61" applyNumberFormat="1" applyFont="1" applyFill="1" applyBorder="1" applyAlignment="1" applyProtection="1">
      <alignment horizontal="center" vertical="center" wrapText="1"/>
    </xf>
    <xf numFmtId="0" fontId="0" fillId="17" borderId="16" xfId="61" applyNumberFormat="1" applyFont="1" applyFill="1" applyBorder="1" applyAlignment="1" applyProtection="1">
      <alignment horizontal="center" vertical="center" wrapText="1"/>
    </xf>
    <xf numFmtId="0" fontId="3" fillId="17" borderId="16" xfId="57" applyNumberFormat="1" applyFont="1" applyFill="1" applyBorder="1" applyAlignment="1" applyProtection="1">
      <alignment horizontal="center" vertical="center" wrapText="1"/>
    </xf>
    <xf numFmtId="0" fontId="0" fillId="17" borderId="14" xfId="61" applyNumberFormat="1" applyFont="1" applyFill="1" applyBorder="1" applyAlignment="1" applyProtection="1">
      <alignment horizontal="center" vertical="center" wrapText="1"/>
    </xf>
    <xf numFmtId="0" fontId="0" fillId="17" borderId="4" xfId="61" applyNumberFormat="1" applyFont="1" applyFill="1" applyBorder="1" applyAlignment="1" applyProtection="1">
      <alignment horizontal="center" vertical="center" wrapText="1"/>
    </xf>
    <xf numFmtId="0" fontId="0" fillId="17" borderId="10" xfId="61" applyNumberFormat="1" applyFont="1" applyFill="1" applyBorder="1" applyAlignment="1" applyProtection="1">
      <alignment horizontal="center" vertical="center" wrapText="1"/>
    </xf>
    <xf numFmtId="0" fontId="0" fillId="0" borderId="0" xfId="61" applyNumberFormat="1" applyFont="1" applyAlignment="1" applyProtection="1">
      <alignment horizontal="center" vertical="center" wrapText="1"/>
    </xf>
    <xf numFmtId="0" fontId="3" fillId="17" borderId="1" xfId="57" applyNumberFormat="1" applyFont="1" applyFill="1" applyBorder="1" applyAlignment="1" applyProtection="1">
      <alignment horizontal="center" vertical="center" wrapText="1"/>
    </xf>
    <xf numFmtId="0" fontId="0" fillId="17" borderId="13" xfId="61" applyNumberFormat="1" applyFont="1" applyFill="1" applyBorder="1" applyAlignment="1" applyProtection="1">
      <alignment horizontal="center" vertical="center" wrapText="1"/>
    </xf>
    <xf numFmtId="0" fontId="3" fillId="17" borderId="14" xfId="57" applyNumberFormat="1" applyFont="1" applyFill="1" applyBorder="1" applyAlignment="1" applyProtection="1">
      <alignment horizontal="center" vertical="center" wrapText="1"/>
    </xf>
    <xf numFmtId="0" fontId="0" fillId="0" borderId="5" xfId="61" applyNumberFormat="1" applyFont="1" applyBorder="1" applyAlignment="1" applyProtection="1">
      <alignment horizontal="center" vertical="center" wrapText="1"/>
    </xf>
    <xf numFmtId="189" fontId="0" fillId="0" borderId="13" xfId="61" applyNumberFormat="1" applyFont="1" applyBorder="1" applyAlignment="1" applyProtection="1">
      <alignment horizontal="center" vertical="center" wrapText="1"/>
    </xf>
    <xf numFmtId="188" fontId="0" fillId="0" borderId="13" xfId="61" applyNumberFormat="1" applyFont="1" applyBorder="1" applyAlignment="1" applyProtection="1">
      <alignment horizontal="center" vertical="center" wrapText="1"/>
    </xf>
    <xf numFmtId="185" fontId="0" fillId="0" borderId="12" xfId="61" applyNumberFormat="1" applyFont="1" applyBorder="1" applyAlignment="1" applyProtection="1">
      <alignment horizontal="center" vertical="center" wrapText="1"/>
    </xf>
    <xf numFmtId="192" fontId="0" fillId="0" borderId="1" xfId="61" applyNumberFormat="1" applyFont="1" applyBorder="1" applyAlignment="1" applyProtection="1">
      <alignment horizontal="center" vertical="center"/>
    </xf>
    <xf numFmtId="192" fontId="0" fillId="0" borderId="16" xfId="61" applyNumberFormat="1" applyFont="1" applyBorder="1" applyAlignment="1" applyProtection="1">
      <alignment horizontal="center" vertical="center"/>
    </xf>
    <xf numFmtId="0" fontId="0" fillId="0" borderId="0" xfId="61" applyNumberFormat="1" applyFont="1" applyAlignment="1" applyProtection="1">
      <alignment horizontal="center" vertical="center"/>
    </xf>
    <xf numFmtId="192" fontId="0" fillId="0" borderId="5" xfId="61" applyNumberFormat="1" applyFont="1" applyBorder="1" applyAlignment="1" applyProtection="1">
      <alignment horizontal="center" vertical="center"/>
    </xf>
    <xf numFmtId="192" fontId="0" fillId="0" borderId="13" xfId="61" applyNumberFormat="1" applyFont="1" applyBorder="1" applyAlignment="1" applyProtection="1">
      <alignment horizontal="center" vertical="center"/>
    </xf>
    <xf numFmtId="192" fontId="0" fillId="0" borderId="12" xfId="61" applyNumberFormat="1" applyFont="1" applyBorder="1" applyAlignment="1" applyProtection="1">
      <alignment horizontal="center" vertical="center" wrapText="1"/>
    </xf>
    <xf numFmtId="189" fontId="0" fillId="0" borderId="5" xfId="61" applyNumberFormat="1" applyFont="1" applyBorder="1" applyAlignment="1" applyProtection="1">
      <alignment horizontal="center" vertical="center"/>
    </xf>
    <xf numFmtId="189" fontId="0" fillId="0" borderId="13" xfId="61" applyNumberFormat="1" applyFont="1" applyBorder="1" applyAlignment="1" applyProtection="1">
      <alignment horizontal="center" vertical="center"/>
    </xf>
    <xf numFmtId="187" fontId="0" fillId="0" borderId="12" xfId="61" applyNumberFormat="1" applyFont="1" applyBorder="1" applyAlignment="1" applyProtection="1">
      <alignment horizontal="center" vertical="center" wrapText="1"/>
    </xf>
    <xf numFmtId="189" fontId="0" fillId="0" borderId="10" xfId="61" applyNumberFormat="1" applyFont="1" applyBorder="1" applyAlignment="1" applyProtection="1">
      <alignment horizontal="center" vertical="center" wrapText="1"/>
    </xf>
    <xf numFmtId="188" fontId="0" fillId="0" borderId="10" xfId="61" applyNumberFormat="1" applyFont="1" applyBorder="1" applyAlignment="1" applyProtection="1">
      <alignment horizontal="center" vertical="center" wrapText="1"/>
    </xf>
    <xf numFmtId="187" fontId="0" fillId="0" borderId="0" xfId="61" applyNumberFormat="1" applyFont="1" applyBorder="1" applyAlignment="1" applyProtection="1">
      <alignment horizontal="center" vertical="center" wrapText="1"/>
    </xf>
    <xf numFmtId="189" fontId="0" fillId="0" borderId="4" xfId="61" applyNumberFormat="1" applyFont="1" applyBorder="1" applyAlignment="1" applyProtection="1">
      <alignment horizontal="center" vertical="center"/>
    </xf>
    <xf numFmtId="189" fontId="0" fillId="0" borderId="10" xfId="61" applyNumberFormat="1" applyFont="1" applyBorder="1" applyAlignment="1" applyProtection="1">
      <alignment horizontal="center" vertical="center"/>
    </xf>
    <xf numFmtId="0" fontId="0" fillId="0" borderId="11" xfId="61" applyNumberFormat="1" applyFont="1" applyBorder="1" applyAlignment="1" applyProtection="1">
      <alignment horizontal="center" vertical="center" wrapText="1"/>
    </xf>
    <xf numFmtId="189" fontId="0" fillId="0" borderId="1" xfId="61" applyNumberFormat="1" applyFont="1" applyBorder="1" applyAlignment="1" applyProtection="1">
      <alignment horizontal="center" vertical="center" wrapText="1"/>
    </xf>
    <xf numFmtId="188" fontId="0" fillId="0" borderId="16" xfId="61" applyNumberFormat="1" applyFont="1" applyBorder="1" applyAlignment="1" applyProtection="1">
      <alignment horizontal="center" vertical="center" wrapText="1"/>
    </xf>
    <xf numFmtId="187" fontId="0" fillId="0" borderId="16" xfId="61" applyNumberFormat="1" applyFont="1" applyBorder="1" applyAlignment="1" applyProtection="1">
      <alignment horizontal="center" vertical="center" wrapText="1"/>
    </xf>
    <xf numFmtId="189" fontId="0" fillId="0" borderId="8" xfId="61" applyNumberFormat="1" applyFont="1" applyBorder="1" applyAlignment="1" applyProtection="1">
      <alignment horizontal="center" vertical="center"/>
    </xf>
    <xf numFmtId="0" fontId="0" fillId="0" borderId="13" xfId="61" applyNumberFormat="1" applyFont="1" applyBorder="1" applyAlignment="1" applyProtection="1">
      <alignment horizontal="center" vertical="center" wrapText="1"/>
    </xf>
    <xf numFmtId="187" fontId="0" fillId="0" borderId="13" xfId="61" applyNumberFormat="1" applyFont="1" applyBorder="1" applyAlignment="1" applyProtection="1">
      <alignment horizontal="center" vertical="center" wrapText="1"/>
    </xf>
    <xf numFmtId="0" fontId="0" fillId="0" borderId="9" xfId="61" applyNumberFormat="1" applyFont="1" applyBorder="1" applyAlignment="1" applyProtection="1">
      <alignment horizontal="center" vertical="center" wrapText="1"/>
    </xf>
    <xf numFmtId="0" fontId="0" fillId="0" borderId="4" xfId="61" applyNumberFormat="1" applyFont="1" applyBorder="1" applyAlignment="1" applyProtection="1">
      <alignment horizontal="center" vertical="center" wrapText="1"/>
    </xf>
    <xf numFmtId="0" fontId="0" fillId="0" borderId="10" xfId="61" applyNumberFormat="1" applyFont="1" applyBorder="1" applyAlignment="1" applyProtection="1">
      <alignment horizontal="center" vertical="center" wrapText="1"/>
    </xf>
    <xf numFmtId="187" fontId="0" fillId="0" borderId="10" xfId="61" applyNumberFormat="1" applyFont="1" applyBorder="1" applyAlignment="1" applyProtection="1">
      <alignment horizontal="center" vertical="center" wrapText="1"/>
    </xf>
    <xf numFmtId="0" fontId="0" fillId="0" borderId="1" xfId="61" applyNumberFormat="1" applyFont="1" applyBorder="1" applyAlignment="1" applyProtection="1">
      <alignment horizontal="center" vertical="center" wrapText="1"/>
    </xf>
    <xf numFmtId="187" fontId="0" fillId="0" borderId="1" xfId="61" applyNumberFormat="1" applyFont="1" applyBorder="1" applyAlignment="1" applyProtection="1">
      <alignment horizontal="center" vertical="center" wrapText="1"/>
    </xf>
    <xf numFmtId="189" fontId="0" fillId="0" borderId="1" xfId="61" applyNumberFormat="1" applyFont="1" applyBorder="1" applyAlignment="1" applyProtection="1">
      <alignment horizontal="center" vertical="center"/>
    </xf>
    <xf numFmtId="0" fontId="3" fillId="0" borderId="0" xfId="57" applyNumberFormat="1" applyFont="1" applyAlignment="1" applyProtection="1">
      <alignment horizontal="center" vertical="center"/>
    </xf>
    <xf numFmtId="0" fontId="0" fillId="19" borderId="119" xfId="61" applyNumberFormat="1" applyFont="1" applyFill="1" applyBorder="1" applyAlignment="1" applyProtection="1">
      <alignment horizontal="center" vertical="center" wrapText="1"/>
    </xf>
    <xf numFmtId="0" fontId="3" fillId="19" borderId="119" xfId="57" applyNumberFormat="1" applyFont="1" applyFill="1" applyBorder="1" applyAlignment="1" applyProtection="1">
      <alignment horizontal="center" vertical="center" wrapText="1"/>
    </xf>
    <xf numFmtId="0" fontId="0" fillId="10" borderId="120" xfId="61" applyNumberFormat="1" applyFont="1" applyFill="1" applyBorder="1" applyAlignment="1" applyProtection="1">
      <alignment horizontal="center" vertical="center" wrapText="1"/>
    </xf>
    <xf numFmtId="0" fontId="0" fillId="10" borderId="121" xfId="61" applyNumberFormat="1" applyFont="1" applyFill="1" applyBorder="1" applyAlignment="1" applyProtection="1">
      <alignment horizontal="center" vertical="center" wrapText="1"/>
    </xf>
    <xf numFmtId="0" fontId="0" fillId="10" borderId="121" xfId="61" applyNumberFormat="1" applyFont="1" applyFill="1" applyBorder="1" applyAlignment="1" applyProtection="1">
      <alignment horizontal="center" vertical="top" wrapText="1"/>
    </xf>
    <xf numFmtId="0" fontId="0" fillId="10" borderId="120" xfId="61" applyNumberFormat="1" applyFont="1" applyFill="1" applyBorder="1" applyAlignment="1" applyProtection="1">
      <alignment horizontal="center" vertical="top" wrapText="1"/>
    </xf>
    <xf numFmtId="0" fontId="0" fillId="10" borderId="121" xfId="61" applyNumberFormat="1" applyFont="1" applyFill="1" applyBorder="1" applyAlignment="1" applyProtection="1">
      <alignment horizontal="center" wrapText="1"/>
    </xf>
    <xf numFmtId="0" fontId="79" fillId="10" borderId="121" xfId="61" applyNumberFormat="1" applyFont="1" applyFill="1" applyBorder="1" applyAlignment="1" applyProtection="1">
      <alignment horizontal="center" vertical="top" wrapText="1"/>
    </xf>
    <xf numFmtId="0" fontId="79" fillId="10" borderId="121" xfId="61" applyNumberFormat="1" applyFont="1" applyFill="1" applyBorder="1" applyAlignment="1" applyProtection="1">
      <alignment horizontal="center" vertical="center" wrapText="1"/>
    </xf>
    <xf numFmtId="0" fontId="0" fillId="10" borderId="120" xfId="61" applyNumberFormat="1" applyFont="1" applyFill="1" applyBorder="1" applyAlignment="1" applyProtection="1">
      <alignment horizontal="center" wrapText="1"/>
    </xf>
    <xf numFmtId="0" fontId="3" fillId="10" borderId="120" xfId="57" applyNumberFormat="1" applyFont="1" applyFill="1" applyBorder="1" applyAlignment="1" applyProtection="1">
      <alignment horizontal="center" vertical="center" wrapText="1"/>
    </xf>
    <xf numFmtId="0" fontId="3" fillId="10" borderId="121" xfId="57" applyNumberFormat="1" applyFont="1" applyFill="1" applyBorder="1" applyAlignment="1" applyProtection="1">
      <alignment horizontal="center" vertical="center" wrapText="1"/>
    </xf>
    <xf numFmtId="0" fontId="3" fillId="10" borderId="121" xfId="57" applyNumberFormat="1" applyFont="1" applyFill="1" applyBorder="1" applyAlignment="1" applyProtection="1">
      <alignment horizontal="center" vertical="top" wrapText="1"/>
    </xf>
    <xf numFmtId="0" fontId="28" fillId="0" borderId="0" xfId="46" applyFont="1" applyAlignment="1">
      <alignment horizontal="center" vertical="center"/>
    </xf>
    <xf numFmtId="0" fontId="3" fillId="0" borderId="0" xfId="46" applyAlignment="1">
      <alignment horizontal="center" vertical="center"/>
    </xf>
    <xf numFmtId="0" fontId="80" fillId="0" borderId="0" xfId="46" applyFont="1" applyAlignment="1">
      <alignment horizontal="center" vertical="center"/>
    </xf>
    <xf numFmtId="0" fontId="80" fillId="0" borderId="0" xfId="46" applyNumberFormat="1" applyFont="1" applyAlignment="1">
      <alignment horizontal="center" vertical="center"/>
    </xf>
    <xf numFmtId="0" fontId="81" fillId="0" borderId="0" xfId="58" applyFont="1" applyAlignment="1">
      <alignment horizontal="center" vertical="center"/>
    </xf>
    <xf numFmtId="0" fontId="82" fillId="0" borderId="0" xfId="46" applyFont="1" applyAlignment="1">
      <alignment horizontal="center" vertical="center"/>
    </xf>
    <xf numFmtId="0" fontId="47" fillId="0" borderId="0" xfId="46" applyFont="1" applyAlignment="1">
      <alignment horizontal="center" vertical="center"/>
    </xf>
    <xf numFmtId="0" fontId="28" fillId="36" borderId="122" xfId="46" applyFont="1" applyFill="1" applyBorder="1" applyAlignment="1" applyProtection="1">
      <alignment horizontal="center" vertical="center"/>
      <protection locked="0"/>
    </xf>
    <xf numFmtId="0" fontId="28" fillId="37" borderId="122" xfId="46" applyFont="1" applyFill="1" applyBorder="1" applyAlignment="1" applyProtection="1">
      <alignment horizontal="center" vertical="center"/>
      <protection locked="0"/>
    </xf>
    <xf numFmtId="193" fontId="28" fillId="36" borderId="122" xfId="46" applyNumberFormat="1" applyFont="1" applyFill="1" applyBorder="1" applyAlignment="1">
      <alignment horizontal="center" vertical="center"/>
    </xf>
    <xf numFmtId="0" fontId="28" fillId="11" borderId="122" xfId="46" applyFont="1" applyFill="1" applyBorder="1" applyAlignment="1">
      <alignment horizontal="center" vertical="center"/>
    </xf>
    <xf numFmtId="0" fontId="3" fillId="11" borderId="123" xfId="46" applyFill="1" applyBorder="1" applyAlignment="1">
      <alignment horizontal="center" vertical="center"/>
    </xf>
    <xf numFmtId="0" fontId="83" fillId="0" borderId="0" xfId="46" applyFont="1" applyAlignment="1">
      <alignment horizontal="center" vertical="center"/>
    </xf>
    <xf numFmtId="0" fontId="84" fillId="0" borderId="0" xfId="46" applyFont="1" applyAlignment="1">
      <alignment horizontal="center" vertical="center"/>
    </xf>
    <xf numFmtId="205" fontId="28" fillId="36" borderId="122" xfId="46" applyNumberFormat="1" applyFont="1" applyFill="1" applyBorder="1" applyAlignment="1">
      <alignment horizontal="center" vertical="center"/>
    </xf>
    <xf numFmtId="0" fontId="85" fillId="0" borderId="0" xfId="58" applyFont="1">
      <alignment vertical="center"/>
    </xf>
    <xf numFmtId="0" fontId="80" fillId="0" borderId="0" xfId="46" applyFont="1" applyBorder="1" applyAlignment="1">
      <alignment horizontal="center" vertical="center"/>
    </xf>
    <xf numFmtId="0" fontId="86" fillId="0" borderId="0" xfId="58" applyFont="1" applyBorder="1">
      <alignment vertical="center"/>
    </xf>
    <xf numFmtId="0" fontId="87" fillId="0" borderId="0" xfId="46" applyFont="1" applyBorder="1" applyAlignment="1">
      <alignment horizontal="center" vertical="center"/>
    </xf>
    <xf numFmtId="0" fontId="88" fillId="0" borderId="0" xfId="46" applyFont="1" applyBorder="1" applyAlignment="1">
      <alignment horizontal="center" vertical="center"/>
    </xf>
    <xf numFmtId="0" fontId="80" fillId="0" borderId="0" xfId="46" applyFont="1" applyBorder="1" applyAlignment="1">
      <alignment horizontal="center" vertical="center" wrapText="1"/>
    </xf>
    <xf numFmtId="206" fontId="80" fillId="0" borderId="0" xfId="46" applyNumberFormat="1" applyFont="1" applyBorder="1" applyAlignment="1">
      <alignment horizontal="center" vertical="center"/>
    </xf>
    <xf numFmtId="0" fontId="89" fillId="0" borderId="0" xfId="58" applyFont="1" applyBorder="1">
      <alignment vertical="center"/>
    </xf>
    <xf numFmtId="0" fontId="90" fillId="0" borderId="0" xfId="58" applyFont="1" applyBorder="1">
      <alignment vertical="center"/>
    </xf>
    <xf numFmtId="0" fontId="91" fillId="0" borderId="0" xfId="58" applyFont="1" applyBorder="1" applyAlignment="1">
      <alignment horizontal="center" vertical="center"/>
    </xf>
    <xf numFmtId="193" fontId="80" fillId="0" borderId="0" xfId="46" applyNumberFormat="1" applyFont="1" applyBorder="1" applyAlignment="1">
      <alignment horizontal="center" vertical="center"/>
    </xf>
    <xf numFmtId="0" fontId="87" fillId="0" borderId="0" xfId="46" applyFont="1" applyBorder="1" applyAlignment="1">
      <alignment horizontal="center" vertical="center" wrapText="1"/>
    </xf>
    <xf numFmtId="3" fontId="87" fillId="0" borderId="0" xfId="46" applyNumberFormat="1" applyFont="1" applyBorder="1" applyAlignment="1">
      <alignment horizontal="center" vertical="center"/>
    </xf>
    <xf numFmtId="187" fontId="80" fillId="0" borderId="0" xfId="46" applyNumberFormat="1" applyFont="1" applyBorder="1" applyAlignment="1">
      <alignment horizontal="center" vertical="center"/>
    </xf>
    <xf numFmtId="0" fontId="92" fillId="0" borderId="0" xfId="58" applyFont="1" applyBorder="1" applyAlignment="1">
      <alignment horizontal="center" vertical="center"/>
    </xf>
    <xf numFmtId="0" fontId="80" fillId="0" borderId="0" xfId="46" applyNumberFormat="1" applyFont="1" applyBorder="1" applyAlignment="1">
      <alignment horizontal="center" vertical="center"/>
    </xf>
    <xf numFmtId="0" fontId="87" fillId="0" borderId="0" xfId="46" applyNumberFormat="1" applyFont="1" applyBorder="1" applyAlignment="1">
      <alignment horizontal="center" vertical="center"/>
    </xf>
    <xf numFmtId="0" fontId="93" fillId="0" borderId="0" xfId="58" applyFont="1" applyBorder="1">
      <alignment vertical="center"/>
    </xf>
    <xf numFmtId="0" fontId="94" fillId="0" borderId="0" xfId="58" applyFont="1" applyBorder="1" applyAlignment="1">
      <alignment horizontal="center" vertical="center"/>
    </xf>
    <xf numFmtId="0" fontId="95" fillId="0" borderId="0" xfId="58" applyFont="1" applyBorder="1" applyAlignment="1">
      <alignment horizontal="center" vertical="center"/>
    </xf>
    <xf numFmtId="0" fontId="95" fillId="0" borderId="0" xfId="58" applyFont="1" applyAlignment="1">
      <alignment horizontal="center" vertical="center"/>
    </xf>
    <xf numFmtId="0" fontId="86" fillId="0" borderId="0" xfId="58" applyFont="1" applyAlignment="1">
      <alignment horizontal="center" vertical="center"/>
    </xf>
    <xf numFmtId="0" fontId="87" fillId="0" borderId="0" xfId="46" applyFont="1" applyAlignment="1">
      <alignment horizontal="center" vertical="center"/>
    </xf>
    <xf numFmtId="0" fontId="0" fillId="0" borderId="1" xfId="0" applyNumberFormat="1" applyBorder="1">
      <alignment vertical="center"/>
    </xf>
    <xf numFmtId="0" fontId="96" fillId="33" borderId="1" xfId="0" applyFont="1" applyFill="1" applyBorder="1" applyAlignment="1">
      <alignment horizontal="right" vertical="center"/>
    </xf>
    <xf numFmtId="0" fontId="69" fillId="31" borderId="1" xfId="0" applyFont="1" applyFill="1" applyBorder="1" applyAlignment="1">
      <alignment horizontal="right" vertical="center"/>
    </xf>
    <xf numFmtId="0" fontId="97" fillId="0" borderId="0" xfId="0" applyFont="1" applyAlignment="1">
      <alignment horizontal="right" vertical="center"/>
    </xf>
    <xf numFmtId="1" fontId="96" fillId="33" borderId="1" xfId="0" applyNumberFormat="1" applyFont="1" applyFill="1" applyBorder="1" applyAlignment="1">
      <alignment horizontal="right" vertical="center"/>
    </xf>
    <xf numFmtId="0" fontId="97" fillId="0" borderId="0" xfId="0" applyFont="1">
      <alignment vertical="center"/>
    </xf>
    <xf numFmtId="0" fontId="0" fillId="0" borderId="0" xfId="59" applyBorder="1"/>
    <xf numFmtId="0" fontId="0" fillId="0" borderId="0" xfId="59" applyAlignment="1">
      <alignment horizontal="center"/>
    </xf>
    <xf numFmtId="0" fontId="0" fillId="0" borderId="0" xfId="59"/>
    <xf numFmtId="0" fontId="16" fillId="0" borderId="0" xfId="59" applyFont="1" applyAlignment="1">
      <alignment horizontal="left"/>
    </xf>
    <xf numFmtId="0" fontId="0" fillId="0" borderId="25" xfId="59" applyBorder="1" applyAlignment="1">
      <alignment horizontal="left"/>
    </xf>
    <xf numFmtId="0" fontId="0" fillId="0" borderId="25" xfId="59" applyBorder="1" applyAlignment="1">
      <alignment horizontal="center"/>
    </xf>
    <xf numFmtId="0" fontId="0" fillId="0" borderId="18" xfId="59" applyBorder="1" applyAlignment="1">
      <alignment horizontal="center"/>
    </xf>
    <xf numFmtId="0" fontId="0" fillId="0" borderId="17" xfId="59" applyBorder="1" applyAlignment="1">
      <alignment horizontal="center"/>
    </xf>
    <xf numFmtId="0" fontId="0" fillId="0" borderId="19" xfId="59" applyBorder="1" applyAlignment="1">
      <alignment horizontal="center"/>
    </xf>
    <xf numFmtId="0" fontId="0" fillId="0" borderId="29" xfId="59" applyBorder="1" applyAlignment="1">
      <alignment horizontal="center"/>
    </xf>
    <xf numFmtId="0" fontId="0" fillId="34" borderId="24" xfId="59" applyFill="1" applyBorder="1" applyAlignment="1" applyProtection="1">
      <alignment horizontal="center"/>
      <protection locked="0"/>
    </xf>
    <xf numFmtId="11" fontId="0" fillId="34" borderId="26" xfId="59" applyNumberFormat="1" applyFill="1" applyBorder="1" applyAlignment="1" applyProtection="1">
      <alignment horizontal="center"/>
      <protection locked="0"/>
    </xf>
    <xf numFmtId="11" fontId="0" fillId="34" borderId="32" xfId="59" applyNumberFormat="1" applyFill="1" applyBorder="1" applyAlignment="1" applyProtection="1">
      <alignment horizontal="center"/>
      <protection locked="0"/>
    </xf>
    <xf numFmtId="0" fontId="0" fillId="0" borderId="0" xfId="59" applyBorder="1" applyAlignment="1">
      <alignment horizontal="center"/>
    </xf>
    <xf numFmtId="0" fontId="0" fillId="0" borderId="0" xfId="59" applyBorder="1" applyAlignment="1">
      <alignment horizontal="left"/>
    </xf>
    <xf numFmtId="0" fontId="62" fillId="0" borderId="25" xfId="59" applyFont="1" applyBorder="1" applyAlignment="1">
      <alignment horizontal="center"/>
    </xf>
    <xf numFmtId="0" fontId="0" fillId="0" borderId="0" xfId="59" applyFont="1" applyBorder="1" applyAlignment="1">
      <alignment horizontal="center"/>
    </xf>
    <xf numFmtId="11" fontId="0" fillId="0" borderId="0" xfId="59" applyNumberFormat="1" applyFont="1" applyBorder="1" applyAlignment="1">
      <alignment horizontal="center"/>
    </xf>
    <xf numFmtId="198" fontId="0" fillId="0" borderId="0" xfId="59" applyNumberFormat="1" applyFont="1" applyBorder="1" applyAlignment="1">
      <alignment horizontal="center"/>
    </xf>
    <xf numFmtId="0" fontId="62" fillId="0" borderId="0" xfId="59" applyFont="1" applyBorder="1" applyAlignment="1">
      <alignment horizontal="center"/>
    </xf>
    <xf numFmtId="11" fontId="0" fillId="0" borderId="0" xfId="59" applyNumberFormat="1" applyAlignment="1">
      <alignment horizontal="center"/>
    </xf>
    <xf numFmtId="0" fontId="0" fillId="0" borderId="124" xfId="59" applyBorder="1"/>
    <xf numFmtId="0" fontId="0" fillId="0" borderId="125" xfId="59" applyBorder="1"/>
    <xf numFmtId="0" fontId="0" fillId="0" borderId="17" xfId="59" applyBorder="1" applyAlignment="1">
      <alignment horizontal="right"/>
    </xf>
    <xf numFmtId="0" fontId="0" fillId="34" borderId="19" xfId="59" applyFill="1" applyBorder="1" applyAlignment="1" applyProtection="1">
      <alignment horizontal="center"/>
      <protection locked="0"/>
    </xf>
    <xf numFmtId="0" fontId="0" fillId="0" borderId="24" xfId="59" applyBorder="1" applyAlignment="1">
      <alignment horizontal="right"/>
    </xf>
    <xf numFmtId="0" fontId="0" fillId="34" borderId="26" xfId="59" applyFill="1" applyBorder="1" applyAlignment="1" applyProtection="1">
      <alignment horizontal="center"/>
      <protection locked="0"/>
    </xf>
    <xf numFmtId="0" fontId="62" fillId="0" borderId="0" xfId="59" applyFont="1"/>
    <xf numFmtId="0" fontId="98" fillId="0" borderId="0" xfId="63" applyFont="1" applyAlignment="1" applyProtection="1"/>
    <xf numFmtId="0" fontId="62" fillId="0" borderId="17" xfId="59" applyFont="1" applyBorder="1" applyAlignment="1">
      <alignment horizontal="center"/>
    </xf>
    <xf numFmtId="0" fontId="62" fillId="0" borderId="29" xfId="59" applyFont="1" applyBorder="1" applyAlignment="1">
      <alignment horizontal="center"/>
    </xf>
    <xf numFmtId="0" fontId="0" fillId="0" borderId="19" xfId="59" applyBorder="1"/>
    <xf numFmtId="0" fontId="62" fillId="0" borderId="126" xfId="59" applyFont="1" applyBorder="1" applyAlignment="1">
      <alignment horizontal="center"/>
    </xf>
    <xf numFmtId="0" fontId="62" fillId="0" borderId="21" xfId="59" applyFont="1" applyBorder="1" applyAlignment="1">
      <alignment horizontal="center"/>
    </xf>
    <xf numFmtId="11" fontId="0" fillId="0" borderId="127" xfId="59" applyNumberFormat="1" applyBorder="1" applyAlignment="1">
      <alignment horizontal="center"/>
    </xf>
    <xf numFmtId="11" fontId="0" fillId="0" borderId="128" xfId="59" applyNumberFormat="1" applyBorder="1" applyAlignment="1">
      <alignment horizontal="center"/>
    </xf>
    <xf numFmtId="11" fontId="0" fillId="0" borderId="42" xfId="59" applyNumberFormat="1" applyBorder="1" applyAlignment="1">
      <alignment horizontal="center"/>
    </xf>
    <xf numFmtId="9" fontId="0" fillId="0" borderId="129" xfId="59" applyNumberFormat="1" applyBorder="1" applyAlignment="1">
      <alignment horizontal="center"/>
    </xf>
    <xf numFmtId="0" fontId="0" fillId="0" borderId="25" xfId="59" applyBorder="1"/>
    <xf numFmtId="0" fontId="62" fillId="0" borderId="0" xfId="59" applyFont="1" applyAlignment="1">
      <alignment horizontal="center"/>
    </xf>
    <xf numFmtId="0" fontId="99" fillId="0" borderId="0" xfId="59" applyFont="1"/>
    <xf numFmtId="0" fontId="37" fillId="0" borderId="0" xfId="59" applyFont="1" applyAlignment="1">
      <alignment horizontal="center"/>
    </xf>
    <xf numFmtId="9" fontId="37" fillId="0" borderId="0" xfId="13" applyFont="1" applyAlignment="1">
      <alignment horizontal="center"/>
    </xf>
    <xf numFmtId="0" fontId="37" fillId="0" borderId="25" xfId="59" applyFont="1" applyBorder="1" applyAlignment="1">
      <alignment horizontal="center"/>
    </xf>
    <xf numFmtId="0" fontId="100" fillId="0" borderId="25" xfId="59" applyFont="1" applyBorder="1" applyAlignment="1">
      <alignment horizontal="center"/>
    </xf>
    <xf numFmtId="0" fontId="62" fillId="0" borderId="25" xfId="59" applyFont="1" applyBorder="1"/>
    <xf numFmtId="0" fontId="62" fillId="0" borderId="0" xfId="59" applyFont="1" applyAlignment="1">
      <alignment horizontal="right"/>
    </xf>
    <xf numFmtId="11" fontId="99" fillId="34" borderId="0" xfId="59" applyNumberFormat="1" applyFont="1" applyFill="1" applyAlignment="1" applyProtection="1">
      <alignment horizontal="center"/>
      <protection locked="0"/>
    </xf>
    <xf numFmtId="198" fontId="0" fillId="0" borderId="0" xfId="59" applyNumberFormat="1" applyAlignment="1">
      <alignment horizontal="center"/>
    </xf>
    <xf numFmtId="9" fontId="0" fillId="0" borderId="0" xfId="59" applyNumberFormat="1" applyAlignment="1">
      <alignment horizontal="center"/>
    </xf>
    <xf numFmtId="198" fontId="0" fillId="0" borderId="0" xfId="59" applyNumberFormat="1"/>
    <xf numFmtId="198" fontId="0" fillId="0" borderId="0" xfId="59" applyNumberFormat="1" applyAlignment="1"/>
    <xf numFmtId="0" fontId="99" fillId="0" borderId="0" xfId="59" applyFont="1" applyAlignment="1" applyProtection="1">
      <alignment horizontal="center"/>
      <protection locked="0"/>
    </xf>
    <xf numFmtId="1" fontId="99" fillId="34" borderId="0" xfId="59" applyNumberFormat="1" applyFont="1" applyFill="1" applyAlignment="1" applyProtection="1">
      <alignment horizontal="center"/>
      <protection locked="0"/>
    </xf>
    <xf numFmtId="0" fontId="99" fillId="34" borderId="0" xfId="59" applyFont="1" applyFill="1" applyAlignment="1" applyProtection="1">
      <alignment horizontal="center"/>
      <protection locked="0"/>
    </xf>
    <xf numFmtId="0" fontId="0" fillId="0" borderId="0" xfId="59" applyAlignment="1">
      <alignment horizontal="right"/>
    </xf>
    <xf numFmtId="0" fontId="0" fillId="0" borderId="0" xfId="59" applyAlignment="1" applyProtection="1">
      <alignment horizontal="center"/>
      <protection locked="0"/>
    </xf>
    <xf numFmtId="180" fontId="0" fillId="0" borderId="0" xfId="59" applyNumberFormat="1" applyAlignment="1">
      <alignment horizontal="center"/>
    </xf>
    <xf numFmtId="9" fontId="37" fillId="0" borderId="0" xfId="59" applyNumberFormat="1" applyFont="1" applyAlignment="1">
      <alignment horizontal="center"/>
    </xf>
    <xf numFmtId="0" fontId="0" fillId="0" borderId="25" xfId="59" applyBorder="1" applyProtection="1">
      <protection locked="0"/>
    </xf>
    <xf numFmtId="0" fontId="37" fillId="0" borderId="25" xfId="59" applyFont="1" applyBorder="1" applyAlignment="1">
      <alignment horizontal="right"/>
    </xf>
    <xf numFmtId="198" fontId="37" fillId="0" borderId="25" xfId="59" applyNumberFormat="1" applyFont="1" applyBorder="1" applyAlignment="1">
      <alignment horizontal="center"/>
    </xf>
    <xf numFmtId="9" fontId="0" fillId="0" borderId="25" xfId="59" applyNumberFormat="1" applyBorder="1" applyAlignment="1">
      <alignment horizontal="center"/>
    </xf>
    <xf numFmtId="0" fontId="37" fillId="0" borderId="0" xfId="59" applyFont="1" applyAlignment="1">
      <alignment horizontal="right"/>
    </xf>
    <xf numFmtId="198" fontId="62" fillId="0" borderId="0" xfId="59" applyNumberFormat="1" applyFont="1" applyAlignment="1">
      <alignment horizontal="center"/>
    </xf>
    <xf numFmtId="0" fontId="62" fillId="0" borderId="0" xfId="59" applyFont="1" applyAlignment="1">
      <alignment horizontal="left"/>
    </xf>
    <xf numFmtId="2" fontId="0" fillId="0" borderId="0" xfId="59" applyNumberFormat="1" applyAlignment="1">
      <alignment horizontal="center"/>
    </xf>
    <xf numFmtId="0" fontId="0" fillId="0" borderId="0" xfId="59" applyAlignment="1">
      <alignment horizontal="left"/>
    </xf>
    <xf numFmtId="0" fontId="20" fillId="0" borderId="0" xfId="59" applyFont="1"/>
    <xf numFmtId="0" fontId="20" fillId="34" borderId="0" xfId="59" applyFont="1" applyFill="1" applyAlignment="1" applyProtection="1">
      <alignment horizontal="center"/>
      <protection locked="0"/>
    </xf>
    <xf numFmtId="0" fontId="20" fillId="0" borderId="0" xfId="59" applyFont="1" applyAlignment="1">
      <alignment horizontal="center"/>
    </xf>
    <xf numFmtId="0" fontId="70" fillId="0" borderId="0" xfId="59" applyFont="1"/>
    <xf numFmtId="11" fontId="70" fillId="0" borderId="0" xfId="59" applyNumberFormat="1" applyFont="1"/>
    <xf numFmtId="0" fontId="0" fillId="5" borderId="1" xfId="0" applyFill="1" applyBorder="1">
      <alignment vertical="center"/>
    </xf>
    <xf numFmtId="188" fontId="0" fillId="5" borderId="1" xfId="0" applyNumberFormat="1" applyFill="1" applyBorder="1">
      <alignment vertical="center"/>
    </xf>
    <xf numFmtId="188" fontId="0" fillId="0" borderId="1" xfId="0" applyNumberFormat="1" applyBorder="1">
      <alignment vertical="center"/>
    </xf>
    <xf numFmtId="0" fontId="101" fillId="32" borderId="124" xfId="59" applyFont="1" applyFill="1" applyBorder="1" applyAlignment="1">
      <alignment horizontal="center"/>
    </xf>
    <xf numFmtId="0" fontId="101" fillId="32" borderId="125" xfId="59" applyFont="1" applyFill="1" applyBorder="1" applyAlignment="1">
      <alignment horizontal="center"/>
    </xf>
    <xf numFmtId="0" fontId="102" fillId="38" borderId="0" xfId="59" applyFont="1" applyFill="1" applyAlignment="1">
      <alignment horizontal="center" vertical="center"/>
    </xf>
    <xf numFmtId="0" fontId="62" fillId="39" borderId="124" xfId="59" applyFont="1" applyFill="1" applyBorder="1" applyAlignment="1">
      <alignment horizontal="left"/>
    </xf>
    <xf numFmtId="0" fontId="62" fillId="39" borderId="125" xfId="59" applyFont="1" applyFill="1" applyBorder="1" applyAlignment="1">
      <alignment horizontal="left"/>
    </xf>
    <xf numFmtId="0" fontId="62" fillId="39" borderId="68" xfId="59" applyFont="1" applyFill="1" applyBorder="1" applyAlignment="1">
      <alignment horizontal="left" vertical="center"/>
    </xf>
    <xf numFmtId="0" fontId="62" fillId="40" borderId="70" xfId="59" applyFont="1" applyFill="1" applyBorder="1" applyAlignment="1">
      <alignment horizontal="center"/>
    </xf>
    <xf numFmtId="0" fontId="62" fillId="32" borderId="70" xfId="59" applyFont="1" applyFill="1" applyBorder="1" applyAlignment="1">
      <alignment horizontal="center"/>
    </xf>
    <xf numFmtId="0" fontId="62" fillId="41" borderId="49" xfId="59" applyFont="1" applyFill="1" applyBorder="1" applyAlignment="1">
      <alignment horizontal="center"/>
    </xf>
    <xf numFmtId="0" fontId="62" fillId="41" borderId="51" xfId="59" applyFont="1" applyFill="1" applyBorder="1" applyAlignment="1">
      <alignment horizontal="center"/>
    </xf>
    <xf numFmtId="0" fontId="62" fillId="39" borderId="23" xfId="59" applyFont="1" applyFill="1" applyBorder="1" applyAlignment="1">
      <alignment horizontal="left" vertical="center"/>
    </xf>
    <xf numFmtId="0" fontId="62" fillId="40" borderId="1" xfId="59" applyFont="1" applyFill="1" applyBorder="1" applyAlignment="1">
      <alignment horizontal="center"/>
    </xf>
    <xf numFmtId="0" fontId="62" fillId="32" borderId="1" xfId="59" applyFont="1" applyFill="1" applyBorder="1" applyAlignment="1">
      <alignment horizontal="center"/>
    </xf>
    <xf numFmtId="0" fontId="62" fillId="41" borderId="14" xfId="59" applyFont="1" applyFill="1" applyBorder="1" applyAlignment="1">
      <alignment horizontal="center"/>
    </xf>
    <xf numFmtId="0" fontId="62" fillId="41" borderId="15" xfId="59" applyFont="1" applyFill="1" applyBorder="1" applyAlignment="1">
      <alignment horizontal="center"/>
    </xf>
    <xf numFmtId="0" fontId="62" fillId="39" borderId="23" xfId="59" applyFont="1" applyFill="1" applyBorder="1" applyAlignment="1">
      <alignment horizontal="left"/>
    </xf>
    <xf numFmtId="0" fontId="62" fillId="32" borderId="1" xfId="59" applyFont="1" applyFill="1" applyBorder="1" applyAlignment="1">
      <alignment horizontal="center" vertical="center"/>
    </xf>
    <xf numFmtId="0" fontId="62" fillId="41" borderId="14" xfId="59" applyFont="1" applyFill="1" applyBorder="1" applyAlignment="1">
      <alignment horizontal="center" vertical="center"/>
    </xf>
    <xf numFmtId="0" fontId="62" fillId="41" borderId="15" xfId="59" applyFont="1" applyFill="1" applyBorder="1" applyAlignment="1">
      <alignment horizontal="center" vertical="center"/>
    </xf>
    <xf numFmtId="0" fontId="62" fillId="39" borderId="103" xfId="59" applyFont="1" applyFill="1" applyBorder="1" applyAlignment="1">
      <alignment horizontal="left"/>
    </xf>
    <xf numFmtId="0" fontId="62" fillId="40" borderId="2" xfId="59" applyFont="1" applyFill="1" applyBorder="1" applyAlignment="1">
      <alignment horizontal="center"/>
    </xf>
    <xf numFmtId="0" fontId="62" fillId="32" borderId="2" xfId="59" applyFont="1" applyFill="1" applyBorder="1" applyAlignment="1">
      <alignment horizontal="center"/>
    </xf>
    <xf numFmtId="0" fontId="62" fillId="41" borderId="2" xfId="59" applyFont="1" applyFill="1" applyBorder="1"/>
    <xf numFmtId="0" fontId="62" fillId="42" borderId="47" xfId="59" applyFont="1" applyFill="1" applyBorder="1" applyAlignment="1">
      <alignment horizontal="left"/>
    </xf>
    <xf numFmtId="0" fontId="62" fillId="42" borderId="51" xfId="59" applyFont="1" applyFill="1" applyBorder="1" applyAlignment="1">
      <alignment horizontal="left"/>
    </xf>
    <xf numFmtId="0" fontId="62" fillId="33" borderId="23" xfId="59" applyFont="1" applyFill="1" applyBorder="1"/>
    <xf numFmtId="187" fontId="62" fillId="43" borderId="1" xfId="59" applyNumberFormat="1" applyFont="1" applyFill="1" applyBorder="1" applyAlignment="1">
      <alignment horizontal="center" vertical="center"/>
    </xf>
    <xf numFmtId="0" fontId="62" fillId="32" borderId="14" xfId="59" applyFont="1" applyFill="1" applyBorder="1" applyAlignment="1">
      <alignment horizontal="center" vertical="center"/>
    </xf>
    <xf numFmtId="0" fontId="62" fillId="33" borderId="130" xfId="59" applyFont="1" applyFill="1" applyBorder="1" applyAlignment="1">
      <alignment horizontal="center"/>
    </xf>
    <xf numFmtId="0" fontId="62" fillId="33" borderId="15" xfId="59" applyFont="1" applyFill="1" applyBorder="1" applyAlignment="1">
      <alignment horizontal="center"/>
    </xf>
    <xf numFmtId="0" fontId="62" fillId="33" borderId="23" xfId="59" applyFont="1" applyFill="1" applyBorder="1" applyAlignment="1">
      <alignment horizontal="center"/>
    </xf>
    <xf numFmtId="0" fontId="62" fillId="33" borderId="1" xfId="59" applyFont="1" applyFill="1" applyBorder="1" applyAlignment="1">
      <alignment horizontal="center"/>
    </xf>
    <xf numFmtId="0" fontId="62" fillId="33" borderId="131" xfId="59" applyFont="1" applyFill="1" applyBorder="1" applyAlignment="1">
      <alignment horizontal="center"/>
    </xf>
    <xf numFmtId="0" fontId="62" fillId="41" borderId="132" xfId="59" applyFont="1" applyFill="1" applyBorder="1" applyAlignment="1">
      <alignment horizontal="center"/>
    </xf>
    <xf numFmtId="0" fontId="62" fillId="32" borderId="131" xfId="59" applyFont="1" applyFill="1" applyBorder="1" applyAlignment="1">
      <alignment horizontal="center"/>
    </xf>
    <xf numFmtId="0" fontId="62" fillId="33" borderId="16" xfId="59" applyFont="1" applyFill="1" applyBorder="1"/>
    <xf numFmtId="0" fontId="62" fillId="40" borderId="1" xfId="59" applyFont="1" applyFill="1" applyBorder="1" applyAlignment="1">
      <alignment horizontal="center" vertical="center"/>
    </xf>
    <xf numFmtId="187" fontId="62" fillId="3" borderId="1" xfId="59" applyNumberFormat="1" applyFont="1" applyFill="1" applyBorder="1" applyAlignment="1">
      <alignment horizontal="center" vertical="center"/>
    </xf>
    <xf numFmtId="0" fontId="62" fillId="3" borderId="1" xfId="59" applyFont="1" applyFill="1" applyBorder="1" applyAlignment="1">
      <alignment horizontal="center" vertical="center"/>
    </xf>
    <xf numFmtId="0" fontId="62" fillId="43" borderId="1" xfId="59" applyFont="1" applyFill="1" applyBorder="1" applyAlignment="1">
      <alignment horizontal="center"/>
    </xf>
    <xf numFmtId="0" fontId="62" fillId="43" borderId="14" xfId="59" applyFont="1" applyFill="1" applyBorder="1" applyAlignment="1">
      <alignment horizontal="center"/>
    </xf>
    <xf numFmtId="0" fontId="62" fillId="42" borderId="46" xfId="59" applyFont="1" applyFill="1" applyBorder="1" applyAlignment="1">
      <alignment horizontal="left"/>
    </xf>
    <xf numFmtId="0" fontId="62" fillId="42" borderId="15" xfId="59" applyFont="1" applyFill="1" applyBorder="1" applyAlignment="1">
      <alignment horizontal="left"/>
    </xf>
    <xf numFmtId="0" fontId="62" fillId="4" borderId="23" xfId="59" applyFont="1" applyFill="1" applyBorder="1" applyAlignment="1">
      <alignment horizontal="left"/>
    </xf>
    <xf numFmtId="0" fontId="62" fillId="4" borderId="1" xfId="59" applyFont="1" applyFill="1" applyBorder="1" applyAlignment="1">
      <alignment horizontal="left"/>
    </xf>
    <xf numFmtId="0" fontId="62" fillId="33" borderId="23" xfId="59" applyFont="1" applyFill="1" applyBorder="1" applyAlignment="1">
      <alignment horizontal="left" vertical="center"/>
    </xf>
    <xf numFmtId="0" fontId="62" fillId="32" borderId="14" xfId="59" applyFont="1" applyFill="1" applyBorder="1" applyAlignment="1">
      <alignment horizontal="center"/>
    </xf>
    <xf numFmtId="0" fontId="62" fillId="33" borderId="133" xfId="59" applyFont="1" applyFill="1" applyBorder="1" applyAlignment="1">
      <alignment horizontal="center"/>
    </xf>
    <xf numFmtId="0" fontId="62" fillId="3" borderId="1" xfId="59" applyFont="1" applyFill="1" applyBorder="1" applyAlignment="1">
      <alignment horizontal="center"/>
    </xf>
    <xf numFmtId="0" fontId="62" fillId="41" borderId="130" xfId="59" applyFont="1" applyFill="1" applyBorder="1" applyAlignment="1">
      <alignment horizontal="center"/>
    </xf>
    <xf numFmtId="0" fontId="62" fillId="4" borderId="46" xfId="59" applyFont="1" applyFill="1" applyBorder="1" applyAlignment="1">
      <alignment horizontal="left"/>
    </xf>
    <xf numFmtId="0" fontId="62" fillId="4" borderId="15" xfId="59" applyFont="1" applyFill="1" applyBorder="1" applyAlignment="1">
      <alignment horizontal="left"/>
    </xf>
    <xf numFmtId="0" fontId="62" fillId="42" borderId="23" xfId="59" applyFont="1" applyFill="1" applyBorder="1" applyAlignment="1">
      <alignment horizontal="left"/>
    </xf>
    <xf numFmtId="0" fontId="62" fillId="42" borderId="1" xfId="59" applyFont="1" applyFill="1" applyBorder="1" applyAlignment="1">
      <alignment horizontal="left"/>
    </xf>
    <xf numFmtId="0" fontId="0" fillId="41" borderId="130" xfId="59" applyFill="1" applyBorder="1" applyAlignment="1">
      <alignment horizontal="center"/>
    </xf>
    <xf numFmtId="0" fontId="0" fillId="41" borderId="15" xfId="59" applyFill="1" applyBorder="1" applyAlignment="1">
      <alignment horizontal="center"/>
    </xf>
    <xf numFmtId="0" fontId="62" fillId="4" borderId="134" xfId="59" applyFont="1" applyFill="1" applyBorder="1" applyAlignment="1">
      <alignment horizontal="left"/>
    </xf>
    <xf numFmtId="0" fontId="62" fillId="4" borderId="135" xfId="59" applyFont="1" applyFill="1" applyBorder="1" applyAlignment="1">
      <alignment horizontal="left"/>
    </xf>
    <xf numFmtId="0" fontId="102" fillId="41" borderId="47" xfId="59" applyFont="1" applyFill="1" applyBorder="1" applyAlignment="1">
      <alignment horizontal="center"/>
    </xf>
    <xf numFmtId="0" fontId="102" fillId="41" borderId="51" xfId="59" applyFont="1" applyFill="1" applyBorder="1" applyAlignment="1">
      <alignment horizontal="center"/>
    </xf>
    <xf numFmtId="0" fontId="62" fillId="35" borderId="46" xfId="59" applyFont="1" applyFill="1" applyBorder="1" applyAlignment="1">
      <alignment horizontal="left"/>
    </xf>
    <xf numFmtId="0" fontId="62" fillId="35" borderId="15" xfId="59" applyFont="1" applyFill="1" applyBorder="1" applyAlignment="1">
      <alignment horizontal="left"/>
    </xf>
    <xf numFmtId="0" fontId="0" fillId="41" borderId="46" xfId="59" applyFill="1" applyBorder="1" applyAlignment="1">
      <alignment horizontal="center"/>
    </xf>
    <xf numFmtId="0" fontId="62" fillId="35" borderId="46" xfId="59" applyFont="1" applyFill="1" applyBorder="1" applyAlignment="1">
      <alignment horizontal="left" vertical="center"/>
    </xf>
    <xf numFmtId="0" fontId="62" fillId="35" borderId="15" xfId="59" applyFont="1" applyFill="1" applyBorder="1" applyAlignment="1">
      <alignment horizontal="left" vertical="center"/>
    </xf>
    <xf numFmtId="0" fontId="62" fillId="35" borderId="46" xfId="59" applyFont="1" applyFill="1" applyBorder="1" applyAlignment="1">
      <alignment horizontal="left" vertical="center" wrapText="1"/>
    </xf>
    <xf numFmtId="0" fontId="62" fillId="35" borderId="15" xfId="59" applyFont="1" applyFill="1" applyBorder="1" applyAlignment="1">
      <alignment horizontal="left" vertical="center" wrapText="1"/>
    </xf>
    <xf numFmtId="0" fontId="0" fillId="41" borderId="46" xfId="59" applyFill="1" applyBorder="1" applyAlignment="1">
      <alignment horizontal="left"/>
    </xf>
    <xf numFmtId="0" fontId="0" fillId="41" borderId="15" xfId="59" applyFill="1" applyBorder="1" applyAlignment="1">
      <alignment horizontal="left"/>
    </xf>
    <xf numFmtId="0" fontId="62" fillId="35" borderId="14" xfId="59" applyFont="1" applyFill="1" applyBorder="1" applyAlignment="1">
      <alignment horizontal="left" vertical="top"/>
    </xf>
    <xf numFmtId="0" fontId="0" fillId="35" borderId="15" xfId="59" applyFill="1" applyBorder="1" applyAlignment="1">
      <alignment horizontal="left" vertical="top"/>
    </xf>
    <xf numFmtId="0" fontId="103" fillId="41" borderId="50" xfId="59" applyFont="1" applyFill="1" applyBorder="1" applyAlignment="1">
      <alignment horizontal="left" vertical="top"/>
    </xf>
    <xf numFmtId="0" fontId="103" fillId="41" borderId="135" xfId="59" applyFont="1" applyFill="1" applyBorder="1" applyAlignment="1">
      <alignment horizontal="left" vertical="top"/>
    </xf>
    <xf numFmtId="0" fontId="101" fillId="32" borderId="123" xfId="59" applyFont="1" applyFill="1" applyBorder="1" applyAlignment="1">
      <alignment horizontal="center"/>
    </xf>
    <xf numFmtId="0" fontId="101" fillId="41" borderId="125" xfId="59" applyFont="1" applyFill="1" applyBorder="1" applyAlignment="1">
      <alignment horizontal="center"/>
    </xf>
    <xf numFmtId="0" fontId="101" fillId="41" borderId="123" xfId="59" applyFont="1" applyFill="1" applyBorder="1" applyAlignment="1">
      <alignment horizontal="center"/>
    </xf>
    <xf numFmtId="0" fontId="104" fillId="0" borderId="20" xfId="59" applyFont="1" applyBorder="1" applyAlignment="1">
      <alignment horizontal="center" vertical="center"/>
    </xf>
    <xf numFmtId="0" fontId="102" fillId="38" borderId="21" xfId="59" applyFont="1" applyFill="1" applyBorder="1" applyAlignment="1">
      <alignment horizontal="center" vertical="center"/>
    </xf>
    <xf numFmtId="0" fontId="62" fillId="32" borderId="20" xfId="59" applyFont="1" applyFill="1" applyBorder="1" applyAlignment="1">
      <alignment horizontal="center" vertical="center"/>
    </xf>
    <xf numFmtId="0" fontId="62" fillId="32" borderId="13" xfId="59" applyFont="1" applyFill="1" applyBorder="1" applyAlignment="1">
      <alignment horizontal="center" vertical="center"/>
    </xf>
    <xf numFmtId="0" fontId="62" fillId="32" borderId="11" xfId="59" applyFont="1" applyFill="1" applyBorder="1" applyAlignment="1">
      <alignment horizontal="center" vertical="center"/>
    </xf>
    <xf numFmtId="0" fontId="62" fillId="32" borderId="12" xfId="59" applyFont="1" applyFill="1" applyBorder="1" applyAlignment="1">
      <alignment horizontal="center" vertical="center"/>
    </xf>
    <xf numFmtId="0" fontId="62" fillId="39" borderId="123" xfId="59" applyFont="1" applyFill="1" applyBorder="1" applyAlignment="1">
      <alignment horizontal="left"/>
    </xf>
    <xf numFmtId="0" fontId="62" fillId="44" borderId="23" xfId="59" applyFont="1" applyFill="1" applyBorder="1" applyAlignment="1">
      <alignment horizontal="center" vertical="center"/>
    </xf>
    <xf numFmtId="0" fontId="62" fillId="44" borderId="16" xfId="59" applyFont="1" applyFill="1" applyBorder="1" applyAlignment="1">
      <alignment horizontal="center" vertical="center"/>
    </xf>
    <xf numFmtId="0" fontId="62" fillId="44" borderId="1" xfId="59" applyFont="1" applyFill="1" applyBorder="1" applyAlignment="1">
      <alignment horizontal="center" vertical="center"/>
    </xf>
    <xf numFmtId="0" fontId="62" fillId="44" borderId="102" xfId="59" applyFont="1" applyFill="1" applyBorder="1" applyAlignment="1">
      <alignment horizontal="center" vertical="center"/>
    </xf>
    <xf numFmtId="0" fontId="62" fillId="41" borderId="48" xfId="59" applyFont="1" applyFill="1" applyBorder="1" applyAlignment="1">
      <alignment horizontal="center"/>
    </xf>
    <xf numFmtId="0" fontId="62" fillId="43" borderId="23" xfId="59" applyFont="1" applyFill="1" applyBorder="1" applyAlignment="1">
      <alignment horizontal="center" vertical="center"/>
    </xf>
    <xf numFmtId="0" fontId="62" fillId="43" borderId="16" xfId="59" applyFont="1" applyFill="1" applyBorder="1" applyAlignment="1">
      <alignment horizontal="center" vertical="center"/>
    </xf>
    <xf numFmtId="0" fontId="62" fillId="40" borderId="102" xfId="59" applyFont="1" applyFill="1" applyBorder="1" applyAlignment="1">
      <alignment horizontal="center" vertical="center"/>
    </xf>
    <xf numFmtId="0" fontId="62" fillId="41" borderId="127" xfId="59" applyFont="1" applyFill="1" applyBorder="1" applyAlignment="1">
      <alignment horizontal="center"/>
    </xf>
    <xf numFmtId="0" fontId="62" fillId="41" borderId="127" xfId="59" applyFont="1" applyFill="1" applyBorder="1" applyAlignment="1">
      <alignment horizontal="center" vertical="center"/>
    </xf>
    <xf numFmtId="0" fontId="62" fillId="43" borderId="103" xfId="59" applyFont="1" applyFill="1" applyBorder="1" applyAlignment="1">
      <alignment horizontal="center" vertical="center"/>
    </xf>
    <xf numFmtId="0" fontId="62" fillId="43" borderId="8" xfId="59" applyFont="1" applyFill="1" applyBorder="1" applyAlignment="1">
      <alignment horizontal="center" vertical="center"/>
    </xf>
    <xf numFmtId="0" fontId="62" fillId="40" borderId="2" xfId="59" applyFont="1" applyFill="1" applyBorder="1" applyAlignment="1">
      <alignment horizontal="center" vertical="center"/>
    </xf>
    <xf numFmtId="0" fontId="62" fillId="40" borderId="106" xfId="59" applyFont="1" applyFill="1" applyBorder="1" applyAlignment="1">
      <alignment horizontal="center" vertical="center"/>
    </xf>
    <xf numFmtId="0" fontId="104" fillId="0" borderId="24" xfId="59" applyFont="1" applyBorder="1" applyAlignment="1">
      <alignment horizontal="center" vertical="center"/>
    </xf>
    <xf numFmtId="0" fontId="62" fillId="44" borderId="17" xfId="59" applyFont="1" applyFill="1" applyBorder="1" applyAlignment="1">
      <alignment horizontal="left" vertical="top"/>
    </xf>
    <xf numFmtId="0" fontId="62" fillId="44" borderId="18" xfId="59" applyFont="1" applyFill="1" applyBorder="1" applyAlignment="1">
      <alignment horizontal="left" vertical="top"/>
    </xf>
    <xf numFmtId="0" fontId="62" fillId="44" borderId="20" xfId="59" applyFont="1" applyFill="1" applyBorder="1" applyAlignment="1">
      <alignment horizontal="left" vertical="top"/>
    </xf>
    <xf numFmtId="0" fontId="62" fillId="44" borderId="0" xfId="59" applyFont="1" applyFill="1" applyAlignment="1">
      <alignment horizontal="left" vertical="top"/>
    </xf>
    <xf numFmtId="0" fontId="62" fillId="41" borderId="106" xfId="59" applyFont="1" applyFill="1" applyBorder="1"/>
    <xf numFmtId="0" fontId="62" fillId="42" borderId="48" xfId="59" applyFont="1" applyFill="1" applyBorder="1" applyAlignment="1">
      <alignment horizontal="left"/>
    </xf>
    <xf numFmtId="0" fontId="62" fillId="33" borderId="127" xfId="59" applyFont="1" applyFill="1" applyBorder="1" applyAlignment="1">
      <alignment horizontal="center"/>
    </xf>
    <xf numFmtId="0" fontId="62" fillId="41" borderId="136" xfId="59" applyFont="1" applyFill="1" applyBorder="1" applyAlignment="1">
      <alignment horizontal="center"/>
    </xf>
    <xf numFmtId="0" fontId="62" fillId="32" borderId="137" xfId="59" applyFont="1" applyFill="1" applyBorder="1" applyAlignment="1">
      <alignment horizontal="center"/>
    </xf>
    <xf numFmtId="0" fontId="62" fillId="45" borderId="102" xfId="59" applyFont="1" applyFill="1" applyBorder="1" applyAlignment="1">
      <alignment horizontal="center"/>
    </xf>
    <xf numFmtId="0" fontId="62" fillId="42" borderId="127" xfId="59" applyFont="1" applyFill="1" applyBorder="1" applyAlignment="1">
      <alignment horizontal="left"/>
    </xf>
    <xf numFmtId="0" fontId="62" fillId="4" borderId="102" xfId="59" applyFont="1" applyFill="1" applyBorder="1" applyAlignment="1">
      <alignment horizontal="left"/>
    </xf>
    <xf numFmtId="0" fontId="62" fillId="44" borderId="122" xfId="59" applyFont="1" applyFill="1" applyBorder="1" applyAlignment="1">
      <alignment horizontal="center" vertical="top"/>
    </xf>
    <xf numFmtId="0" fontId="62" fillId="43" borderId="122" xfId="59" applyFont="1" applyFill="1" applyBorder="1" applyAlignment="1">
      <alignment horizontal="center" vertical="top"/>
    </xf>
    <xf numFmtId="0" fontId="62" fillId="41" borderId="16" xfId="59" applyFont="1" applyFill="1" applyBorder="1" applyAlignment="1">
      <alignment horizontal="center"/>
    </xf>
    <xf numFmtId="0" fontId="62" fillId="41" borderId="102" xfId="59" applyFont="1" applyFill="1" applyBorder="1" applyAlignment="1">
      <alignment horizontal="center"/>
    </xf>
    <xf numFmtId="0" fontId="62" fillId="4" borderId="127" xfId="59" applyFont="1" applyFill="1" applyBorder="1" applyAlignment="1">
      <alignment horizontal="left"/>
    </xf>
    <xf numFmtId="0" fontId="62" fillId="42" borderId="102" xfId="59" applyFont="1" applyFill="1" applyBorder="1" applyAlignment="1">
      <alignment horizontal="left"/>
    </xf>
    <xf numFmtId="0" fontId="0" fillId="41" borderId="127" xfId="59" applyFill="1" applyBorder="1" applyAlignment="1">
      <alignment horizontal="center"/>
    </xf>
    <xf numFmtId="0" fontId="62" fillId="4" borderId="76" xfId="59" applyFont="1" applyFill="1" applyBorder="1" applyAlignment="1">
      <alignment horizontal="left"/>
    </xf>
    <xf numFmtId="0" fontId="62" fillId="44" borderId="24" xfId="59" applyFont="1" applyFill="1" applyBorder="1" applyAlignment="1">
      <alignment horizontal="left" vertical="top"/>
    </xf>
    <xf numFmtId="0" fontId="62" fillId="44" borderId="25" xfId="59" applyFont="1" applyFill="1" applyBorder="1" applyAlignment="1">
      <alignment horizontal="left" vertical="top"/>
    </xf>
    <xf numFmtId="0" fontId="102" fillId="41" borderId="48" xfId="59" applyFont="1" applyFill="1" applyBorder="1" applyAlignment="1">
      <alignment horizontal="center"/>
    </xf>
    <xf numFmtId="0" fontId="62" fillId="35" borderId="127" xfId="59" applyFont="1" applyFill="1" applyBorder="1" applyAlignment="1">
      <alignment horizontal="left"/>
    </xf>
    <xf numFmtId="0" fontId="62" fillId="35" borderId="127" xfId="59" applyFont="1" applyFill="1" applyBorder="1" applyAlignment="1">
      <alignment horizontal="left" vertical="center"/>
    </xf>
    <xf numFmtId="0" fontId="62" fillId="35" borderId="127" xfId="59" applyFont="1" applyFill="1" applyBorder="1" applyAlignment="1">
      <alignment horizontal="left" vertical="center" wrapText="1"/>
    </xf>
    <xf numFmtId="0" fontId="0" fillId="41" borderId="127" xfId="59" applyFill="1" applyBorder="1" applyAlignment="1">
      <alignment horizontal="left"/>
    </xf>
    <xf numFmtId="0" fontId="0" fillId="35" borderId="127" xfId="59" applyFill="1" applyBorder="1" applyAlignment="1">
      <alignment horizontal="left" vertical="top"/>
    </xf>
    <xf numFmtId="0" fontId="103" fillId="41" borderId="76" xfId="59" applyFont="1" applyFill="1" applyBorder="1" applyAlignment="1">
      <alignment horizontal="left" vertical="top"/>
    </xf>
    <xf numFmtId="0" fontId="104" fillId="0" borderId="0" xfId="59" applyFont="1" applyAlignment="1">
      <alignment horizontal="center" vertical="center"/>
    </xf>
    <xf numFmtId="0" fontId="104" fillId="0" borderId="25" xfId="59" applyFont="1" applyBorder="1" applyAlignment="1">
      <alignment horizontal="center" vertical="center"/>
    </xf>
    <xf numFmtId="0" fontId="62" fillId="44" borderId="19" xfId="59" applyFont="1" applyFill="1" applyBorder="1" applyAlignment="1">
      <alignment horizontal="left" vertical="top"/>
    </xf>
    <xf numFmtId="0" fontId="62" fillId="44" borderId="21" xfId="59" applyFont="1" applyFill="1" applyBorder="1" applyAlignment="1">
      <alignment horizontal="left" vertical="top"/>
    </xf>
    <xf numFmtId="0" fontId="62" fillId="44" borderId="26" xfId="59" applyFont="1" applyFill="1" applyBorder="1" applyAlignment="1">
      <alignment horizontal="left" vertical="top"/>
    </xf>
    <xf numFmtId="0" fontId="3" fillId="0" borderId="0" xfId="56" applyFill="1"/>
    <xf numFmtId="0" fontId="105" fillId="46" borderId="0" xfId="56" applyFont="1" applyFill="1" applyAlignment="1">
      <alignment horizontal="center"/>
    </xf>
    <xf numFmtId="0" fontId="45" fillId="6" borderId="0" xfId="56" applyFont="1" applyFill="1"/>
    <xf numFmtId="0" fontId="3" fillId="0" borderId="0" xfId="56" applyAlignment="1">
      <alignment horizontal="left"/>
    </xf>
    <xf numFmtId="0" fontId="3" fillId="46" borderId="0" xfId="56" applyFill="1"/>
    <xf numFmtId="0" fontId="3" fillId="6" borderId="0" xfId="56" applyFill="1" applyAlignment="1">
      <alignment horizontal="center"/>
    </xf>
    <xf numFmtId="0" fontId="3" fillId="7" borderId="0" xfId="56" applyFill="1" applyAlignment="1">
      <alignment horizontal="center"/>
    </xf>
    <xf numFmtId="0" fontId="3" fillId="36" borderId="0" xfId="56" applyFill="1" applyAlignment="1">
      <alignment horizontal="center"/>
    </xf>
    <xf numFmtId="0" fontId="43" fillId="8" borderId="0" xfId="56" applyFont="1" applyFill="1" applyAlignment="1">
      <alignment horizontal="center"/>
    </xf>
    <xf numFmtId="0" fontId="3" fillId="47" borderId="0" xfId="56" applyFill="1" applyAlignment="1">
      <alignment horizontal="center"/>
    </xf>
    <xf numFmtId="0" fontId="3" fillId="16" borderId="0" xfId="56" applyFill="1" applyAlignment="1">
      <alignment horizontal="center"/>
    </xf>
    <xf numFmtId="0" fontId="3" fillId="48" borderId="0" xfId="56" applyFill="1" applyAlignment="1">
      <alignment horizontal="center"/>
    </xf>
    <xf numFmtId="0" fontId="3" fillId="46" borderId="0" xfId="56" applyFill="1" applyAlignment="1">
      <alignment horizontal="center"/>
    </xf>
    <xf numFmtId="0" fontId="3" fillId="37" borderId="0" xfId="56" applyFont="1" applyFill="1" applyAlignment="1">
      <alignment horizontal="center"/>
    </xf>
    <xf numFmtId="0" fontId="3" fillId="9" borderId="0" xfId="56" applyFill="1" applyAlignment="1">
      <alignment horizontal="center"/>
    </xf>
    <xf numFmtId="0" fontId="3" fillId="26" borderId="0" xfId="56" applyFill="1" applyAlignment="1">
      <alignment horizontal="center"/>
    </xf>
    <xf numFmtId="0" fontId="45" fillId="48" borderId="0" xfId="56" applyFont="1" applyFill="1"/>
    <xf numFmtId="0" fontId="43" fillId="11" borderId="0" xfId="56" applyFont="1" applyFill="1" applyAlignment="1">
      <alignment horizontal="right"/>
    </xf>
    <xf numFmtId="0" fontId="43" fillId="11" borderId="0" xfId="56" applyFont="1" applyFill="1" applyAlignment="1">
      <alignment horizontal="left"/>
    </xf>
    <xf numFmtId="0" fontId="43" fillId="0" borderId="0" xfId="56" applyFont="1" applyFill="1"/>
    <xf numFmtId="0" fontId="43" fillId="0" borderId="0" xfId="56" applyFont="1" applyFill="1" applyAlignment="1">
      <alignment horizontal="left"/>
    </xf>
    <xf numFmtId="0" fontId="3" fillId="0" borderId="0" xfId="56" applyFill="1" applyAlignment="1">
      <alignment horizontal="left"/>
    </xf>
    <xf numFmtId="0" fontId="3" fillId="22" borderId="0" xfId="56" applyFill="1" applyAlignment="1">
      <alignment horizontal="center"/>
    </xf>
    <xf numFmtId="0" fontId="3" fillId="49" borderId="0" xfId="56" applyFill="1" applyAlignment="1">
      <alignment horizontal="center"/>
    </xf>
    <xf numFmtId="0" fontId="3" fillId="37" borderId="0" xfId="56" applyFill="1" applyAlignment="1">
      <alignment horizontal="center"/>
    </xf>
    <xf numFmtId="0" fontId="45" fillId="9" borderId="0" xfId="56" applyFont="1" applyFill="1"/>
    <xf numFmtId="0" fontId="3" fillId="36" borderId="0" xfId="56" applyFill="1"/>
    <xf numFmtId="0" fontId="0" fillId="0" borderId="6" xfId="59" applyBorder="1"/>
    <xf numFmtId="11" fontId="0" fillId="0" borderId="7" xfId="59" applyNumberFormat="1" applyBorder="1" applyAlignment="1">
      <alignment horizontal="center"/>
    </xf>
    <xf numFmtId="0" fontId="62" fillId="0" borderId="6" xfId="59" applyFont="1" applyBorder="1" applyAlignment="1">
      <alignment horizontal="center"/>
    </xf>
    <xf numFmtId="0" fontId="62" fillId="0" borderId="7" xfId="59" applyFont="1" applyBorder="1" applyAlignment="1">
      <alignment horizontal="center"/>
    </xf>
    <xf numFmtId="0" fontId="62" fillId="0" borderId="8" xfId="59" applyFont="1" applyBorder="1" applyAlignment="1">
      <alignment horizontal="center"/>
    </xf>
    <xf numFmtId="11" fontId="0" fillId="0" borderId="6" xfId="59" applyNumberFormat="1" applyBorder="1" applyAlignment="1">
      <alignment horizontal="center"/>
    </xf>
    <xf numFmtId="0" fontId="0" fillId="0" borderId="11" xfId="59" applyBorder="1" applyAlignment="1">
      <alignment horizontal="center"/>
    </xf>
    <xf numFmtId="0" fontId="0" fillId="0" borderId="12" xfId="59" applyBorder="1" applyAlignment="1">
      <alignment horizontal="center"/>
    </xf>
    <xf numFmtId="0" fontId="0" fillId="0" borderId="13" xfId="59" applyBorder="1" applyAlignment="1">
      <alignment horizontal="center"/>
    </xf>
    <xf numFmtId="0" fontId="0" fillId="0" borderId="9" xfId="59" applyBorder="1"/>
    <xf numFmtId="0" fontId="0" fillId="0" borderId="6" xfId="59" applyBorder="1" applyAlignment="1">
      <alignment horizontal="center"/>
    </xf>
    <xf numFmtId="0" fontId="0" fillId="0" borderId="7" xfId="59" applyBorder="1" applyAlignment="1">
      <alignment horizontal="center"/>
    </xf>
    <xf numFmtId="0" fontId="0" fillId="0" borderId="8" xfId="59" applyBorder="1" applyAlignment="1">
      <alignment horizontal="center"/>
    </xf>
    <xf numFmtId="0" fontId="0" fillId="34" borderId="11" xfId="59" applyFill="1" applyBorder="1" applyAlignment="1" applyProtection="1">
      <alignment horizontal="center"/>
      <protection locked="0"/>
    </xf>
    <xf numFmtId="0" fontId="0" fillId="0" borderId="12" xfId="59" applyBorder="1"/>
    <xf numFmtId="198" fontId="0" fillId="0" borderId="11" xfId="59" applyNumberFormat="1" applyBorder="1" applyAlignment="1">
      <alignment horizontal="center"/>
    </xf>
    <xf numFmtId="0" fontId="102" fillId="3" borderId="0" xfId="59" applyFont="1" applyFill="1" applyAlignment="1">
      <alignment horizontal="center" vertical="center"/>
    </xf>
    <xf numFmtId="0" fontId="0" fillId="0" borderId="0" xfId="59" applyAlignment="1">
      <alignment horizontal="center" vertical="center"/>
    </xf>
    <xf numFmtId="0" fontId="0" fillId="32" borderId="0" xfId="59" applyFill="1" applyAlignment="1">
      <alignment horizontal="center" vertical="center"/>
    </xf>
    <xf numFmtId="0" fontId="0" fillId="25" borderId="0" xfId="59" applyFill="1" applyAlignment="1">
      <alignment horizontal="center" vertical="center"/>
    </xf>
    <xf numFmtId="0" fontId="0" fillId="50" borderId="0" xfId="59" applyFill="1" applyAlignment="1">
      <alignment horizontal="center" vertical="center"/>
    </xf>
    <xf numFmtId="0" fontId="0" fillId="34" borderId="0" xfId="59" applyFill="1" applyAlignment="1">
      <alignment horizontal="center" vertical="center"/>
    </xf>
    <xf numFmtId="189" fontId="0" fillId="50" borderId="0" xfId="59" applyNumberFormat="1" applyFill="1" applyAlignment="1">
      <alignment horizontal="center" vertical="center"/>
    </xf>
    <xf numFmtId="198" fontId="0" fillId="50" borderId="0" xfId="59" applyNumberFormat="1" applyFill="1" applyAlignment="1">
      <alignment horizontal="center" vertical="center"/>
    </xf>
    <xf numFmtId="0" fontId="102" fillId="51" borderId="0" xfId="59" applyFont="1" applyFill="1" applyAlignment="1">
      <alignment horizontal="center" vertical="center"/>
    </xf>
    <xf numFmtId="193" fontId="0" fillId="50" borderId="0" xfId="59" applyNumberFormat="1" applyFill="1" applyAlignment="1">
      <alignment horizontal="center" vertical="center"/>
    </xf>
    <xf numFmtId="0" fontId="0" fillId="52" borderId="0" xfId="59" applyFill="1" applyAlignment="1">
      <alignment horizontal="center" vertical="center"/>
    </xf>
    <xf numFmtId="0" fontId="102" fillId="15" borderId="0" xfId="59" applyFont="1" applyFill="1" applyAlignment="1">
      <alignment horizontal="center" vertical="center"/>
    </xf>
    <xf numFmtId="0" fontId="106" fillId="0" borderId="0" xfId="59" applyFont="1"/>
    <xf numFmtId="0" fontId="107" fillId="0" borderId="0" xfId="14" applyFont="1"/>
    <xf numFmtId="0" fontId="107" fillId="24" borderId="0" xfId="14" applyFont="1" applyFill="1"/>
    <xf numFmtId="0" fontId="107" fillId="53" borderId="17" xfId="14" applyFont="1" applyFill="1" applyBorder="1"/>
    <xf numFmtId="0" fontId="107" fillId="53" borderId="18" xfId="14" applyFont="1" applyFill="1" applyBorder="1"/>
    <xf numFmtId="0" fontId="107" fillId="53" borderId="20" xfId="14" applyFont="1" applyFill="1" applyBorder="1"/>
    <xf numFmtId="0" fontId="108" fillId="53" borderId="0" xfId="14" applyFont="1" applyFill="1" applyBorder="1" applyAlignment="1">
      <alignment horizontal="left"/>
    </xf>
    <xf numFmtId="0" fontId="108" fillId="53" borderId="20" xfId="14" applyFont="1" applyFill="1" applyBorder="1" applyAlignment="1"/>
    <xf numFmtId="0" fontId="107" fillId="53" borderId="0" xfId="14" applyFont="1" applyFill="1" applyBorder="1"/>
    <xf numFmtId="0" fontId="107" fillId="53" borderId="25" xfId="14" applyFont="1" applyFill="1" applyBorder="1"/>
    <xf numFmtId="0" fontId="107" fillId="53" borderId="0" xfId="14" applyFont="1" applyFill="1" applyBorder="1" applyAlignment="1">
      <alignment horizontal="left" wrapText="1"/>
    </xf>
    <xf numFmtId="0" fontId="107" fillId="53" borderId="0" xfId="14" applyFont="1" applyFill="1" applyBorder="1" applyAlignment="1">
      <alignment horizontal="center" wrapText="1"/>
    </xf>
    <xf numFmtId="0" fontId="109" fillId="53" borderId="0" xfId="14" applyFont="1" applyFill="1" applyBorder="1"/>
    <xf numFmtId="0" fontId="107" fillId="24" borderId="1" xfId="14" applyFont="1" applyFill="1" applyBorder="1" applyAlignment="1" applyProtection="1">
      <alignment horizontal="center"/>
      <protection locked="0"/>
    </xf>
    <xf numFmtId="0" fontId="110" fillId="0" borderId="1" xfId="14" applyFont="1" applyBorder="1" applyAlignment="1" applyProtection="1">
      <alignment horizontal="center"/>
    </xf>
    <xf numFmtId="0" fontId="110" fillId="0" borderId="1" xfId="14" applyFont="1" applyBorder="1" applyAlignment="1">
      <alignment horizontal="center"/>
    </xf>
    <xf numFmtId="0" fontId="110" fillId="53" borderId="0" xfId="14" applyFont="1" applyFill="1" applyBorder="1" applyAlignment="1">
      <alignment horizontal="center"/>
    </xf>
    <xf numFmtId="0" fontId="111" fillId="53" borderId="0" xfId="14" applyFont="1" applyFill="1" applyBorder="1" applyAlignment="1">
      <alignment horizontal="left"/>
    </xf>
    <xf numFmtId="0" fontId="112" fillId="24" borderId="1" xfId="14" applyFont="1" applyFill="1" applyBorder="1" applyAlignment="1" applyProtection="1">
      <alignment horizontal="center"/>
      <protection locked="0"/>
    </xf>
    <xf numFmtId="0" fontId="107" fillId="53" borderId="0" xfId="14" applyFont="1" applyFill="1"/>
    <xf numFmtId="2" fontId="110" fillId="24" borderId="1" xfId="14" applyNumberFormat="1" applyFont="1" applyFill="1" applyBorder="1" applyAlignment="1">
      <alignment horizontal="center"/>
    </xf>
    <xf numFmtId="194" fontId="110" fillId="24" borderId="1" xfId="14" applyNumberFormat="1" applyFont="1" applyFill="1" applyBorder="1" applyAlignment="1">
      <alignment horizontal="center"/>
    </xf>
    <xf numFmtId="0" fontId="113" fillId="53" borderId="0" xfId="14" applyFont="1" applyFill="1" applyBorder="1"/>
    <xf numFmtId="0" fontId="109" fillId="53" borderId="25" xfId="14" applyFont="1" applyFill="1" applyBorder="1"/>
    <xf numFmtId="0" fontId="107" fillId="53" borderId="0" xfId="14" applyFont="1" applyFill="1" applyBorder="1" applyAlignment="1">
      <alignment horizontal="left" vertical="top" wrapText="1"/>
    </xf>
    <xf numFmtId="2" fontId="107" fillId="0" borderId="1" xfId="14" applyNumberFormat="1" applyFont="1" applyBorder="1" applyAlignment="1" applyProtection="1">
      <alignment horizontal="center"/>
      <protection locked="0"/>
    </xf>
    <xf numFmtId="194" fontId="107" fillId="0" borderId="1" xfId="14" applyNumberFormat="1" applyFont="1" applyBorder="1" applyAlignment="1" applyProtection="1">
      <alignment horizontal="center"/>
      <protection locked="0"/>
    </xf>
    <xf numFmtId="194" fontId="110" fillId="0" borderId="1" xfId="14" applyNumberFormat="1" applyFont="1" applyBorder="1" applyAlignment="1">
      <alignment horizontal="center"/>
    </xf>
    <xf numFmtId="180" fontId="110" fillId="24" borderId="1" xfId="14" applyNumberFormat="1" applyFont="1" applyFill="1" applyBorder="1" applyAlignment="1">
      <alignment horizontal="center"/>
    </xf>
    <xf numFmtId="180" fontId="110" fillId="53" borderId="0" xfId="14" applyNumberFormat="1" applyFont="1" applyFill="1" applyBorder="1" applyAlignment="1">
      <alignment horizontal="center"/>
    </xf>
    <xf numFmtId="0" fontId="107" fillId="53" borderId="24" xfId="14" applyFont="1" applyFill="1" applyBorder="1"/>
    <xf numFmtId="0" fontId="107" fillId="0" borderId="0" xfId="14" applyFont="1" applyFill="1"/>
    <xf numFmtId="0" fontId="107" fillId="0" borderId="0" xfId="14" applyFont="1" applyFill="1" applyBorder="1"/>
    <xf numFmtId="0" fontId="107" fillId="53" borderId="0" xfId="14" applyFont="1" applyFill="1" applyBorder="1" applyAlignment="1">
      <alignment wrapText="1"/>
    </xf>
    <xf numFmtId="0" fontId="107" fillId="53" borderId="0" xfId="14" applyFont="1" applyFill="1" applyAlignment="1"/>
    <xf numFmtId="0" fontId="114" fillId="53" borderId="0" xfId="14" applyFont="1" applyFill="1" applyBorder="1"/>
    <xf numFmtId="0" fontId="107" fillId="53" borderId="19" xfId="14" applyFont="1" applyFill="1" applyBorder="1"/>
    <xf numFmtId="48" fontId="107" fillId="0" borderId="0" xfId="14" applyNumberFormat="1" applyFont="1" applyFill="1" applyBorder="1"/>
    <xf numFmtId="0" fontId="108" fillId="53" borderId="0" xfId="14" applyFont="1" applyFill="1" applyBorder="1" applyAlignment="1"/>
    <xf numFmtId="0" fontId="107" fillId="53" borderId="21" xfId="14" applyFont="1" applyFill="1" applyBorder="1"/>
    <xf numFmtId="0" fontId="107" fillId="53" borderId="0" xfId="14" applyFont="1" applyFill="1" applyBorder="1" applyAlignment="1">
      <alignment horizontal="center"/>
    </xf>
    <xf numFmtId="0" fontId="109" fillId="53" borderId="0" xfId="14" applyFont="1" applyFill="1" applyBorder="1" applyAlignment="1">
      <alignment horizontal="left"/>
    </xf>
    <xf numFmtId="0" fontId="107" fillId="24" borderId="1" xfId="14" applyNumberFormat="1" applyFont="1" applyFill="1" applyBorder="1" applyAlignment="1" applyProtection="1">
      <alignment horizontal="center"/>
      <protection locked="0"/>
    </xf>
    <xf numFmtId="0" fontId="107" fillId="53" borderId="0" xfId="14" applyFont="1" applyFill="1" applyBorder="1" applyAlignment="1" applyProtection="1">
      <alignment horizontal="center"/>
    </xf>
    <xf numFmtId="0" fontId="107" fillId="53" borderId="26" xfId="14" applyFont="1" applyFill="1" applyBorder="1" applyAlignment="1">
      <alignment horizontal="center"/>
    </xf>
    <xf numFmtId="0" fontId="107" fillId="24" borderId="0" xfId="14" applyFont="1" applyFill="1" applyAlignment="1">
      <alignment horizontal="center"/>
    </xf>
    <xf numFmtId="0" fontId="107" fillId="0" borderId="0" xfId="14" applyFont="1" applyFill="1" applyAlignment="1">
      <alignment horizontal="center"/>
    </xf>
    <xf numFmtId="0" fontId="107" fillId="0" borderId="0" xfId="14" applyFont="1" applyFill="1" applyBorder="1" applyAlignment="1">
      <alignment horizontal="center"/>
    </xf>
    <xf numFmtId="0" fontId="0" fillId="34" borderId="1" xfId="0" applyFill="1" applyBorder="1">
      <alignment vertical="center"/>
    </xf>
    <xf numFmtId="0" fontId="0" fillId="0" borderId="0" xfId="0" applyAlignment="1">
      <alignment horizontal="right" vertical="center"/>
    </xf>
    <xf numFmtId="10" fontId="0" fillId="0" borderId="0" xfId="0" applyNumberFormat="1">
      <alignment vertical="center"/>
    </xf>
    <xf numFmtId="0" fontId="62" fillId="0" borderId="1" xfId="0" applyFont="1" applyBorder="1" applyAlignment="1">
      <alignment horizontal="center" vertical="center"/>
    </xf>
    <xf numFmtId="0" fontId="62" fillId="13" borderId="1" xfId="0" applyFont="1" applyFill="1" applyBorder="1" applyAlignment="1">
      <alignment horizontal="center" vertical="center"/>
    </xf>
    <xf numFmtId="0" fontId="0" fillId="0" borderId="0" xfId="0" applyNumberFormat="1">
      <alignment vertical="center"/>
    </xf>
    <xf numFmtId="0" fontId="62" fillId="31" borderId="1" xfId="0" applyFont="1" applyFill="1" applyBorder="1" applyAlignment="1">
      <alignment horizontal="center" vertical="center"/>
    </xf>
    <xf numFmtId="191" fontId="62" fillId="31" borderId="1" xfId="0" applyNumberFormat="1" applyFont="1" applyFill="1" applyBorder="1" applyAlignment="1">
      <alignment horizontal="center" vertical="center"/>
    </xf>
    <xf numFmtId="0" fontId="62" fillId="0" borderId="1" xfId="0" applyFont="1" applyFill="1" applyBorder="1" applyAlignment="1">
      <alignment horizontal="center" vertical="center"/>
    </xf>
    <xf numFmtId="191" fontId="75" fillId="31" borderId="1" xfId="0" applyNumberFormat="1" applyFont="1" applyFill="1" applyBorder="1" applyAlignment="1">
      <alignment horizontal="center" vertical="center"/>
    </xf>
    <xf numFmtId="0" fontId="0" fillId="0" borderId="17" xfId="0" applyBorder="1" applyAlignment="1">
      <alignment horizontal="center" vertical="center"/>
    </xf>
    <xf numFmtId="0" fontId="0" fillId="34" borderId="70" xfId="0" applyFill="1" applyBorder="1" applyAlignment="1">
      <alignment horizontal="center" vertical="center"/>
    </xf>
    <xf numFmtId="0" fontId="0" fillId="34" borderId="69" xfId="0" applyFill="1" applyBorder="1" applyAlignment="1">
      <alignment horizontal="center" vertical="center"/>
    </xf>
    <xf numFmtId="0" fontId="0" fillId="0" borderId="20" xfId="0" applyBorder="1" applyAlignment="1">
      <alignment horizontal="center" vertical="center"/>
    </xf>
    <xf numFmtId="0" fontId="0" fillId="34" borderId="1" xfId="0" applyFill="1" applyBorder="1" applyAlignment="1">
      <alignment horizontal="center" vertical="center"/>
    </xf>
    <xf numFmtId="0" fontId="0" fillId="34" borderId="102" xfId="0" applyFill="1" applyBorder="1" applyAlignment="1">
      <alignment horizontal="center" vertical="center"/>
    </xf>
    <xf numFmtId="0" fontId="0" fillId="0" borderId="0" xfId="0" applyBorder="1" applyAlignment="1">
      <alignment horizontal="center" vertical="center"/>
    </xf>
    <xf numFmtId="0" fontId="0" fillId="0" borderId="21" xfId="0" applyBorder="1" applyAlignment="1">
      <alignment horizontal="center" vertical="center"/>
    </xf>
    <xf numFmtId="0" fontId="0" fillId="0" borderId="102" xfId="0" applyBorder="1" applyAlignment="1">
      <alignment horizontal="center" vertical="center"/>
    </xf>
    <xf numFmtId="0" fontId="0" fillId="34" borderId="23" xfId="0" applyFill="1" applyBorder="1" applyAlignment="1">
      <alignment horizontal="center" vertical="center"/>
    </xf>
    <xf numFmtId="188" fontId="0" fillId="34" borderId="1" xfId="0" applyNumberFormat="1" applyFill="1" applyBorder="1" applyAlignment="1">
      <alignment horizontal="center" vertical="center"/>
    </xf>
    <xf numFmtId="207" fontId="0" fillId="34" borderId="102" xfId="0" applyNumberFormat="1" applyFill="1" applyBorder="1" applyAlignment="1">
      <alignment horizontal="center" vertical="center"/>
    </xf>
    <xf numFmtId="0" fontId="0" fillId="34" borderId="43" xfId="0" applyFill="1" applyBorder="1" applyAlignment="1">
      <alignment horizontal="center" vertical="center"/>
    </xf>
    <xf numFmtId="188" fontId="0" fillId="34" borderId="71" xfId="0" applyNumberFormat="1" applyFill="1" applyBorder="1" applyAlignment="1">
      <alignment horizontal="center" vertical="center"/>
    </xf>
    <xf numFmtId="207" fontId="0" fillId="34" borderId="44" xfId="0" applyNumberFormat="1" applyFill="1" applyBorder="1" applyAlignment="1">
      <alignment horizontal="center" vertical="center"/>
    </xf>
    <xf numFmtId="189" fontId="0" fillId="0" borderId="0" xfId="0" applyNumberFormat="1" applyFill="1">
      <alignment vertical="center"/>
    </xf>
    <xf numFmtId="189" fontId="0" fillId="0" borderId="0" xfId="0" applyNumberFormat="1">
      <alignment vertical="center"/>
    </xf>
    <xf numFmtId="0" fontId="69" fillId="0" borderId="0" xfId="0" applyFont="1">
      <alignment vertical="center"/>
    </xf>
    <xf numFmtId="0" fontId="115" fillId="43" borderId="1" xfId="38" applyBorder="1">
      <alignment vertical="center"/>
    </xf>
    <xf numFmtId="0" fontId="115" fillId="43" borderId="1" xfId="38" applyBorder="1" applyAlignment="1">
      <alignment horizontal="center" vertical="center"/>
    </xf>
    <xf numFmtId="0" fontId="116" fillId="34" borderId="1" xfId="0" applyFont="1" applyFill="1" applyBorder="1" applyAlignment="1">
      <alignment horizontal="center" vertical="center"/>
    </xf>
    <xf numFmtId="0" fontId="117" fillId="34" borderId="1" xfId="0" applyFont="1" applyFill="1" applyBorder="1">
      <alignment vertical="center"/>
    </xf>
    <xf numFmtId="0" fontId="0" fillId="54" borderId="1" xfId="0" applyFill="1" applyBorder="1">
      <alignment vertical="center"/>
    </xf>
    <xf numFmtId="0" fontId="0" fillId="54" borderId="1" xfId="0" applyFill="1" applyBorder="1" applyAlignment="1">
      <alignment horizontal="center" vertical="center"/>
    </xf>
    <xf numFmtId="208" fontId="0" fillId="34" borderId="1" xfId="0" applyNumberFormat="1" applyFill="1" applyBorder="1" applyAlignment="1">
      <alignment horizontal="center" vertical="center"/>
    </xf>
    <xf numFmtId="20" fontId="0" fillId="0" borderId="0" xfId="0" applyNumberFormat="1">
      <alignment vertical="center"/>
    </xf>
    <xf numFmtId="0" fontId="62" fillId="33" borderId="0" xfId="0" applyFont="1" applyFill="1" applyAlignment="1">
      <alignment horizontal="center" vertical="center"/>
    </xf>
    <xf numFmtId="0" fontId="62" fillId="33" borderId="0" xfId="0" applyFont="1" applyFill="1">
      <alignment vertical="center"/>
    </xf>
    <xf numFmtId="0" fontId="75" fillId="33" borderId="0" xfId="0" applyFont="1" applyFill="1">
      <alignment vertical="center"/>
    </xf>
    <xf numFmtId="0" fontId="118" fillId="33" borderId="0" xfId="0" applyFont="1" applyFill="1">
      <alignment vertical="center"/>
    </xf>
    <xf numFmtId="0" fontId="70" fillId="0" borderId="0" xfId="0" applyFont="1">
      <alignment vertical="center"/>
    </xf>
    <xf numFmtId="0" fontId="119" fillId="0" borderId="0" xfId="0" applyFont="1">
      <alignment vertical="center"/>
    </xf>
    <xf numFmtId="0" fontId="120" fillId="0" borderId="0" xfId="0" applyFont="1">
      <alignment vertical="center"/>
    </xf>
    <xf numFmtId="0" fontId="0" fillId="33" borderId="0" xfId="0" applyFill="1">
      <alignment vertical="center"/>
    </xf>
    <xf numFmtId="0" fontId="35" fillId="0" borderId="0" xfId="0" applyFont="1" applyAlignment="1"/>
    <xf numFmtId="178" fontId="35" fillId="0" borderId="0" xfId="0" applyNumberFormat="1" applyFont="1" applyAlignment="1"/>
    <xf numFmtId="182" fontId="35" fillId="0" borderId="0" xfId="0" applyNumberFormat="1" applyFont="1" applyAlignment="1"/>
    <xf numFmtId="0" fontId="121" fillId="0" borderId="0" xfId="10" applyFont="1" applyAlignment="1" applyProtection="1"/>
    <xf numFmtId="0" fontId="122" fillId="0" borderId="17" xfId="10" applyFont="1" applyBorder="1" applyAlignment="1" applyProtection="1">
      <alignment horizontal="center"/>
    </xf>
    <xf numFmtId="0" fontId="0" fillId="0" borderId="18" xfId="0" applyBorder="1" applyAlignment="1"/>
    <xf numFmtId="0" fontId="0" fillId="0" borderId="19" xfId="0" applyBorder="1" applyAlignment="1"/>
    <xf numFmtId="0" fontId="46" fillId="0" borderId="20" xfId="0" applyFont="1" applyBorder="1" applyAlignment="1"/>
    <xf numFmtId="178" fontId="46" fillId="0" borderId="0" xfId="0" applyNumberFormat="1" applyFont="1" applyBorder="1" applyAlignment="1"/>
    <xf numFmtId="0" fontId="46" fillId="0" borderId="0" xfId="0" applyFont="1" applyBorder="1" applyAlignment="1"/>
    <xf numFmtId="182" fontId="46" fillId="0" borderId="0" xfId="0" applyNumberFormat="1" applyFont="1" applyBorder="1" applyAlignment="1"/>
    <xf numFmtId="0" fontId="46" fillId="0" borderId="21" xfId="0" applyFont="1" applyBorder="1" applyAlignment="1"/>
    <xf numFmtId="178" fontId="123" fillId="14" borderId="1" xfId="0" applyNumberFormat="1" applyFont="1" applyFill="1" applyBorder="1" applyAlignment="1" applyProtection="1">
      <protection locked="0"/>
    </xf>
    <xf numFmtId="197" fontId="46" fillId="0" borderId="0" xfId="0" applyNumberFormat="1" applyFont="1" applyBorder="1" applyAlignment="1"/>
    <xf numFmtId="10" fontId="46" fillId="0" borderId="0" xfId="0" applyNumberFormat="1" applyFont="1" applyBorder="1" applyAlignment="1"/>
    <xf numFmtId="178" fontId="46" fillId="22" borderId="1" xfId="0" applyNumberFormat="1" applyFont="1" applyFill="1" applyBorder="1" applyAlignment="1"/>
    <xf numFmtId="182" fontId="46" fillId="22" borderId="1" xfId="0" applyNumberFormat="1" applyFont="1" applyFill="1" applyBorder="1" applyAlignment="1"/>
    <xf numFmtId="182" fontId="46" fillId="22" borderId="0" xfId="0" applyNumberFormat="1" applyFont="1" applyFill="1" applyBorder="1" applyAlignment="1"/>
    <xf numFmtId="179" fontId="46" fillId="22" borderId="1" xfId="0" applyNumberFormat="1" applyFont="1" applyFill="1" applyBorder="1" applyAlignment="1"/>
    <xf numFmtId="179" fontId="46" fillId="22" borderId="0" xfId="0" applyNumberFormat="1" applyFont="1" applyFill="1" applyBorder="1" applyAlignment="1"/>
    <xf numFmtId="0" fontId="124" fillId="0" borderId="0" xfId="0" applyFont="1" applyBorder="1" applyAlignment="1"/>
    <xf numFmtId="209" fontId="46" fillId="22" borderId="1" xfId="0" applyNumberFormat="1" applyFont="1" applyFill="1" applyBorder="1" applyAlignment="1"/>
    <xf numFmtId="209" fontId="46" fillId="22" borderId="0" xfId="0" applyNumberFormat="1" applyFont="1" applyFill="1" applyBorder="1" applyAlignment="1"/>
    <xf numFmtId="0" fontId="46" fillId="0" borderId="24" xfId="0" applyFont="1" applyBorder="1" applyAlignment="1"/>
    <xf numFmtId="178" fontId="46" fillId="0" borderId="25" xfId="0" applyNumberFormat="1" applyFont="1" applyBorder="1" applyAlignment="1"/>
    <xf numFmtId="0" fontId="46" fillId="0" borderId="25" xfId="0" applyFont="1" applyBorder="1" applyAlignment="1"/>
    <xf numFmtId="182" fontId="46" fillId="0" borderId="25" xfId="0" applyNumberFormat="1" applyFont="1" applyBorder="1" applyAlignment="1"/>
    <xf numFmtId="0" fontId="46" fillId="0" borderId="26" xfId="0" applyFont="1" applyBorder="1" applyAlignment="1"/>
    <xf numFmtId="0" fontId="46" fillId="0" borderId="0" xfId="0" applyFont="1" applyAlignment="1"/>
    <xf numFmtId="178" fontId="46" fillId="0" borderId="0" xfId="0" applyNumberFormat="1" applyFont="1" applyAlignment="1"/>
    <xf numFmtId="182" fontId="46" fillId="0" borderId="0" xfId="0" applyNumberFormat="1" applyFont="1" applyAlignment="1"/>
    <xf numFmtId="0" fontId="46" fillId="0" borderId="17" xfId="0" applyFont="1" applyBorder="1" applyAlignment="1"/>
    <xf numFmtId="178" fontId="46" fillId="0" borderId="18" xfId="0" applyNumberFormat="1" applyFont="1" applyBorder="1" applyAlignment="1"/>
    <xf numFmtId="0" fontId="46" fillId="0" borderId="18" xfId="0" applyFont="1" applyBorder="1" applyAlignment="1"/>
    <xf numFmtId="182" fontId="46" fillId="0" borderId="18" xfId="0" applyNumberFormat="1" applyFont="1" applyBorder="1" applyAlignment="1"/>
    <xf numFmtId="0" fontId="46" fillId="0" borderId="19" xfId="0" applyFont="1" applyBorder="1" applyAlignment="1"/>
    <xf numFmtId="178" fontId="16" fillId="0" borderId="0" xfId="0" applyNumberFormat="1" applyFont="1" applyBorder="1" applyAlignment="1">
      <alignment horizontal="center"/>
    </xf>
    <xf numFmtId="0" fontId="16" fillId="0" borderId="0" xfId="0" applyFont="1" applyBorder="1" applyAlignment="1">
      <alignment horizontal="center"/>
    </xf>
    <xf numFmtId="0" fontId="0" fillId="0" borderId="0" xfId="0" applyBorder="1" applyAlignment="1"/>
    <xf numFmtId="0" fontId="46" fillId="55" borderId="23" xfId="0" applyFont="1" applyFill="1" applyBorder="1" applyAlignment="1"/>
    <xf numFmtId="2" fontId="46" fillId="55" borderId="1" xfId="0" applyNumberFormat="1" applyFont="1" applyFill="1" applyBorder="1" applyAlignment="1">
      <alignment horizontal="center"/>
    </xf>
    <xf numFmtId="0" fontId="46" fillId="55" borderId="1" xfId="0" applyFont="1" applyFill="1" applyBorder="1" applyAlignment="1">
      <alignment horizontal="center"/>
    </xf>
    <xf numFmtId="2" fontId="46" fillId="0" borderId="26" xfId="0" applyNumberFormat="1" applyFont="1" applyBorder="1" applyAlignment="1"/>
    <xf numFmtId="0" fontId="125" fillId="22" borderId="17" xfId="0" applyFont="1" applyFill="1" applyBorder="1" applyAlignment="1">
      <alignment horizontal="left"/>
    </xf>
    <xf numFmtId="0" fontId="125" fillId="22" borderId="20" xfId="0" applyFont="1" applyFill="1" applyBorder="1" applyAlignment="1">
      <alignment horizontal="left"/>
    </xf>
    <xf numFmtId="0" fontId="125" fillId="22" borderId="24" xfId="0" applyFont="1" applyFill="1" applyBorder="1" applyAlignment="1">
      <alignment horizontal="left"/>
    </xf>
    <xf numFmtId="0" fontId="0" fillId="0" borderId="25" xfId="0" applyBorder="1" applyAlignment="1"/>
    <xf numFmtId="0" fontId="126" fillId="0" borderId="0" xfId="10" applyFont="1" applyAlignment="1" applyProtection="1"/>
    <xf numFmtId="0" fontId="0" fillId="33" borderId="17" xfId="0" applyFill="1" applyBorder="1">
      <alignment vertical="center"/>
    </xf>
    <xf numFmtId="0" fontId="0" fillId="33" borderId="18" xfId="0" applyFill="1" applyBorder="1">
      <alignment vertical="center"/>
    </xf>
    <xf numFmtId="178" fontId="46" fillId="22" borderId="23" xfId="0" applyNumberFormat="1" applyFont="1" applyFill="1" applyBorder="1" applyAlignment="1"/>
    <xf numFmtId="178" fontId="46" fillId="22" borderId="43" xfId="0" applyNumberFormat="1" applyFont="1" applyFill="1" applyBorder="1" applyAlignment="1"/>
    <xf numFmtId="178" fontId="46" fillId="22" borderId="71" xfId="0" applyNumberFormat="1" applyFont="1" applyFill="1" applyBorder="1" applyAlignment="1"/>
    <xf numFmtId="0" fontId="0" fillId="33" borderId="19" xfId="0" applyFill="1" applyBorder="1">
      <alignment vertical="center"/>
    </xf>
    <xf numFmtId="0" fontId="0" fillId="0" borderId="47" xfId="0" applyBorder="1" applyAlignment="1">
      <alignment horizontal="center" vertical="center"/>
    </xf>
    <xf numFmtId="0" fontId="0" fillId="0" borderId="51" xfId="0" applyBorder="1" applyAlignment="1">
      <alignment horizontal="center" vertical="center"/>
    </xf>
    <xf numFmtId="0" fontId="0" fillId="0" borderId="48" xfId="0" applyBorder="1" applyAlignment="1">
      <alignment horizontal="center" vertical="center"/>
    </xf>
    <xf numFmtId="0" fontId="0" fillId="0" borderId="14" xfId="0" applyBorder="1" applyAlignment="1">
      <alignment vertical="center"/>
    </xf>
    <xf numFmtId="0" fontId="70" fillId="4" borderId="127" xfId="0" applyFont="1" applyFill="1" applyBorder="1" applyAlignment="1" applyProtection="1">
      <alignment vertical="center"/>
      <protection locked="0"/>
    </xf>
    <xf numFmtId="0" fontId="0" fillId="0" borderId="71" xfId="0" applyBorder="1" applyAlignment="1">
      <alignment horizontal="center" vertical="center"/>
    </xf>
    <xf numFmtId="0" fontId="70" fillId="5" borderId="44" xfId="0" applyFont="1" applyFill="1" applyBorder="1" applyAlignment="1" applyProtection="1">
      <alignment horizontal="center" vertical="center"/>
      <protection locked="0"/>
    </xf>
    <xf numFmtId="0" fontId="0" fillId="4" borderId="127" xfId="0" applyFill="1" applyBorder="1" applyAlignment="1">
      <alignment vertical="center"/>
    </xf>
    <xf numFmtId="0" fontId="70" fillId="5" borderId="44" xfId="0" applyFont="1" applyFill="1" applyBorder="1" applyAlignment="1">
      <alignment horizontal="center" vertical="center"/>
    </xf>
    <xf numFmtId="0" fontId="70" fillId="4" borderId="127" xfId="0" applyFont="1" applyFill="1" applyBorder="1" applyAlignment="1">
      <alignment vertical="center"/>
    </xf>
    <xf numFmtId="0" fontId="0" fillId="0" borderId="68" xfId="0" applyBorder="1" applyAlignment="1">
      <alignment horizontal="center" vertical="center"/>
    </xf>
    <xf numFmtId="0" fontId="0" fillId="0" borderId="70" xfId="0" applyBorder="1" applyAlignment="1">
      <alignment horizontal="center" vertical="center"/>
    </xf>
    <xf numFmtId="0" fontId="0" fillId="0" borderId="69" xfId="0" applyBorder="1" applyAlignment="1">
      <alignment horizontal="center" vertical="center"/>
    </xf>
    <xf numFmtId="0" fontId="0" fillId="4" borderId="102" xfId="0" applyFill="1" applyBorder="1" applyAlignment="1">
      <alignment horizontal="center" vertical="center"/>
    </xf>
    <xf numFmtId="0" fontId="0" fillId="0" borderId="43" xfId="0" applyBorder="1" applyAlignment="1"/>
    <xf numFmtId="0" fontId="0" fillId="0" borderId="71" xfId="0" applyBorder="1" applyAlignment="1"/>
    <xf numFmtId="0" fontId="0" fillId="5" borderId="44" xfId="0" applyFill="1" applyBorder="1" applyAlignment="1"/>
    <xf numFmtId="0" fontId="0" fillId="0" borderId="68" xfId="0" applyBorder="1" applyAlignment="1"/>
    <xf numFmtId="0" fontId="0" fillId="0" borderId="70" xfId="0" applyBorder="1" applyAlignment="1"/>
    <xf numFmtId="0" fontId="0" fillId="0" borderId="69" xfId="0" applyBorder="1" applyAlignment="1"/>
    <xf numFmtId="0" fontId="0" fillId="0" borderId="23" xfId="0" applyBorder="1" applyAlignment="1"/>
    <xf numFmtId="0" fontId="0" fillId="0" borderId="1" xfId="0" applyBorder="1" applyAlignment="1"/>
    <xf numFmtId="0" fontId="0" fillId="4" borderId="102" xfId="0" applyFill="1" applyBorder="1" applyAlignment="1"/>
    <xf numFmtId="0" fontId="0" fillId="0" borderId="43" xfId="0" applyBorder="1" applyAlignment="1">
      <alignment horizontal="center"/>
    </xf>
    <xf numFmtId="0" fontId="0" fillId="0" borderId="71" xfId="0" applyBorder="1" applyAlignment="1">
      <alignment horizontal="center"/>
    </xf>
    <xf numFmtId="0" fontId="0" fillId="5" borderId="44" xfId="0" applyFill="1" applyBorder="1" applyAlignment="1">
      <alignment horizontal="center"/>
    </xf>
    <xf numFmtId="0" fontId="0" fillId="0" borderId="47" xfId="0" applyBorder="1" applyAlignment="1">
      <alignment horizontal="center"/>
    </xf>
    <xf numFmtId="0" fontId="0" fillId="0" borderId="51" xfId="0" applyBorder="1" applyAlignment="1">
      <alignment horizontal="center"/>
    </xf>
    <xf numFmtId="0" fontId="0" fillId="0" borderId="103" xfId="0" applyBorder="1" applyAlignment="1">
      <alignment horizontal="center"/>
    </xf>
    <xf numFmtId="0" fontId="0" fillId="0" borderId="2" xfId="0" applyBorder="1" applyAlignment="1">
      <alignment horizontal="center"/>
    </xf>
    <xf numFmtId="0" fontId="0" fillId="0" borderId="68" xfId="0" applyBorder="1" applyAlignment="1">
      <alignment horizontal="center"/>
    </xf>
    <xf numFmtId="0" fontId="0" fillId="0" borderId="70" xfId="0" applyBorder="1" applyAlignment="1">
      <alignment horizontal="center"/>
    </xf>
    <xf numFmtId="0" fontId="0" fillId="0" borderId="48" xfId="0" applyBorder="1" applyAlignment="1">
      <alignment horizontal="center"/>
    </xf>
    <xf numFmtId="0" fontId="0" fillId="5" borderId="106" xfId="0" applyFill="1" applyBorder="1" applyAlignment="1"/>
    <xf numFmtId="0" fontId="0" fillId="0" borderId="69" xfId="0" applyBorder="1" applyAlignment="1">
      <alignment horizontal="center"/>
    </xf>
    <xf numFmtId="0" fontId="0" fillId="4" borderId="1" xfId="0" applyFill="1" applyBorder="1" applyAlignment="1"/>
    <xf numFmtId="0" fontId="0" fillId="5" borderId="71" xfId="0" applyFill="1" applyBorder="1" applyAlignment="1"/>
    <xf numFmtId="0" fontId="69" fillId="56" borderId="1" xfId="0" applyFont="1" applyFill="1" applyBorder="1" applyAlignment="1">
      <alignment horizontal="center" vertical="center"/>
    </xf>
    <xf numFmtId="0" fontId="0" fillId="44" borderId="1" xfId="0" applyFill="1" applyBorder="1">
      <alignment vertical="center"/>
    </xf>
    <xf numFmtId="0" fontId="0" fillId="32" borderId="1" xfId="0" applyFill="1" applyBorder="1" applyAlignment="1">
      <alignment horizontal="left" vertical="center"/>
    </xf>
    <xf numFmtId="0" fontId="0" fillId="0" borderId="2" xfId="0" applyBorder="1" applyAlignment="1">
      <alignment horizontal="right" vertical="center"/>
    </xf>
    <xf numFmtId="0" fontId="0" fillId="0" borderId="0" xfId="0" applyFont="1" applyAlignment="1">
      <alignment horizontal="left" vertical="center" wrapText="1"/>
    </xf>
    <xf numFmtId="0" fontId="0" fillId="0" borderId="4" xfId="0" applyBorder="1" applyAlignment="1">
      <alignment horizontal="right" vertical="center"/>
    </xf>
    <xf numFmtId="0" fontId="0" fillId="0" borderId="0" xfId="0" applyAlignment="1">
      <alignment horizontal="left" vertical="center" wrapText="1"/>
    </xf>
    <xf numFmtId="0" fontId="0" fillId="0" borderId="5" xfId="0" applyBorder="1" applyAlignment="1">
      <alignment horizontal="right" vertical="center"/>
    </xf>
    <xf numFmtId="0" fontId="0" fillId="32" borderId="1" xfId="0" applyFill="1" applyBorder="1" applyAlignment="1">
      <alignment vertical="center"/>
    </xf>
    <xf numFmtId="0" fontId="65" fillId="0" borderId="1" xfId="0" applyFont="1" applyBorder="1" applyAlignment="1" applyProtection="1" quotePrefix="1">
      <alignment horizontal="center" vertical="center"/>
      <protection locked="0"/>
    </xf>
    <xf numFmtId="0" fontId="10" fillId="0" borderId="17" xfId="56" applyFont="1" applyBorder="1" applyAlignment="1" quotePrefix="1">
      <alignment horizontal="center" vertical="center"/>
    </xf>
    <xf numFmtId="0" fontId="10" fillId="0" borderId="33" xfId="56" applyFont="1" applyBorder="1" applyAlignment="1" quotePrefix="1">
      <alignment horizontal="center" vertical="center"/>
    </xf>
    <xf numFmtId="0" fontId="10" fillId="0" borderId="58" xfId="56" applyFont="1" applyBorder="1" applyAlignment="1" quotePrefix="1">
      <alignment horizontal="center" vertical="center"/>
    </xf>
  </cellXfs>
  <cellStyles count="6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百分比 2" xfId="13"/>
    <cellStyle name="常规 6"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常规 8" xfId="21"/>
    <cellStyle name="标题 1" xfId="22" builtinId="16"/>
    <cellStyle name="0,0_x000d__x000a_NA_x000d__x000a_" xfId="23"/>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超链接 4" xfId="40"/>
    <cellStyle name="40% - 强调文字颜色 1" xfId="41" builtinId="31"/>
    <cellStyle name="20% - 强调文字颜色 2" xfId="42" builtinId="34"/>
    <cellStyle name="40% - 强调文字颜色 2" xfId="43" builtinId="35"/>
    <cellStyle name="千位分隔[0] 2" xfId="44"/>
    <cellStyle name="强调文字颜色 3" xfId="45" builtinId="37"/>
    <cellStyle name="常规 3 2" xfId="46"/>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40% - 强调文字颜色 6" xfId="54" builtinId="51"/>
    <cellStyle name="60% - 强调文字颜色 6" xfId="55" builtinId="52"/>
    <cellStyle name="常规 2" xfId="56"/>
    <cellStyle name="常规 3" xfId="57"/>
    <cellStyle name="常规 4" xfId="58"/>
    <cellStyle name="常规 5" xfId="59"/>
    <cellStyle name="常规 7" xfId="60"/>
    <cellStyle name="常规_Sheet1" xfId="61"/>
    <cellStyle name="超链接 2" xfId="62"/>
    <cellStyle name="超链接 3" xfId="63"/>
  </cellStyles>
  <dxfs count="11">
    <dxf>
      <font>
        <color indexed="23"/>
      </font>
      <fill>
        <patternFill patternType="solid">
          <bgColor indexed="23"/>
        </patternFill>
      </fill>
    </dxf>
    <dxf>
      <font>
        <color theme="0" tint="-0.499984740745262"/>
      </font>
      <fill>
        <patternFill patternType="solid">
          <bgColor theme="0" tint="-0.499984740745262"/>
        </patternFill>
      </fill>
    </dxf>
    <dxf>
      <numFmt numFmtId="210" formatCode="#&quot;000&quot;"/>
    </dxf>
    <dxf>
      <numFmt numFmtId="211" formatCode="0\.000"/>
    </dxf>
    <dxf>
      <numFmt numFmtId="1" formatCode="0"/>
    </dxf>
    <dxf>
      <numFmt numFmtId="212" formatCode="#&quot;000000&quot;"/>
    </dxf>
    <dxf>
      <numFmt numFmtId="213" formatCode="0\.000000000000"/>
    </dxf>
    <dxf>
      <numFmt numFmtId="214" formatCode="0\.000000000"/>
    </dxf>
    <dxf>
      <numFmt numFmtId="215" formatCode="0\.000000"/>
    </dxf>
    <dxf>
      <font>
        <color rgb="FF9C0006"/>
      </font>
      <fill>
        <patternFill patternType="solid">
          <bgColor rgb="FFFFC7CE"/>
        </patternFill>
      </fill>
    </dxf>
    <dxf>
      <fill>
        <patternFill patternType="solid">
          <bgColor rgb="FFFF0000"/>
        </patternFill>
      </fill>
    </dxf>
  </dxfs>
  <tableStyles count="0" defaultTableStyle="TableStyleMedium2" defaultPivotStyle="PivotStyleLight16"/>
  <colors>
    <mruColors>
      <color rgb="00008000"/>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2" Type="http://schemas.openxmlformats.org/officeDocument/2006/relationships/sharedStrings" Target="sharedStrings.xml"/><Relationship Id="rId41" Type="http://schemas.openxmlformats.org/officeDocument/2006/relationships/styles" Target="styles.xml"/><Relationship Id="rId40" Type="http://schemas.openxmlformats.org/officeDocument/2006/relationships/theme" Target="theme/theme1.xml"/><Relationship Id="rId4" Type="http://schemas.openxmlformats.org/officeDocument/2006/relationships/worksheet" Target="worksheets/sheet4.xml"/><Relationship Id="rId39" Type="http://schemas.openxmlformats.org/officeDocument/2006/relationships/externalLink" Target="externalLinks/externalLink2.xml"/><Relationship Id="rId38" Type="http://schemas.openxmlformats.org/officeDocument/2006/relationships/externalLink" Target="externalLinks/externalLink1.xml"/><Relationship Id="rId37" Type="http://schemas.openxmlformats.org/officeDocument/2006/relationships/connections" Target="connections.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864024873272018"/>
          <c:y val="0.0290767739225671"/>
          <c:w val="0.792989367122503"/>
          <c:h val="0.863563742657438"/>
        </c:manualLayout>
      </c:layout>
      <c:scatterChart>
        <c:scatterStyle val="smooth"/>
        <c:varyColors val="0"/>
        <c:ser>
          <c:idx val="0"/>
          <c:order val="0"/>
          <c:tx>
            <c:strRef>
              <c:f>"2Ohm"</c:f>
              <c:strCache>
                <c:ptCount val="1"/>
                <c:pt idx="0">
                  <c:v>2Ohm</c:v>
                </c:pt>
              </c:strCache>
            </c:strRef>
          </c:tx>
          <c:spPr>
            <a:ln w="38100" cap="rnd" cmpd="sng" algn="ctr">
              <a:solidFill>
                <a:srgbClr val="FF0000"/>
              </a:solidFill>
              <a:prstDash val="solid"/>
              <a:round/>
            </a:ln>
          </c:spPr>
          <c:marker>
            <c:symbol val="none"/>
          </c:marker>
          <c:dLbls>
            <c:delete val="1"/>
          </c:dLbls>
          <c:xVal>
            <c:numRef>
              <c:f>{1.59154943091895,2.00364202271042,2.52243585852881,3.17555860192276,3.99779142060212,5.03292121044871,6.33607240739174,7.97664256463331,10.0419980254159,12.6421264993829,15.9154943091896,20.0364202271042,25.2243585852882,31.7555860192276,39.9779142060213,50.3292121044872,63.3607240739176,79.7664256463333,100.419980254159,126.421264993829,159.154943091896,200.364202271043,252.243585852882,317.555860192277,399.779142060214,503.292121044873,633.607240739177,797.664256463334,1004.19980254159,1264.2126499383,1591.54943091896,2003.64202271043,2522.43585852882,3175.55860192277,3997.79142060213,5032.92121044872,6336.07240739175,7976.64256463331,10041.9980254159,12642.1264993829,15915.4943091895,20036.4202271041,25224.358585288,31755.5860192275,39977.914206021,50329.2121044868,63360.724073917,79766.4256463325,100419.980254158,126421.264993828,159154.943091894,200364.20227104,252243.585852878,317555.860192272,399779.142060207,503292.121044864,633607.240739165,797664.256463318,1004199.80254157,1264212.64993827,1591549.43091893}</c:f>
              <c:numCache>
                <c:formatCode>General</c:formatCode>
                <c:ptCount val="61"/>
                <c:pt idx="0">
                  <c:v>1.59154943091895</c:v>
                </c:pt>
                <c:pt idx="1">
                  <c:v>2.00364202271042</c:v>
                </c:pt>
                <c:pt idx="2">
                  <c:v>2.52243585852881</c:v>
                </c:pt>
                <c:pt idx="3">
                  <c:v>3.17555860192276</c:v>
                </c:pt>
                <c:pt idx="4">
                  <c:v>3.99779142060212</c:v>
                </c:pt>
                <c:pt idx="5">
                  <c:v>5.03292121044871</c:v>
                </c:pt>
                <c:pt idx="6">
                  <c:v>6.33607240739174</c:v>
                </c:pt>
                <c:pt idx="7">
                  <c:v>7.97664256463331</c:v>
                </c:pt>
                <c:pt idx="8">
                  <c:v>10.0419980254159</c:v>
                </c:pt>
                <c:pt idx="9">
                  <c:v>12.6421264993829</c:v>
                </c:pt>
                <c:pt idx="10">
                  <c:v>15.9154943091896</c:v>
                </c:pt>
                <c:pt idx="11">
                  <c:v>20.0364202271042</c:v>
                </c:pt>
                <c:pt idx="12">
                  <c:v>25.2243585852882</c:v>
                </c:pt>
                <c:pt idx="13">
                  <c:v>31.7555860192276</c:v>
                </c:pt>
                <c:pt idx="14">
                  <c:v>39.9779142060213</c:v>
                </c:pt>
                <c:pt idx="15">
                  <c:v>50.3292121044872</c:v>
                </c:pt>
                <c:pt idx="16">
                  <c:v>63.3607240739176</c:v>
                </c:pt>
                <c:pt idx="17">
                  <c:v>79.7664256463333</c:v>
                </c:pt>
                <c:pt idx="18">
                  <c:v>100.419980254159</c:v>
                </c:pt>
                <c:pt idx="19">
                  <c:v>126.421264993829</c:v>
                </c:pt>
                <c:pt idx="20">
                  <c:v>159.154943091896</c:v>
                </c:pt>
                <c:pt idx="21">
                  <c:v>200.364202271043</c:v>
                </c:pt>
                <c:pt idx="22">
                  <c:v>252.243585852882</c:v>
                </c:pt>
                <c:pt idx="23">
                  <c:v>317.555860192277</c:v>
                </c:pt>
                <c:pt idx="24">
                  <c:v>399.779142060214</c:v>
                </c:pt>
                <c:pt idx="25">
                  <c:v>503.292121044873</c:v>
                </c:pt>
                <c:pt idx="26">
                  <c:v>633.607240739177</c:v>
                </c:pt>
                <c:pt idx="27">
                  <c:v>797.664256463334</c:v>
                </c:pt>
                <c:pt idx="28">
                  <c:v>1004.19980254159</c:v>
                </c:pt>
                <c:pt idx="29">
                  <c:v>1264.2126499383</c:v>
                </c:pt>
                <c:pt idx="30">
                  <c:v>1591.54943091896</c:v>
                </c:pt>
                <c:pt idx="31">
                  <c:v>2003.64202271043</c:v>
                </c:pt>
                <c:pt idx="32">
                  <c:v>2522.43585852882</c:v>
                </c:pt>
                <c:pt idx="33">
                  <c:v>3175.55860192277</c:v>
                </c:pt>
                <c:pt idx="34">
                  <c:v>3997.79142060213</c:v>
                </c:pt>
                <c:pt idx="35">
                  <c:v>5032.92121044872</c:v>
                </c:pt>
                <c:pt idx="36">
                  <c:v>6336.07240739175</c:v>
                </c:pt>
                <c:pt idx="37">
                  <c:v>7976.64256463331</c:v>
                </c:pt>
                <c:pt idx="38">
                  <c:v>10041.9980254159</c:v>
                </c:pt>
                <c:pt idx="39">
                  <c:v>12642.1264993829</c:v>
                </c:pt>
                <c:pt idx="40">
                  <c:v>15915.4943091895</c:v>
                </c:pt>
                <c:pt idx="41">
                  <c:v>20036.4202271041</c:v>
                </c:pt>
                <c:pt idx="42">
                  <c:v>25224.358585288</c:v>
                </c:pt>
                <c:pt idx="43">
                  <c:v>31755.5860192275</c:v>
                </c:pt>
                <c:pt idx="44">
                  <c:v>39977.914206021</c:v>
                </c:pt>
                <c:pt idx="45">
                  <c:v>50329.2121044868</c:v>
                </c:pt>
                <c:pt idx="46">
                  <c:v>63360.724073917</c:v>
                </c:pt>
                <c:pt idx="47">
                  <c:v>79766.4256463325</c:v>
                </c:pt>
                <c:pt idx="48">
                  <c:v>100419.980254158</c:v>
                </c:pt>
                <c:pt idx="49">
                  <c:v>126421.264993828</c:v>
                </c:pt>
                <c:pt idx="50">
                  <c:v>159154.943091894</c:v>
                </c:pt>
                <c:pt idx="51">
                  <c:v>200364.20227104</c:v>
                </c:pt>
                <c:pt idx="52">
                  <c:v>252243.585852878</c:v>
                </c:pt>
                <c:pt idx="53">
                  <c:v>317555.860192272</c:v>
                </c:pt>
                <c:pt idx="54">
                  <c:v>399779.142060207</c:v>
                </c:pt>
                <c:pt idx="55">
                  <c:v>503292.121044864</c:v>
                </c:pt>
                <c:pt idx="56">
                  <c:v>633607.240739165</c:v>
                </c:pt>
                <c:pt idx="57">
                  <c:v>797664.256463318</c:v>
                </c:pt>
                <c:pt idx="58">
                  <c:v>1004199.80254157</c:v>
                </c:pt>
                <c:pt idx="59">
                  <c:v>1264212.64993827</c:v>
                </c:pt>
                <c:pt idx="60">
                  <c:v>1591549.43091893</c:v>
                </c:pt>
              </c:numCache>
            </c:numRef>
          </c:xVal>
          <c:yVal>
            <c:numRef>
              <c:f>{-3.16166390274165E-08,-5.01089943808679E-08,-7.94174000587783E-08,-1.25868106737667E-07,-1.99487495669834E-07,-3.16166373273438E-07,-5.01089924994442E-07,-7.94173978297164E-07,-1.25868087558618E-06,-1.99487458234505E-06,-3.16166275397823E-06,-0.0000050108967908869,-7.94173370912952E-06,-0.0000125867934437395,-0.0000199487075210878,-0.0000316165312317546,-0.0000501087258838702,-0.0000794167292666488,-0.000125866407457807,-0.00019948323963355,-0.000316155678136238,-0.000501063059605049,-0.000794106509888152,-0.00125851140670758,-0.00199444895768591,-0.00316059380953202,-0.00500821244643168,-0.00793499387097551,-0.0125698753198889,-0.0199062572172419,-0.0315100838788867,-0.0498420670271635,-0.07874977539075,-0.124202352040899,-0.195347273141317,-0.305936345150793,-0.476038028157412,-0.733635686312751,-1.11515701631197,-1.66341391772656,-2.421675953101,-3.42474417127122,-4.6913767565053,-6.22355176464742,-8.01383709402054,-10.0559229617739,-12.3512445571243,-14.9075494276316,-17.7302822845422,-20.8123060499001,-24.1289714246844,-27.6416023945039,-31.3061806964251,-35.0815794776423,-38.9341369745702,-42.8386634847345,-46.7774062989595,-50.7383386741879,-54.7135195801945,-58.6977916785326,-62.6878407245309}</c:f>
              <c:numCache>
                <c:formatCode>General</c:formatCode>
                <c:ptCount val="61"/>
                <c:pt idx="0">
                  <c:v>-3.16166390274165e-8</c:v>
                </c:pt>
                <c:pt idx="1">
                  <c:v>-5.01089943808679e-8</c:v>
                </c:pt>
                <c:pt idx="2">
                  <c:v>-7.94174000587783e-8</c:v>
                </c:pt>
                <c:pt idx="3">
                  <c:v>-1.25868106737667e-7</c:v>
                </c:pt>
                <c:pt idx="4">
                  <c:v>-1.99487495669834e-7</c:v>
                </c:pt>
                <c:pt idx="5">
                  <c:v>-3.16166373273438e-7</c:v>
                </c:pt>
                <c:pt idx="6">
                  <c:v>-5.01089924994442e-7</c:v>
                </c:pt>
                <c:pt idx="7">
                  <c:v>-7.94173978297164e-7</c:v>
                </c:pt>
                <c:pt idx="8">
                  <c:v>-1.25868087558618e-6</c:v>
                </c:pt>
                <c:pt idx="9">
                  <c:v>-1.99487458234505e-6</c:v>
                </c:pt>
                <c:pt idx="10">
                  <c:v>-3.16166275397823e-6</c:v>
                </c:pt>
                <c:pt idx="11">
                  <c:v>-5.0108967908869e-6</c:v>
                </c:pt>
                <c:pt idx="12">
                  <c:v>-7.94173370912952e-6</c:v>
                </c:pt>
                <c:pt idx="13">
                  <c:v>-1.25867934437395e-5</c:v>
                </c:pt>
                <c:pt idx="14">
                  <c:v>-1.99487075210878e-5</c:v>
                </c:pt>
                <c:pt idx="15">
                  <c:v>-3.16165312317546e-5</c:v>
                </c:pt>
                <c:pt idx="16">
                  <c:v>-5.01087258838702e-5</c:v>
                </c:pt>
                <c:pt idx="17">
                  <c:v>-7.94167292666488e-5</c:v>
                </c:pt>
                <c:pt idx="18">
                  <c:v>-0.000125866407457807</c:v>
                </c:pt>
                <c:pt idx="19">
                  <c:v>-0.00019948323963355</c:v>
                </c:pt>
                <c:pt idx="20">
                  <c:v>-0.000316155678136238</c:v>
                </c:pt>
                <c:pt idx="21">
                  <c:v>-0.000501063059605049</c:v>
                </c:pt>
                <c:pt idx="22">
                  <c:v>-0.000794106509888152</c:v>
                </c:pt>
                <c:pt idx="23">
                  <c:v>-0.00125851140670758</c:v>
                </c:pt>
                <c:pt idx="24">
                  <c:v>-0.00199444895768591</c:v>
                </c:pt>
                <c:pt idx="25">
                  <c:v>-0.00316059380953202</c:v>
                </c:pt>
                <c:pt idx="26">
                  <c:v>-0.00500821244643168</c:v>
                </c:pt>
                <c:pt idx="27">
                  <c:v>-0.00793499387097551</c:v>
                </c:pt>
                <c:pt idx="28">
                  <c:v>-0.0125698753198889</c:v>
                </c:pt>
                <c:pt idx="29">
                  <c:v>-0.0199062572172419</c:v>
                </c:pt>
                <c:pt idx="30">
                  <c:v>-0.0315100838788867</c:v>
                </c:pt>
                <c:pt idx="31">
                  <c:v>-0.0498420670271635</c:v>
                </c:pt>
                <c:pt idx="32">
                  <c:v>-0.07874977539075</c:v>
                </c:pt>
                <c:pt idx="33">
                  <c:v>-0.124202352040899</c:v>
                </c:pt>
                <c:pt idx="34">
                  <c:v>-0.195347273141317</c:v>
                </c:pt>
                <c:pt idx="35">
                  <c:v>-0.305936345150793</c:v>
                </c:pt>
                <c:pt idx="36">
                  <c:v>-0.476038028157412</c:v>
                </c:pt>
                <c:pt idx="37">
                  <c:v>-0.733635686312751</c:v>
                </c:pt>
                <c:pt idx="38">
                  <c:v>-1.11515701631197</c:v>
                </c:pt>
                <c:pt idx="39">
                  <c:v>-1.66341391772656</c:v>
                </c:pt>
                <c:pt idx="40">
                  <c:v>-2.421675953101</c:v>
                </c:pt>
                <c:pt idx="41">
                  <c:v>-3.42474417127122</c:v>
                </c:pt>
                <c:pt idx="42">
                  <c:v>-4.6913767565053</c:v>
                </c:pt>
                <c:pt idx="43">
                  <c:v>-6.22355176464742</c:v>
                </c:pt>
                <c:pt idx="44">
                  <c:v>-8.01383709402054</c:v>
                </c:pt>
                <c:pt idx="45">
                  <c:v>-10.0559229617739</c:v>
                </c:pt>
                <c:pt idx="46">
                  <c:v>-12.3512445571243</c:v>
                </c:pt>
                <c:pt idx="47">
                  <c:v>-14.9075494276316</c:v>
                </c:pt>
                <c:pt idx="48">
                  <c:v>-17.7302822845422</c:v>
                </c:pt>
                <c:pt idx="49">
                  <c:v>-20.8123060499001</c:v>
                </c:pt>
                <c:pt idx="50">
                  <c:v>-24.1289714246844</c:v>
                </c:pt>
                <c:pt idx="51">
                  <c:v>-27.6416023945039</c:v>
                </c:pt>
                <c:pt idx="52">
                  <c:v>-31.3061806964251</c:v>
                </c:pt>
                <c:pt idx="53">
                  <c:v>-35.0815794776423</c:v>
                </c:pt>
                <c:pt idx="54">
                  <c:v>-38.9341369745702</c:v>
                </c:pt>
                <c:pt idx="55">
                  <c:v>-42.8386634847345</c:v>
                </c:pt>
                <c:pt idx="56">
                  <c:v>-46.7774062989595</c:v>
                </c:pt>
                <c:pt idx="57">
                  <c:v>-50.7383386741879</c:v>
                </c:pt>
                <c:pt idx="58">
                  <c:v>-54.7135195801945</c:v>
                </c:pt>
                <c:pt idx="59">
                  <c:v>-58.6977916785326</c:v>
                </c:pt>
                <c:pt idx="60">
                  <c:v>-62.6878407245309</c:v>
                </c:pt>
              </c:numCache>
            </c:numRef>
          </c:yVal>
          <c:smooth val="1"/>
        </c:ser>
        <c:ser>
          <c:idx val="1"/>
          <c:order val="1"/>
          <c:tx>
            <c:strRef>
              <c:f>"3Ohm"</c:f>
              <c:strCache>
                <c:ptCount val="1"/>
                <c:pt idx="0">
                  <c:v>3Ohm</c:v>
                </c:pt>
              </c:strCache>
            </c:strRef>
          </c:tx>
          <c:spPr>
            <a:ln w="38100" cap="rnd" cmpd="sng" algn="ctr">
              <a:solidFill>
                <a:srgbClr val="99CC00"/>
              </a:solidFill>
              <a:prstDash val="solid"/>
              <a:round/>
            </a:ln>
          </c:spPr>
          <c:marker>
            <c:symbol val="none"/>
          </c:marker>
          <c:dLbls>
            <c:delete val="1"/>
          </c:dLbls>
          <c:xVal>
            <c:numRef>
              <c:f>{1.59154943091895,2.00364202271042,2.52243585852881,3.17555860192276,3.99779142060212,5.03292121044871,6.33607240739174,7.97664256463331,10.0419980254159,12.6421264993829,15.9154943091896,20.0364202271042,25.2243585852882,31.7555860192276,39.9779142060213,50.3292121044872,63.3607240739176,79.7664256463333,100.419980254159,126.421264993829,159.154943091896,200.364202271043,252.243585852882,317.555860192277,399.779142060214,503.292121044873,633.607240739177,797.664256463334,1004.19980254159,1264.2126499383,1591.54943091896,2003.64202271043,2522.43585852882,3175.55860192277,3997.79142060213,5032.92121044872,6336.07240739175,7976.64256463331,10041.9980254159,12642.1264993829,15915.4943091895,20036.4202271041,25224.358585288,31755.5860192275,39977.914206021,50329.2121044868,63360.724073917,79766.4256463325,100419.980254158,126421.264993828,159154.943091894,200364.20227104,252243.585852878,317555.860192272,399779.142060207,503292.121044864,633607.240739165,797664.256463318,1004199.80254157,1264212.64993827,1591549.43091893}</c:f>
              <c:numCache>
                <c:formatCode>General</c:formatCode>
                <c:ptCount val="61"/>
                <c:pt idx="0">
                  <c:v>1.59154943091895</c:v>
                </c:pt>
                <c:pt idx="1">
                  <c:v>2.00364202271042</c:v>
                </c:pt>
                <c:pt idx="2">
                  <c:v>2.52243585852881</c:v>
                </c:pt>
                <c:pt idx="3">
                  <c:v>3.17555860192276</c:v>
                </c:pt>
                <c:pt idx="4">
                  <c:v>3.99779142060212</c:v>
                </c:pt>
                <c:pt idx="5">
                  <c:v>5.03292121044871</c:v>
                </c:pt>
                <c:pt idx="6">
                  <c:v>6.33607240739174</c:v>
                </c:pt>
                <c:pt idx="7">
                  <c:v>7.97664256463331</c:v>
                </c:pt>
                <c:pt idx="8">
                  <c:v>10.0419980254159</c:v>
                </c:pt>
                <c:pt idx="9">
                  <c:v>12.6421264993829</c:v>
                </c:pt>
                <c:pt idx="10">
                  <c:v>15.9154943091896</c:v>
                </c:pt>
                <c:pt idx="11">
                  <c:v>20.0364202271042</c:v>
                </c:pt>
                <c:pt idx="12">
                  <c:v>25.2243585852882</c:v>
                </c:pt>
                <c:pt idx="13">
                  <c:v>31.7555860192276</c:v>
                </c:pt>
                <c:pt idx="14">
                  <c:v>39.9779142060213</c:v>
                </c:pt>
                <c:pt idx="15">
                  <c:v>50.3292121044872</c:v>
                </c:pt>
                <c:pt idx="16">
                  <c:v>63.3607240739176</c:v>
                </c:pt>
                <c:pt idx="17">
                  <c:v>79.7664256463333</c:v>
                </c:pt>
                <c:pt idx="18">
                  <c:v>100.419980254159</c:v>
                </c:pt>
                <c:pt idx="19">
                  <c:v>126.421264993829</c:v>
                </c:pt>
                <c:pt idx="20">
                  <c:v>159.154943091896</c:v>
                </c:pt>
                <c:pt idx="21">
                  <c:v>200.364202271043</c:v>
                </c:pt>
                <c:pt idx="22">
                  <c:v>252.243585852882</c:v>
                </c:pt>
                <c:pt idx="23">
                  <c:v>317.555860192277</c:v>
                </c:pt>
                <c:pt idx="24">
                  <c:v>399.779142060214</c:v>
                </c:pt>
                <c:pt idx="25">
                  <c:v>503.292121044873</c:v>
                </c:pt>
                <c:pt idx="26">
                  <c:v>633.607240739177</c:v>
                </c:pt>
                <c:pt idx="27">
                  <c:v>797.664256463334</c:v>
                </c:pt>
                <c:pt idx="28">
                  <c:v>1004.19980254159</c:v>
                </c:pt>
                <c:pt idx="29">
                  <c:v>1264.2126499383</c:v>
                </c:pt>
                <c:pt idx="30">
                  <c:v>1591.54943091896</c:v>
                </c:pt>
                <c:pt idx="31">
                  <c:v>2003.64202271043</c:v>
                </c:pt>
                <c:pt idx="32">
                  <c:v>2522.43585852882</c:v>
                </c:pt>
                <c:pt idx="33">
                  <c:v>3175.55860192277</c:v>
                </c:pt>
                <c:pt idx="34">
                  <c:v>3997.79142060213</c:v>
                </c:pt>
                <c:pt idx="35">
                  <c:v>5032.92121044872</c:v>
                </c:pt>
                <c:pt idx="36">
                  <c:v>6336.07240739175</c:v>
                </c:pt>
                <c:pt idx="37">
                  <c:v>7976.64256463331</c:v>
                </c:pt>
                <c:pt idx="38">
                  <c:v>10041.9980254159</c:v>
                </c:pt>
                <c:pt idx="39">
                  <c:v>12642.1264993829</c:v>
                </c:pt>
                <c:pt idx="40">
                  <c:v>15915.4943091895</c:v>
                </c:pt>
                <c:pt idx="41">
                  <c:v>20036.4202271041</c:v>
                </c:pt>
                <c:pt idx="42">
                  <c:v>25224.358585288</c:v>
                </c:pt>
                <c:pt idx="43">
                  <c:v>31755.5860192275</c:v>
                </c:pt>
                <c:pt idx="44">
                  <c:v>39977.914206021</c:v>
                </c:pt>
                <c:pt idx="45">
                  <c:v>50329.2121044868</c:v>
                </c:pt>
                <c:pt idx="46">
                  <c:v>63360.724073917</c:v>
                </c:pt>
                <c:pt idx="47">
                  <c:v>79766.4256463325</c:v>
                </c:pt>
                <c:pt idx="48">
                  <c:v>100419.980254158</c:v>
                </c:pt>
                <c:pt idx="49">
                  <c:v>126421.264993828</c:v>
                </c:pt>
                <c:pt idx="50">
                  <c:v>159154.943091894</c:v>
                </c:pt>
                <c:pt idx="51">
                  <c:v>200364.20227104</c:v>
                </c:pt>
                <c:pt idx="52">
                  <c:v>252243.585852878</c:v>
                </c:pt>
                <c:pt idx="53">
                  <c:v>317555.860192272</c:v>
                </c:pt>
                <c:pt idx="54">
                  <c:v>399779.142060207</c:v>
                </c:pt>
                <c:pt idx="55">
                  <c:v>503292.121044864</c:v>
                </c:pt>
                <c:pt idx="56">
                  <c:v>633607.240739165</c:v>
                </c:pt>
                <c:pt idx="57">
                  <c:v>797664.256463318</c:v>
                </c:pt>
                <c:pt idx="58">
                  <c:v>1004199.80254157</c:v>
                </c:pt>
                <c:pt idx="59">
                  <c:v>1264212.64993827</c:v>
                </c:pt>
                <c:pt idx="60">
                  <c:v>1591549.43091893</c:v>
                </c:pt>
              </c:numCache>
            </c:numRef>
          </c:xVal>
          <c:yVal>
            <c:numRef>
              <c:f>{-7.48916383128466E-09,-1.1869529741875E-08,-1.88119363022237E-08,-2.9814914655051E-08,-4.7253442335818E-08,-7.48916704262328E-08,-1.18695298148653E-07,-1.88119370641636E-07,-2.98149117404427E-07,-4.72534505322271E-07,-7.48916724641349E-07,-1.18695302940434E-06,-1.88119381357788E-06,-2.98149136360603E-06,-4.72534559190746E-06,-0.0000074891686411096,-0.0000118695338572721,-0.0000188119470785388,-0.0000298149360667333,-0.0000472535123556502,-0.0000748918281848684,-0.000118695694695573,-0.000188120365254545,-0.000298151607451219,-0.000472540766520506,-0.000748932453987774,-0.0011869925362411,-0.00188129301175159,-0.00298174038650731,-0.00472597052233683,-0.00749073602860421,-0.0118734615377196,-0.0188217755286713,-0.0298394753780958,-0.0473145629225367,-0.0750428490083025,-0.119065855898268,-0.189014193428492,-0.300257293813642,-0.477297537070047,-0.758900441898784,-1.20496895507733,-1.90293234962313,-2.96589630362218,-4.50924651332919,-6.60300380183973,-9.23194543788522,-12.3049479183149,-15.7030145958626,-19.3203930947519,-23.079332025124,-26.9278447238511,-30.8326419063735,-34.7727609922147,-38.7350633288456,-42.7113139463347,-46.696344175115,-50.6869050553985,-54.6809518706558,-58.6771966697333,-62.6748277007794}</c:f>
              <c:numCache>
                <c:formatCode>General</c:formatCode>
                <c:ptCount val="61"/>
                <c:pt idx="0">
                  <c:v>-7.48916383128466e-9</c:v>
                </c:pt>
                <c:pt idx="1">
                  <c:v>-1.1869529741875e-8</c:v>
                </c:pt>
                <c:pt idx="2">
                  <c:v>-1.88119363022237e-8</c:v>
                </c:pt>
                <c:pt idx="3">
                  <c:v>-2.9814914655051e-8</c:v>
                </c:pt>
                <c:pt idx="4">
                  <c:v>-4.7253442335818e-8</c:v>
                </c:pt>
                <c:pt idx="5">
                  <c:v>-7.48916704262328e-8</c:v>
                </c:pt>
                <c:pt idx="6">
                  <c:v>-1.18695298148653e-7</c:v>
                </c:pt>
                <c:pt idx="7">
                  <c:v>-1.88119370641636e-7</c:v>
                </c:pt>
                <c:pt idx="8">
                  <c:v>-2.98149117404427e-7</c:v>
                </c:pt>
                <c:pt idx="9">
                  <c:v>-4.72534505322271e-7</c:v>
                </c:pt>
                <c:pt idx="10">
                  <c:v>-7.48916724641349e-7</c:v>
                </c:pt>
                <c:pt idx="11">
                  <c:v>-1.18695302940434e-6</c:v>
                </c:pt>
                <c:pt idx="12">
                  <c:v>-1.88119381357788e-6</c:v>
                </c:pt>
                <c:pt idx="13">
                  <c:v>-2.98149136360603e-6</c:v>
                </c:pt>
                <c:pt idx="14">
                  <c:v>-4.72534559190746e-6</c:v>
                </c:pt>
                <c:pt idx="15">
                  <c:v>-7.4891686411096e-6</c:v>
                </c:pt>
                <c:pt idx="16">
                  <c:v>-1.18695338572721e-5</c:v>
                </c:pt>
                <c:pt idx="17">
                  <c:v>-1.88119470785388e-5</c:v>
                </c:pt>
                <c:pt idx="18">
                  <c:v>-2.98149360667333e-5</c:v>
                </c:pt>
                <c:pt idx="19">
                  <c:v>-4.72535123556502e-5</c:v>
                </c:pt>
                <c:pt idx="20">
                  <c:v>-7.48918281848684e-5</c:v>
                </c:pt>
                <c:pt idx="21">
                  <c:v>-0.000118695694695573</c:v>
                </c:pt>
                <c:pt idx="22">
                  <c:v>-0.000188120365254545</c:v>
                </c:pt>
                <c:pt idx="23">
                  <c:v>-0.000298151607451219</c:v>
                </c:pt>
                <c:pt idx="24">
                  <c:v>-0.000472540766520506</c:v>
                </c:pt>
                <c:pt idx="25">
                  <c:v>-0.000748932453987774</c:v>
                </c:pt>
                <c:pt idx="26">
                  <c:v>-0.0011869925362411</c:v>
                </c:pt>
                <c:pt idx="27">
                  <c:v>-0.00188129301175159</c:v>
                </c:pt>
                <c:pt idx="28">
                  <c:v>-0.00298174038650731</c:v>
                </c:pt>
                <c:pt idx="29">
                  <c:v>-0.00472597052233683</c:v>
                </c:pt>
                <c:pt idx="30">
                  <c:v>-0.00749073602860421</c:v>
                </c:pt>
                <c:pt idx="31">
                  <c:v>-0.0118734615377196</c:v>
                </c:pt>
                <c:pt idx="32">
                  <c:v>-0.0188217755286713</c:v>
                </c:pt>
                <c:pt idx="33">
                  <c:v>-0.0298394753780958</c:v>
                </c:pt>
                <c:pt idx="34">
                  <c:v>-0.0473145629225367</c:v>
                </c:pt>
                <c:pt idx="35">
                  <c:v>-0.0750428490083025</c:v>
                </c:pt>
                <c:pt idx="36">
                  <c:v>-0.119065855898268</c:v>
                </c:pt>
                <c:pt idx="37">
                  <c:v>-0.189014193428492</c:v>
                </c:pt>
                <c:pt idx="38">
                  <c:v>-0.300257293813642</c:v>
                </c:pt>
                <c:pt idx="39">
                  <c:v>-0.477297537070047</c:v>
                </c:pt>
                <c:pt idx="40">
                  <c:v>-0.758900441898784</c:v>
                </c:pt>
                <c:pt idx="41">
                  <c:v>-1.20496895507733</c:v>
                </c:pt>
                <c:pt idx="42">
                  <c:v>-1.90293234962313</c:v>
                </c:pt>
                <c:pt idx="43">
                  <c:v>-2.96589630362218</c:v>
                </c:pt>
                <c:pt idx="44">
                  <c:v>-4.50924651332919</c:v>
                </c:pt>
                <c:pt idx="45">
                  <c:v>-6.60300380183973</c:v>
                </c:pt>
                <c:pt idx="46">
                  <c:v>-9.23194543788522</c:v>
                </c:pt>
                <c:pt idx="47">
                  <c:v>-12.3049479183149</c:v>
                </c:pt>
                <c:pt idx="48">
                  <c:v>-15.7030145958626</c:v>
                </c:pt>
                <c:pt idx="49">
                  <c:v>-19.3203930947519</c:v>
                </c:pt>
                <c:pt idx="50">
                  <c:v>-23.079332025124</c:v>
                </c:pt>
                <c:pt idx="51">
                  <c:v>-26.9278447238511</c:v>
                </c:pt>
                <c:pt idx="52">
                  <c:v>-30.8326419063735</c:v>
                </c:pt>
                <c:pt idx="53">
                  <c:v>-34.7727609922147</c:v>
                </c:pt>
                <c:pt idx="54">
                  <c:v>-38.7350633288456</c:v>
                </c:pt>
                <c:pt idx="55">
                  <c:v>-42.7113139463347</c:v>
                </c:pt>
                <c:pt idx="56">
                  <c:v>-46.696344175115</c:v>
                </c:pt>
                <c:pt idx="57">
                  <c:v>-50.6869050553985</c:v>
                </c:pt>
                <c:pt idx="58">
                  <c:v>-54.6809518706558</c:v>
                </c:pt>
                <c:pt idx="59">
                  <c:v>-58.6771966697333</c:v>
                </c:pt>
                <c:pt idx="60">
                  <c:v>-62.6748277007794</c:v>
                </c:pt>
              </c:numCache>
            </c:numRef>
          </c:yVal>
          <c:smooth val="1"/>
        </c:ser>
        <c:ser>
          <c:idx val="2"/>
          <c:order val="2"/>
          <c:tx>
            <c:strRef>
              <c:f>"4Ohm"</c:f>
              <c:strCache>
                <c:ptCount val="1"/>
                <c:pt idx="0">
                  <c:v>4Ohm</c:v>
                </c:pt>
              </c:strCache>
            </c:strRef>
          </c:tx>
          <c:spPr>
            <a:ln w="38100" cap="rnd" cmpd="sng" algn="ctr">
              <a:solidFill>
                <a:srgbClr val="0000FF"/>
              </a:solidFill>
              <a:prstDash val="solid"/>
              <a:round/>
            </a:ln>
          </c:spPr>
          <c:marker>
            <c:symbol val="none"/>
          </c:marker>
          <c:dLbls>
            <c:delete val="1"/>
          </c:dLbls>
          <c:xVal>
            <c:numRef>
              <c:f>{1.59154943091895,2.00364202271042,2.52243585852881,3.17555860192276,3.99779142060212,5.03292121044871,6.33607240739174,7.97664256463331,10.0419980254159,12.6421264993829,15.9154943091896,20.0364202271042,25.2243585852882,31.7555860192276,39.9779142060213,50.3292121044872,63.3607240739176,79.7664256463333,100.419980254159,126.421264993829,159.154943091896,200.364202271043,252.243585852882,317.555860192277,399.779142060214,503.292121044873,633.607240739177,797.664256463334,1004.19980254159,1264.2126499383,1591.54943091896,2003.64202271043,2522.43585852882,3175.55860192277,3997.79142060213,5032.92121044872,6336.07240739175,7976.64256463331,10041.9980254159,12642.1264993829,15915.4943091895,20036.4202271041,25224.358585288,31755.5860192275,39977.914206021,50329.2121044868,63360.724073917,79766.4256463325,100419.980254158,126421.264993828,159154.943091894,200364.20227104,252243.585852878,317555.860192272,399779.142060207,503292.121044864,633607.240739165,797664.256463318,1004199.80254157,1264212.64993827,1591549.43091893}</c:f>
              <c:numCache>
                <c:formatCode>General</c:formatCode>
                <c:ptCount val="61"/>
                <c:pt idx="0">
                  <c:v>1.59154943091895</c:v>
                </c:pt>
                <c:pt idx="1">
                  <c:v>2.00364202271042</c:v>
                </c:pt>
                <c:pt idx="2">
                  <c:v>2.52243585852881</c:v>
                </c:pt>
                <c:pt idx="3">
                  <c:v>3.17555860192276</c:v>
                </c:pt>
                <c:pt idx="4">
                  <c:v>3.99779142060212</c:v>
                </c:pt>
                <c:pt idx="5">
                  <c:v>5.03292121044871</c:v>
                </c:pt>
                <c:pt idx="6">
                  <c:v>6.33607240739174</c:v>
                </c:pt>
                <c:pt idx="7">
                  <c:v>7.97664256463331</c:v>
                </c:pt>
                <c:pt idx="8">
                  <c:v>10.0419980254159</c:v>
                </c:pt>
                <c:pt idx="9">
                  <c:v>12.6421264993829</c:v>
                </c:pt>
                <c:pt idx="10">
                  <c:v>15.9154943091896</c:v>
                </c:pt>
                <c:pt idx="11">
                  <c:v>20.0364202271042</c:v>
                </c:pt>
                <c:pt idx="12">
                  <c:v>25.2243585852882</c:v>
                </c:pt>
                <c:pt idx="13">
                  <c:v>31.7555860192276</c:v>
                </c:pt>
                <c:pt idx="14">
                  <c:v>39.9779142060213</c:v>
                </c:pt>
                <c:pt idx="15">
                  <c:v>50.3292121044872</c:v>
                </c:pt>
                <c:pt idx="16">
                  <c:v>63.3607240739176</c:v>
                </c:pt>
                <c:pt idx="17">
                  <c:v>79.7664256463333</c:v>
                </c:pt>
                <c:pt idx="18">
                  <c:v>100.419980254159</c:v>
                </c:pt>
                <c:pt idx="19">
                  <c:v>126.421264993829</c:v>
                </c:pt>
                <c:pt idx="20">
                  <c:v>159.154943091896</c:v>
                </c:pt>
                <c:pt idx="21">
                  <c:v>200.364202271043</c:v>
                </c:pt>
                <c:pt idx="22">
                  <c:v>252.243585852882</c:v>
                </c:pt>
                <c:pt idx="23">
                  <c:v>317.555860192277</c:v>
                </c:pt>
                <c:pt idx="24">
                  <c:v>399.779142060214</c:v>
                </c:pt>
                <c:pt idx="25">
                  <c:v>503.292121044873</c:v>
                </c:pt>
                <c:pt idx="26">
                  <c:v>633.607240739177</c:v>
                </c:pt>
                <c:pt idx="27">
                  <c:v>797.664256463334</c:v>
                </c:pt>
                <c:pt idx="28">
                  <c:v>1004.19980254159</c:v>
                </c:pt>
                <c:pt idx="29">
                  <c:v>1264.2126499383</c:v>
                </c:pt>
                <c:pt idx="30">
                  <c:v>1591.54943091896</c:v>
                </c:pt>
                <c:pt idx="31">
                  <c:v>2003.64202271043</c:v>
                </c:pt>
                <c:pt idx="32">
                  <c:v>2522.43585852882</c:v>
                </c:pt>
                <c:pt idx="33">
                  <c:v>3175.55860192277</c:v>
                </c:pt>
                <c:pt idx="34">
                  <c:v>3997.79142060213</c:v>
                </c:pt>
                <c:pt idx="35">
                  <c:v>5032.92121044872</c:v>
                </c:pt>
                <c:pt idx="36">
                  <c:v>6336.07240739175</c:v>
                </c:pt>
                <c:pt idx="37">
                  <c:v>7976.64256463331</c:v>
                </c:pt>
                <c:pt idx="38">
                  <c:v>10041.9980254159</c:v>
                </c:pt>
                <c:pt idx="39">
                  <c:v>12642.1264993829</c:v>
                </c:pt>
                <c:pt idx="40">
                  <c:v>15915.4943091895</c:v>
                </c:pt>
                <c:pt idx="41">
                  <c:v>20036.4202271041</c:v>
                </c:pt>
                <c:pt idx="42">
                  <c:v>25224.358585288</c:v>
                </c:pt>
                <c:pt idx="43">
                  <c:v>31755.5860192275</c:v>
                </c:pt>
                <c:pt idx="44">
                  <c:v>39977.914206021</c:v>
                </c:pt>
                <c:pt idx="45">
                  <c:v>50329.2121044868</c:v>
                </c:pt>
                <c:pt idx="46">
                  <c:v>63360.724073917</c:v>
                </c:pt>
                <c:pt idx="47">
                  <c:v>79766.4256463325</c:v>
                </c:pt>
                <c:pt idx="48">
                  <c:v>100419.980254158</c:v>
                </c:pt>
                <c:pt idx="49">
                  <c:v>126421.264993828</c:v>
                </c:pt>
                <c:pt idx="50">
                  <c:v>159154.943091894</c:v>
                </c:pt>
                <c:pt idx="51">
                  <c:v>200364.20227104</c:v>
                </c:pt>
                <c:pt idx="52">
                  <c:v>252243.585852878</c:v>
                </c:pt>
                <c:pt idx="53">
                  <c:v>317555.860192272</c:v>
                </c:pt>
                <c:pt idx="54">
                  <c:v>399779.142060207</c:v>
                </c:pt>
                <c:pt idx="55">
                  <c:v>503292.121044864</c:v>
                </c:pt>
                <c:pt idx="56">
                  <c:v>633607.240739165</c:v>
                </c:pt>
                <c:pt idx="57">
                  <c:v>797664.256463318</c:v>
                </c:pt>
                <c:pt idx="58">
                  <c:v>1004199.80254157</c:v>
                </c:pt>
                <c:pt idx="59">
                  <c:v>1264212.64993827</c:v>
                </c:pt>
                <c:pt idx="60">
                  <c:v>1591549.43091893</c:v>
                </c:pt>
              </c:numCache>
            </c:numRef>
          </c:xVal>
          <c:yVal>
            <c:numRef>
              <c:f>{9.55446010533782E-10,0.0000000015142834206,2.39997962532759E-09,3.8037029015146E-09,0.0000000060284661539,9.55447938715768E-09,1.51428245508117E-08,2.39997653649561E-08,3.80370501553933E-08,6.02846574933746E-08,9.5544706609159E-08,1.51428078455808E-07,2.39997158858475E-07,3.80369388939011E-07,6.0284368819573E-07,9.55439934848213E-07,1.51426290092208E-06,0.0000023999265010357,3.80358079958192E-06,6.02815284290823E-06,9.55368584304599E-06,0.0000151408367528244,0.0000239947631472503,0.0000380244998951589,0.0000602531236368859,0.0000954655081545441,0.000151229141366302,0.000239497425391103,0.000379114092133238,0.000599690366765532,0.000947518503977584,0.00149436262016385,0.00234992918599697,0.00367795350991936,0.0057124357143655,0.00876003640710859,0.0131449755552465,0.0189728500071557,0.0253800920076685,0.0283985340461235,0.015244402463975,-0.0500547252336069,-0.258956007941097,-0.81188205654638,-2.03448589420259,-4.19889691073562,-7.24055277323486,-10.834156099107,-14.6891344543638,-18.6478270370719,-22.6425098218696,-26.6474701074416,-30.6539017990205,-34.6592687951233,-38.6631742342184,-42.6658444706684,-46.6676111539993,-50.6687584096427,-54.6694952279348,-58.6699652810904,-62.6702639150105}</c:f>
              <c:numCache>
                <c:formatCode>General</c:formatCode>
                <c:ptCount val="61"/>
                <c:pt idx="0">
                  <c:v>9.55446010533782e-10</c:v>
                </c:pt>
                <c:pt idx="1">
                  <c:v>1.5142834206e-9</c:v>
                </c:pt>
                <c:pt idx="2">
                  <c:v>2.39997962532759e-9</c:v>
                </c:pt>
                <c:pt idx="3">
                  <c:v>3.8037029015146e-9</c:v>
                </c:pt>
                <c:pt idx="4">
                  <c:v>6.0284661539e-9</c:v>
                </c:pt>
                <c:pt idx="5">
                  <c:v>9.55447938715768e-9</c:v>
                </c:pt>
                <c:pt idx="6">
                  <c:v>1.51428245508117e-8</c:v>
                </c:pt>
                <c:pt idx="7">
                  <c:v>2.39997653649561e-8</c:v>
                </c:pt>
                <c:pt idx="8">
                  <c:v>3.80370501553933e-8</c:v>
                </c:pt>
                <c:pt idx="9">
                  <c:v>6.02846574933746e-8</c:v>
                </c:pt>
                <c:pt idx="10">
                  <c:v>9.5544706609159e-8</c:v>
                </c:pt>
                <c:pt idx="11">
                  <c:v>1.51428078455808e-7</c:v>
                </c:pt>
                <c:pt idx="12">
                  <c:v>2.39997158858475e-7</c:v>
                </c:pt>
                <c:pt idx="13">
                  <c:v>3.80369388939011e-7</c:v>
                </c:pt>
                <c:pt idx="14">
                  <c:v>6.0284368819573e-7</c:v>
                </c:pt>
                <c:pt idx="15">
                  <c:v>9.55439934848213e-7</c:v>
                </c:pt>
                <c:pt idx="16">
                  <c:v>1.51426290092208e-6</c:v>
                </c:pt>
                <c:pt idx="17">
                  <c:v>2.3999265010357e-6</c:v>
                </c:pt>
                <c:pt idx="18">
                  <c:v>3.80358079958192e-6</c:v>
                </c:pt>
                <c:pt idx="19">
                  <c:v>6.02815284290823e-6</c:v>
                </c:pt>
                <c:pt idx="20">
                  <c:v>9.55368584304599e-6</c:v>
                </c:pt>
                <c:pt idx="21">
                  <c:v>1.51408367528244e-5</c:v>
                </c:pt>
                <c:pt idx="22">
                  <c:v>2.39947631472503e-5</c:v>
                </c:pt>
                <c:pt idx="23">
                  <c:v>3.80244998951589e-5</c:v>
                </c:pt>
                <c:pt idx="24">
                  <c:v>6.02531236368859e-5</c:v>
                </c:pt>
                <c:pt idx="25">
                  <c:v>9.54655081545441e-5</c:v>
                </c:pt>
                <c:pt idx="26">
                  <c:v>0.000151229141366302</c:v>
                </c:pt>
                <c:pt idx="27">
                  <c:v>0.000239497425391103</c:v>
                </c:pt>
                <c:pt idx="28">
                  <c:v>0.000379114092133238</c:v>
                </c:pt>
                <c:pt idx="29">
                  <c:v>0.000599690366765532</c:v>
                </c:pt>
                <c:pt idx="30">
                  <c:v>0.000947518503977584</c:v>
                </c:pt>
                <c:pt idx="31">
                  <c:v>0.00149436262016385</c:v>
                </c:pt>
                <c:pt idx="32">
                  <c:v>0.00234992918599697</c:v>
                </c:pt>
                <c:pt idx="33">
                  <c:v>0.00367795350991936</c:v>
                </c:pt>
                <c:pt idx="34">
                  <c:v>0.0057124357143655</c:v>
                </c:pt>
                <c:pt idx="35">
                  <c:v>0.00876003640710859</c:v>
                </c:pt>
                <c:pt idx="36">
                  <c:v>0.0131449755552465</c:v>
                </c:pt>
                <c:pt idx="37">
                  <c:v>0.0189728500071557</c:v>
                </c:pt>
                <c:pt idx="38">
                  <c:v>0.0253800920076685</c:v>
                </c:pt>
                <c:pt idx="39">
                  <c:v>0.0283985340461235</c:v>
                </c:pt>
                <c:pt idx="40">
                  <c:v>0.015244402463975</c:v>
                </c:pt>
                <c:pt idx="41">
                  <c:v>-0.0500547252336069</c:v>
                </c:pt>
                <c:pt idx="42">
                  <c:v>-0.258956007941097</c:v>
                </c:pt>
                <c:pt idx="43">
                  <c:v>-0.81188205654638</c:v>
                </c:pt>
                <c:pt idx="44">
                  <c:v>-2.03448589420259</c:v>
                </c:pt>
                <c:pt idx="45">
                  <c:v>-4.19889691073562</c:v>
                </c:pt>
                <c:pt idx="46">
                  <c:v>-7.24055277323486</c:v>
                </c:pt>
                <c:pt idx="47">
                  <c:v>-10.834156099107</c:v>
                </c:pt>
                <c:pt idx="48">
                  <c:v>-14.6891344543638</c:v>
                </c:pt>
                <c:pt idx="49">
                  <c:v>-18.6478270370719</c:v>
                </c:pt>
                <c:pt idx="50">
                  <c:v>-22.6425098218696</c:v>
                </c:pt>
                <c:pt idx="51">
                  <c:v>-26.6474701074416</c:v>
                </c:pt>
                <c:pt idx="52">
                  <c:v>-30.6539017990205</c:v>
                </c:pt>
                <c:pt idx="53">
                  <c:v>-34.6592687951233</c:v>
                </c:pt>
                <c:pt idx="54">
                  <c:v>-38.6631742342184</c:v>
                </c:pt>
                <c:pt idx="55">
                  <c:v>-42.6658444706684</c:v>
                </c:pt>
                <c:pt idx="56">
                  <c:v>-46.6676111539993</c:v>
                </c:pt>
                <c:pt idx="57">
                  <c:v>-50.6687584096427</c:v>
                </c:pt>
                <c:pt idx="58">
                  <c:v>-54.6694952279348</c:v>
                </c:pt>
                <c:pt idx="59">
                  <c:v>-58.6699652810904</c:v>
                </c:pt>
                <c:pt idx="60">
                  <c:v>-62.6702639150105</c:v>
                </c:pt>
              </c:numCache>
            </c:numRef>
          </c:yVal>
          <c:smooth val="1"/>
        </c:ser>
        <c:ser>
          <c:idx val="3"/>
          <c:order val="3"/>
          <c:tx>
            <c:strRef>
              <c:f>"6Ohm"</c:f>
              <c:strCache>
                <c:ptCount val="1"/>
                <c:pt idx="0">
                  <c:v>6Ohm</c:v>
                </c:pt>
              </c:strCache>
            </c:strRef>
          </c:tx>
          <c:spPr>
            <a:ln w="38100" cap="rnd" cmpd="sng" algn="ctr">
              <a:solidFill>
                <a:srgbClr val="FFCC99"/>
              </a:solidFill>
              <a:prstDash val="solid"/>
              <a:round/>
            </a:ln>
          </c:spPr>
          <c:marker>
            <c:symbol val="none"/>
          </c:marker>
          <c:dLbls>
            <c:delete val="1"/>
          </c:dLbls>
          <c:xVal>
            <c:numRef>
              <c:f>{1.59154943091895,2.00364202271042,2.52243585852881,3.17555860192276,3.99779142060212,5.03292121044871,6.33607240739174,7.97664256463331,10.0419980254159,12.6421264993829,15.9154943091896,20.0364202271042,25.2243585852882,31.7555860192276,39.9779142060213,50.3292121044872,63.3607240739176,79.7664256463333,100.419980254159,126.421264993829,159.154943091896,200.364202271043,252.243585852882,317.555860192277,399.779142060214,503.292121044873,633.607240739177,797.664256463334,1004.19980254159,1264.2126499383,1591.54943091896,2003.64202271043,2522.43585852882,3175.55860192277,3997.79142060213,5032.92121044872,6336.07240739175,7976.64256463331,10041.9980254159,12642.1264993829,15915.4943091895,20036.4202271041,25224.358585288,31755.5860192275,39977.914206021,50329.2121044868,63360.724073917,79766.4256463325,100419.980254158,126421.264993828,159154.943091894,200364.20227104,252243.585852878,317555.860192272,399779.142060207,503292.121044864,633607.240739165,797664.256463318,1004199.80254157,1264212.64993827,1591549.43091893}</c:f>
              <c:numCache>
                <c:formatCode>General</c:formatCode>
                <c:ptCount val="61"/>
                <c:pt idx="0">
                  <c:v>1.59154943091895</c:v>
                </c:pt>
                <c:pt idx="1">
                  <c:v>2.00364202271042</c:v>
                </c:pt>
                <c:pt idx="2">
                  <c:v>2.52243585852881</c:v>
                </c:pt>
                <c:pt idx="3">
                  <c:v>3.17555860192276</c:v>
                </c:pt>
                <c:pt idx="4">
                  <c:v>3.99779142060212</c:v>
                </c:pt>
                <c:pt idx="5">
                  <c:v>5.03292121044871</c:v>
                </c:pt>
                <c:pt idx="6">
                  <c:v>6.33607240739174</c:v>
                </c:pt>
                <c:pt idx="7">
                  <c:v>7.97664256463331</c:v>
                </c:pt>
                <c:pt idx="8">
                  <c:v>10.0419980254159</c:v>
                </c:pt>
                <c:pt idx="9">
                  <c:v>12.6421264993829</c:v>
                </c:pt>
                <c:pt idx="10">
                  <c:v>15.9154943091896</c:v>
                </c:pt>
                <c:pt idx="11">
                  <c:v>20.0364202271042</c:v>
                </c:pt>
                <c:pt idx="12">
                  <c:v>25.2243585852882</c:v>
                </c:pt>
                <c:pt idx="13">
                  <c:v>31.7555860192276</c:v>
                </c:pt>
                <c:pt idx="14">
                  <c:v>39.9779142060213</c:v>
                </c:pt>
                <c:pt idx="15">
                  <c:v>50.3292121044872</c:v>
                </c:pt>
                <c:pt idx="16">
                  <c:v>63.3607240739176</c:v>
                </c:pt>
                <c:pt idx="17">
                  <c:v>79.7664256463333</c:v>
                </c:pt>
                <c:pt idx="18">
                  <c:v>100.419980254159</c:v>
                </c:pt>
                <c:pt idx="19">
                  <c:v>126.421264993829</c:v>
                </c:pt>
                <c:pt idx="20">
                  <c:v>159.154943091896</c:v>
                </c:pt>
                <c:pt idx="21">
                  <c:v>200.364202271043</c:v>
                </c:pt>
                <c:pt idx="22">
                  <c:v>252.243585852882</c:v>
                </c:pt>
                <c:pt idx="23">
                  <c:v>317.555860192277</c:v>
                </c:pt>
                <c:pt idx="24">
                  <c:v>399.779142060214</c:v>
                </c:pt>
                <c:pt idx="25">
                  <c:v>503.292121044873</c:v>
                </c:pt>
                <c:pt idx="26">
                  <c:v>633.607240739177</c:v>
                </c:pt>
                <c:pt idx="27">
                  <c:v>797.664256463334</c:v>
                </c:pt>
                <c:pt idx="28">
                  <c:v>1004.19980254159</c:v>
                </c:pt>
                <c:pt idx="29">
                  <c:v>1264.2126499383</c:v>
                </c:pt>
                <c:pt idx="30">
                  <c:v>1591.54943091896</c:v>
                </c:pt>
                <c:pt idx="31">
                  <c:v>2003.64202271043</c:v>
                </c:pt>
                <c:pt idx="32">
                  <c:v>2522.43585852882</c:v>
                </c:pt>
                <c:pt idx="33">
                  <c:v>3175.55860192277</c:v>
                </c:pt>
                <c:pt idx="34">
                  <c:v>3997.79142060213</c:v>
                </c:pt>
                <c:pt idx="35">
                  <c:v>5032.92121044872</c:v>
                </c:pt>
                <c:pt idx="36">
                  <c:v>6336.07240739175</c:v>
                </c:pt>
                <c:pt idx="37">
                  <c:v>7976.64256463331</c:v>
                </c:pt>
                <c:pt idx="38">
                  <c:v>10041.9980254159</c:v>
                </c:pt>
                <c:pt idx="39">
                  <c:v>12642.1264993829</c:v>
                </c:pt>
                <c:pt idx="40">
                  <c:v>15915.4943091895</c:v>
                </c:pt>
                <c:pt idx="41">
                  <c:v>20036.4202271041</c:v>
                </c:pt>
                <c:pt idx="42">
                  <c:v>25224.358585288</c:v>
                </c:pt>
                <c:pt idx="43">
                  <c:v>31755.5860192275</c:v>
                </c:pt>
                <c:pt idx="44">
                  <c:v>39977.914206021</c:v>
                </c:pt>
                <c:pt idx="45">
                  <c:v>50329.2121044868</c:v>
                </c:pt>
                <c:pt idx="46">
                  <c:v>63360.724073917</c:v>
                </c:pt>
                <c:pt idx="47">
                  <c:v>79766.4256463325</c:v>
                </c:pt>
                <c:pt idx="48">
                  <c:v>100419.980254158</c:v>
                </c:pt>
                <c:pt idx="49">
                  <c:v>126421.264993828</c:v>
                </c:pt>
                <c:pt idx="50">
                  <c:v>159154.943091894</c:v>
                </c:pt>
                <c:pt idx="51">
                  <c:v>200364.20227104</c:v>
                </c:pt>
                <c:pt idx="52">
                  <c:v>252243.585852878</c:v>
                </c:pt>
                <c:pt idx="53">
                  <c:v>317555.860192272</c:v>
                </c:pt>
                <c:pt idx="54">
                  <c:v>399779.142060207</c:v>
                </c:pt>
                <c:pt idx="55">
                  <c:v>503292.121044864</c:v>
                </c:pt>
                <c:pt idx="56">
                  <c:v>633607.240739165</c:v>
                </c:pt>
                <c:pt idx="57">
                  <c:v>797664.256463318</c:v>
                </c:pt>
                <c:pt idx="58">
                  <c:v>1004199.80254157</c:v>
                </c:pt>
                <c:pt idx="59">
                  <c:v>1264212.64993827</c:v>
                </c:pt>
                <c:pt idx="60">
                  <c:v>1591549.43091893</c:v>
                </c:pt>
              </c:numCache>
            </c:numRef>
          </c:xVal>
          <c:yVal>
            <c:numRef>
              <c:f>{0.000000006987325883,1.10741283241057E-08,1.75513365413621E-08,2.78169649831394E-08,4.40869571396729E-08,6.98731660015852E-08,1.10741465827917E-07,1.75513471822347E-07,2.78170018052954E-07,4.4086979083691E-07,6.98731505501894E-07,1.10741480882401E-06,1.75513418061226E-06,2.78170007280097E-06,4.40869721576455E-06,6.98731325464337E-06,0.0000110741430094993,0.0000175513281976843,0.0000278169665027751,0.0000440868853389848,0.0000698729154604766,0.000110740884440851,0.000175511912212388,0.000278166223961445,0.000440860210393354,0.000698707441487247,0.00110735429377193,0.00175498205717741,0.00278131778861603,0.00440773624757512,0.00698489696007316,0.0110680633665928,0.0175360164414098,0.0277783436182882,0.0439892241944414,0.0696250205974045,0.110107839708068,0.173879989683802,0.273897280160005,0.429440161899535,0.667116265511264,1.01566558998909,1.47174139844715,1.85331874106914,1.41945027598301,-0.936706715425103,-4.90810504181195,-9.35952460145533,-13.7856290976531,-18.0944186449845,-22.3011952747524,-26.4355072111507,-30.5215708639941,-34.5763478225595,-38.6110864144735,-42.6330723198428,-46.6469705538509,-50.655749939183,-54.661293368528,-58.664792621555,-62.6670011292939}</c:f>
              <c:numCache>
                <c:formatCode>General</c:formatCode>
                <c:ptCount val="61"/>
                <c:pt idx="0">
                  <c:v>6.987325883e-9</c:v>
                </c:pt>
                <c:pt idx="1">
                  <c:v>1.10741283241057e-8</c:v>
                </c:pt>
                <c:pt idx="2">
                  <c:v>1.75513365413621e-8</c:v>
                </c:pt>
                <c:pt idx="3">
                  <c:v>2.78169649831394e-8</c:v>
                </c:pt>
                <c:pt idx="4">
                  <c:v>4.40869571396729e-8</c:v>
                </c:pt>
                <c:pt idx="5">
                  <c:v>6.98731660015852e-8</c:v>
                </c:pt>
                <c:pt idx="6">
                  <c:v>1.10741465827917e-7</c:v>
                </c:pt>
                <c:pt idx="7">
                  <c:v>1.75513471822347e-7</c:v>
                </c:pt>
                <c:pt idx="8">
                  <c:v>2.78170018052954e-7</c:v>
                </c:pt>
                <c:pt idx="9">
                  <c:v>4.4086979083691e-7</c:v>
                </c:pt>
                <c:pt idx="10">
                  <c:v>6.98731505501894e-7</c:v>
                </c:pt>
                <c:pt idx="11">
                  <c:v>1.10741480882401e-6</c:v>
                </c:pt>
                <c:pt idx="12">
                  <c:v>1.75513418061226e-6</c:v>
                </c:pt>
                <c:pt idx="13">
                  <c:v>2.78170007280097e-6</c:v>
                </c:pt>
                <c:pt idx="14">
                  <c:v>4.40869721576455e-6</c:v>
                </c:pt>
                <c:pt idx="15">
                  <c:v>6.98731325464337e-6</c:v>
                </c:pt>
                <c:pt idx="16">
                  <c:v>1.10741430094993e-5</c:v>
                </c:pt>
                <c:pt idx="17">
                  <c:v>1.75513281976843e-5</c:v>
                </c:pt>
                <c:pt idx="18">
                  <c:v>2.78169665027751e-5</c:v>
                </c:pt>
                <c:pt idx="19">
                  <c:v>4.40868853389848e-5</c:v>
                </c:pt>
                <c:pt idx="20">
                  <c:v>6.98729154604766e-5</c:v>
                </c:pt>
                <c:pt idx="21">
                  <c:v>0.000110740884440851</c:v>
                </c:pt>
                <c:pt idx="22">
                  <c:v>0.000175511912212388</c:v>
                </c:pt>
                <c:pt idx="23">
                  <c:v>0.000278166223961445</c:v>
                </c:pt>
                <c:pt idx="24">
                  <c:v>0.000440860210393354</c:v>
                </c:pt>
                <c:pt idx="25">
                  <c:v>0.000698707441487247</c:v>
                </c:pt>
                <c:pt idx="26">
                  <c:v>0.00110735429377193</c:v>
                </c:pt>
                <c:pt idx="27">
                  <c:v>0.00175498205717741</c:v>
                </c:pt>
                <c:pt idx="28">
                  <c:v>0.00278131778861603</c:v>
                </c:pt>
                <c:pt idx="29">
                  <c:v>0.00440773624757512</c:v>
                </c:pt>
                <c:pt idx="30">
                  <c:v>0.00698489696007316</c:v>
                </c:pt>
                <c:pt idx="31">
                  <c:v>0.0110680633665928</c:v>
                </c:pt>
                <c:pt idx="32">
                  <c:v>0.0175360164414098</c:v>
                </c:pt>
                <c:pt idx="33">
                  <c:v>0.0277783436182882</c:v>
                </c:pt>
                <c:pt idx="34">
                  <c:v>0.0439892241944414</c:v>
                </c:pt>
                <c:pt idx="35">
                  <c:v>0.0696250205974045</c:v>
                </c:pt>
                <c:pt idx="36">
                  <c:v>0.110107839708068</c:v>
                </c:pt>
                <c:pt idx="37">
                  <c:v>0.173879989683802</c:v>
                </c:pt>
                <c:pt idx="38">
                  <c:v>0.273897280160005</c:v>
                </c:pt>
                <c:pt idx="39">
                  <c:v>0.429440161899535</c:v>
                </c:pt>
                <c:pt idx="40">
                  <c:v>0.667116265511264</c:v>
                </c:pt>
                <c:pt idx="41">
                  <c:v>1.01566558998909</c:v>
                </c:pt>
                <c:pt idx="42">
                  <c:v>1.47174139844715</c:v>
                </c:pt>
                <c:pt idx="43">
                  <c:v>1.85331874106914</c:v>
                </c:pt>
                <c:pt idx="44">
                  <c:v>1.41945027598301</c:v>
                </c:pt>
                <c:pt idx="45">
                  <c:v>-0.936706715425103</c:v>
                </c:pt>
                <c:pt idx="46">
                  <c:v>-4.90810504181195</c:v>
                </c:pt>
                <c:pt idx="47">
                  <c:v>-9.35952460145533</c:v>
                </c:pt>
                <c:pt idx="48">
                  <c:v>-13.7856290976531</c:v>
                </c:pt>
                <c:pt idx="49">
                  <c:v>-18.0944186449845</c:v>
                </c:pt>
                <c:pt idx="50">
                  <c:v>-22.3011952747524</c:v>
                </c:pt>
                <c:pt idx="51">
                  <c:v>-26.4355072111507</c:v>
                </c:pt>
                <c:pt idx="52">
                  <c:v>-30.5215708639941</c:v>
                </c:pt>
                <c:pt idx="53">
                  <c:v>-34.5763478225595</c:v>
                </c:pt>
                <c:pt idx="54">
                  <c:v>-38.6110864144735</c:v>
                </c:pt>
                <c:pt idx="55">
                  <c:v>-42.6330723198428</c:v>
                </c:pt>
                <c:pt idx="56">
                  <c:v>-46.6469705538509</c:v>
                </c:pt>
                <c:pt idx="57">
                  <c:v>-50.655749939183</c:v>
                </c:pt>
                <c:pt idx="58">
                  <c:v>-54.661293368528</c:v>
                </c:pt>
                <c:pt idx="59">
                  <c:v>-58.664792621555</c:v>
                </c:pt>
                <c:pt idx="60">
                  <c:v>-62.6670011292939</c:v>
                </c:pt>
              </c:numCache>
            </c:numRef>
          </c:yVal>
          <c:smooth val="1"/>
        </c:ser>
        <c:ser>
          <c:idx val="4"/>
          <c:order val="4"/>
          <c:tx>
            <c:strRef>
              <c:f>"8Ohm"</c:f>
              <c:strCache>
                <c:ptCount val="1"/>
                <c:pt idx="0">
                  <c:v>8Ohm</c:v>
                </c:pt>
              </c:strCache>
            </c:strRef>
          </c:tx>
          <c:spPr>
            <a:ln w="38100" cap="rnd" cmpd="sng" algn="ctr">
              <a:solidFill>
                <a:srgbClr val="000000"/>
              </a:solidFill>
              <a:prstDash val="solid"/>
              <a:round/>
            </a:ln>
          </c:spPr>
          <c:marker>
            <c:symbol val="none"/>
          </c:marker>
          <c:dLbls>
            <c:delete val="1"/>
          </c:dLbls>
          <c:xVal>
            <c:numRef>
              <c:f>{1.59154943091895,2.00364202271042,2.52243585852881,3.17555860192276,3.99779142060212,5.03292121044871,6.33607240739174,7.97664256463331,10.0419980254159,12.6421264993829,15.9154943091896,20.0364202271042,25.2243585852882,31.7555860192276,39.9779142060213,50.3292121044872,63.3607240739176,79.7664256463333,100.419980254159,126.421264993829,159.154943091896,200.364202271043,252.243585852882,317.555860192277,399.779142060214,503.292121044873,633.607240739177,797.664256463334,1004.19980254159,1264.2126499383,1591.54943091896,2003.64202271043,2522.43585852882,3175.55860192277,3997.79142060213,5032.92121044872,6336.07240739175,7976.64256463331,10041.9980254159,12642.1264993829,15915.4943091895,20036.4202271041,25224.358585288,31755.5860192275,39977.914206021,50329.2121044868,63360.724073917,79766.4256463325,100419.980254158,126421.264993828,159154.943091894,200364.20227104,252243.585852878,317555.860192272,399779.142060207,503292.121044864,633607.240739165,797664.256463318,1004199.80254157,1264212.64993827,1591549.43091893}</c:f>
              <c:numCache>
                <c:formatCode>General</c:formatCode>
                <c:ptCount val="61"/>
                <c:pt idx="0">
                  <c:v>1.59154943091895</c:v>
                </c:pt>
                <c:pt idx="1">
                  <c:v>2.00364202271042</c:v>
                </c:pt>
                <c:pt idx="2">
                  <c:v>2.52243585852881</c:v>
                </c:pt>
                <c:pt idx="3">
                  <c:v>3.17555860192276</c:v>
                </c:pt>
                <c:pt idx="4">
                  <c:v>3.99779142060212</c:v>
                </c:pt>
                <c:pt idx="5">
                  <c:v>5.03292121044871</c:v>
                </c:pt>
                <c:pt idx="6">
                  <c:v>6.33607240739174</c:v>
                </c:pt>
                <c:pt idx="7">
                  <c:v>7.97664256463331</c:v>
                </c:pt>
                <c:pt idx="8">
                  <c:v>10.0419980254159</c:v>
                </c:pt>
                <c:pt idx="9">
                  <c:v>12.6421264993829</c:v>
                </c:pt>
                <c:pt idx="10">
                  <c:v>15.9154943091896</c:v>
                </c:pt>
                <c:pt idx="11">
                  <c:v>20.0364202271042</c:v>
                </c:pt>
                <c:pt idx="12">
                  <c:v>25.2243585852882</c:v>
                </c:pt>
                <c:pt idx="13">
                  <c:v>31.7555860192276</c:v>
                </c:pt>
                <c:pt idx="14">
                  <c:v>39.9779142060213</c:v>
                </c:pt>
                <c:pt idx="15">
                  <c:v>50.3292121044872</c:v>
                </c:pt>
                <c:pt idx="16">
                  <c:v>63.3607240739176</c:v>
                </c:pt>
                <c:pt idx="17">
                  <c:v>79.7664256463333</c:v>
                </c:pt>
                <c:pt idx="18">
                  <c:v>100.419980254159</c:v>
                </c:pt>
                <c:pt idx="19">
                  <c:v>126.421264993829</c:v>
                </c:pt>
                <c:pt idx="20">
                  <c:v>159.154943091896</c:v>
                </c:pt>
                <c:pt idx="21">
                  <c:v>200.364202271043</c:v>
                </c:pt>
                <c:pt idx="22">
                  <c:v>252.243585852882</c:v>
                </c:pt>
                <c:pt idx="23">
                  <c:v>317.555860192277</c:v>
                </c:pt>
                <c:pt idx="24">
                  <c:v>399.779142060214</c:v>
                </c:pt>
                <c:pt idx="25">
                  <c:v>503.292121044873</c:v>
                </c:pt>
                <c:pt idx="26">
                  <c:v>633.607240739177</c:v>
                </c:pt>
                <c:pt idx="27">
                  <c:v>797.664256463334</c:v>
                </c:pt>
                <c:pt idx="28">
                  <c:v>1004.19980254159</c:v>
                </c:pt>
                <c:pt idx="29">
                  <c:v>1264.2126499383</c:v>
                </c:pt>
                <c:pt idx="30">
                  <c:v>1591.54943091896</c:v>
                </c:pt>
                <c:pt idx="31">
                  <c:v>2003.64202271043</c:v>
                </c:pt>
                <c:pt idx="32">
                  <c:v>2522.43585852882</c:v>
                </c:pt>
                <c:pt idx="33">
                  <c:v>3175.55860192277</c:v>
                </c:pt>
                <c:pt idx="34">
                  <c:v>3997.79142060213</c:v>
                </c:pt>
                <c:pt idx="35">
                  <c:v>5032.92121044872</c:v>
                </c:pt>
                <c:pt idx="36">
                  <c:v>6336.07240739175</c:v>
                </c:pt>
                <c:pt idx="37">
                  <c:v>7976.64256463331</c:v>
                </c:pt>
                <c:pt idx="38">
                  <c:v>10041.9980254159</c:v>
                </c:pt>
                <c:pt idx="39">
                  <c:v>12642.1264993829</c:v>
                </c:pt>
                <c:pt idx="40">
                  <c:v>15915.4943091895</c:v>
                </c:pt>
                <c:pt idx="41">
                  <c:v>20036.4202271041</c:v>
                </c:pt>
                <c:pt idx="42">
                  <c:v>25224.358585288</c:v>
                </c:pt>
                <c:pt idx="43">
                  <c:v>31755.5860192275</c:v>
                </c:pt>
                <c:pt idx="44">
                  <c:v>39977.914206021</c:v>
                </c:pt>
                <c:pt idx="45">
                  <c:v>50329.2121044868</c:v>
                </c:pt>
                <c:pt idx="46">
                  <c:v>63360.724073917</c:v>
                </c:pt>
                <c:pt idx="47">
                  <c:v>79766.4256463325</c:v>
                </c:pt>
                <c:pt idx="48">
                  <c:v>100419.980254158</c:v>
                </c:pt>
                <c:pt idx="49">
                  <c:v>126421.264993828</c:v>
                </c:pt>
                <c:pt idx="50">
                  <c:v>159154.943091894</c:v>
                </c:pt>
                <c:pt idx="51">
                  <c:v>200364.20227104</c:v>
                </c:pt>
                <c:pt idx="52">
                  <c:v>252243.585852878</c:v>
                </c:pt>
                <c:pt idx="53">
                  <c:v>317555.860192272</c:v>
                </c:pt>
                <c:pt idx="54">
                  <c:v>399779.142060207</c:v>
                </c:pt>
                <c:pt idx="55">
                  <c:v>503292.121044864</c:v>
                </c:pt>
                <c:pt idx="56">
                  <c:v>633607.240739165</c:v>
                </c:pt>
                <c:pt idx="57">
                  <c:v>797664.256463318</c:v>
                </c:pt>
                <c:pt idx="58">
                  <c:v>1004199.80254157</c:v>
                </c:pt>
                <c:pt idx="59">
                  <c:v>1264212.64993827</c:v>
                </c:pt>
                <c:pt idx="60">
                  <c:v>1591549.43091893</c:v>
                </c:pt>
              </c:numCache>
            </c:numRef>
          </c:xVal>
          <c:yVal>
            <c:numRef>
              <c:f>{9.09847014391854E-09,1.44201324760924E-08,2.28543526325129E-08,3.62216786348527E-08,5.74074900836587E-08,9.09846932956865E-08,0.0000001442009784544,2.28543263250668E-07,0.0000003622166233302,5.74074582892436E-07,9.09846980715731E-07,1.44201024191029E-06,2.28543224811159E-06,3.62216613409939E-06,5.74074664227711E-06,9.09847089159577E-06,0.0000144201059856836,0.0000228543312511747,0.0000362216827843353,0.0000574075205304994,0.0000909848437447771,0.000144201398285368,0.000228544163352192,0.00036221896461477,0.000574080571407991,0.000909861915420407,0.00144204783316247,0.00228552663990392,0.00362240309227651,0.0057413415432569,0.00909996380754405,0.0144238508056129,0.0228637171370565,0.0362451760841903,0.0574662002320995,0.0911309002688438,0.144562839706351,0.229429775266687,0.364350577370695,0.579036941248024,0.920536257081534,1.46043522090409,2.288082946184,3.38085780365041,3.82492872897231,1.22283199135031,-3.66541350405954,-8.69688367313446,-13.4190594339244,-17.8827690219023,-22.1751026429401,-26.3588066534432,-30.4742857015001,-34.5469473526952,-38.5927070766441,-42.6215433913335,-46.6397231055529,-50.651187753528,-54.6584190543961,-58.6629807342243,-62.6658585749317}</c:f>
              <c:numCache>
                <c:formatCode>General</c:formatCode>
                <c:ptCount val="61"/>
                <c:pt idx="0">
                  <c:v>9.09847014391854e-9</c:v>
                </c:pt>
                <c:pt idx="1">
                  <c:v>1.44201324760924e-8</c:v>
                </c:pt>
                <c:pt idx="2">
                  <c:v>2.28543526325129e-8</c:v>
                </c:pt>
                <c:pt idx="3">
                  <c:v>3.62216786348527e-8</c:v>
                </c:pt>
                <c:pt idx="4">
                  <c:v>5.74074900836587e-8</c:v>
                </c:pt>
                <c:pt idx="5">
                  <c:v>9.09846932956865e-8</c:v>
                </c:pt>
                <c:pt idx="6">
                  <c:v>1.442009784544e-7</c:v>
                </c:pt>
                <c:pt idx="7">
                  <c:v>2.28543263250668e-7</c:v>
                </c:pt>
                <c:pt idx="8">
                  <c:v>3.622166233302e-7</c:v>
                </c:pt>
                <c:pt idx="9">
                  <c:v>5.74074582892436e-7</c:v>
                </c:pt>
                <c:pt idx="10">
                  <c:v>9.09846980715731e-7</c:v>
                </c:pt>
                <c:pt idx="11">
                  <c:v>1.44201024191029e-6</c:v>
                </c:pt>
                <c:pt idx="12">
                  <c:v>2.28543224811159e-6</c:v>
                </c:pt>
                <c:pt idx="13">
                  <c:v>3.62216613409939e-6</c:v>
                </c:pt>
                <c:pt idx="14">
                  <c:v>5.74074664227711e-6</c:v>
                </c:pt>
                <c:pt idx="15">
                  <c:v>9.09847089159577e-6</c:v>
                </c:pt>
                <c:pt idx="16">
                  <c:v>1.44201059856836e-5</c:v>
                </c:pt>
                <c:pt idx="17">
                  <c:v>2.28543312511747e-5</c:v>
                </c:pt>
                <c:pt idx="18">
                  <c:v>3.62216827843353e-5</c:v>
                </c:pt>
                <c:pt idx="19">
                  <c:v>5.74075205304994e-5</c:v>
                </c:pt>
                <c:pt idx="20">
                  <c:v>9.09848437447771e-5</c:v>
                </c:pt>
                <c:pt idx="21">
                  <c:v>0.000144201398285368</c:v>
                </c:pt>
                <c:pt idx="22">
                  <c:v>0.000228544163352192</c:v>
                </c:pt>
                <c:pt idx="23">
                  <c:v>0.00036221896461477</c:v>
                </c:pt>
                <c:pt idx="24">
                  <c:v>0.000574080571407991</c:v>
                </c:pt>
                <c:pt idx="25">
                  <c:v>0.000909861915420407</c:v>
                </c:pt>
                <c:pt idx="26">
                  <c:v>0.00144204783316247</c:v>
                </c:pt>
                <c:pt idx="27">
                  <c:v>0.00228552663990392</c:v>
                </c:pt>
                <c:pt idx="28">
                  <c:v>0.00362240309227651</c:v>
                </c:pt>
                <c:pt idx="29">
                  <c:v>0.0057413415432569</c:v>
                </c:pt>
                <c:pt idx="30">
                  <c:v>0.00909996380754405</c:v>
                </c:pt>
                <c:pt idx="31">
                  <c:v>0.0144238508056129</c:v>
                </c:pt>
                <c:pt idx="32">
                  <c:v>0.0228637171370565</c:v>
                </c:pt>
                <c:pt idx="33">
                  <c:v>0.0362451760841903</c:v>
                </c:pt>
                <c:pt idx="34">
                  <c:v>0.0574662002320995</c:v>
                </c:pt>
                <c:pt idx="35">
                  <c:v>0.0911309002688438</c:v>
                </c:pt>
                <c:pt idx="36">
                  <c:v>0.144562839706351</c:v>
                </c:pt>
                <c:pt idx="37">
                  <c:v>0.229429775266687</c:v>
                </c:pt>
                <c:pt idx="38">
                  <c:v>0.364350577370695</c:v>
                </c:pt>
                <c:pt idx="39">
                  <c:v>0.579036941248024</c:v>
                </c:pt>
                <c:pt idx="40">
                  <c:v>0.920536257081534</c:v>
                </c:pt>
                <c:pt idx="41">
                  <c:v>1.46043522090409</c:v>
                </c:pt>
                <c:pt idx="42">
                  <c:v>2.288082946184</c:v>
                </c:pt>
                <c:pt idx="43">
                  <c:v>3.38085780365041</c:v>
                </c:pt>
                <c:pt idx="44">
                  <c:v>3.82492872897231</c:v>
                </c:pt>
                <c:pt idx="45">
                  <c:v>1.22283199135031</c:v>
                </c:pt>
                <c:pt idx="46">
                  <c:v>-3.66541350405954</c:v>
                </c:pt>
                <c:pt idx="47">
                  <c:v>-8.69688367313446</c:v>
                </c:pt>
                <c:pt idx="48">
                  <c:v>-13.4190594339244</c:v>
                </c:pt>
                <c:pt idx="49">
                  <c:v>-17.8827690219023</c:v>
                </c:pt>
                <c:pt idx="50">
                  <c:v>-22.1751026429401</c:v>
                </c:pt>
                <c:pt idx="51">
                  <c:v>-26.3588066534432</c:v>
                </c:pt>
                <c:pt idx="52">
                  <c:v>-30.4742857015001</c:v>
                </c:pt>
                <c:pt idx="53">
                  <c:v>-34.5469473526952</c:v>
                </c:pt>
                <c:pt idx="54">
                  <c:v>-38.5927070766441</c:v>
                </c:pt>
                <c:pt idx="55">
                  <c:v>-42.6215433913335</c:v>
                </c:pt>
                <c:pt idx="56">
                  <c:v>-46.6397231055529</c:v>
                </c:pt>
                <c:pt idx="57">
                  <c:v>-50.651187753528</c:v>
                </c:pt>
                <c:pt idx="58">
                  <c:v>-54.6584190543961</c:v>
                </c:pt>
                <c:pt idx="59">
                  <c:v>-58.6629807342243</c:v>
                </c:pt>
                <c:pt idx="60">
                  <c:v>-62.6658585749317</c:v>
                </c:pt>
              </c:numCache>
            </c:numRef>
          </c:yVal>
          <c:smooth val="1"/>
        </c:ser>
        <c:dLbls>
          <c:showLegendKey val="0"/>
          <c:showVal val="0"/>
          <c:showCatName val="0"/>
          <c:showSerName val="0"/>
          <c:showPercent val="0"/>
          <c:showBubbleSize val="0"/>
        </c:dLbls>
        <c:axId val="1235281136"/>
        <c:axId val="1235278960"/>
      </c:scatterChart>
      <c:valAx>
        <c:axId val="1235281136"/>
        <c:scaling>
          <c:logBase val="10"/>
          <c:orientation val="minMax"/>
          <c:max val="1000000"/>
          <c:min val="100"/>
        </c:scaling>
        <c:delete val="0"/>
        <c:axPos val="b"/>
        <c:majorGridlines>
          <c:spPr>
            <a:ln w="3175" cap="flat" cmpd="sng" algn="ctr">
              <a:solidFill>
                <a:srgbClr val="000000"/>
              </a:solidFill>
              <a:prstDash val="solid"/>
              <a:round/>
            </a:ln>
          </c:spPr>
        </c:majorGridlines>
        <c:minorGridlines>
          <c:spPr>
            <a:ln w="3175" cap="flat" cmpd="sng" algn="ctr">
              <a:solidFill>
                <a:srgbClr val="000000"/>
              </a:solidFill>
              <a:prstDash val="solid"/>
              <a:round/>
            </a:ln>
          </c:spPr>
        </c:minorGridlines>
        <c:title>
          <c:tx>
            <c:rich>
              <a:bodyPr rot="0" spcFirstLastPara="0" vertOverflow="ellipsis" vert="horz" wrap="square" anchor="ctr" anchorCtr="1"/>
              <a:lstStyle/>
              <a:p>
                <a:pPr>
                  <a:defRPr lang="zh-CN" sz="875" b="1" i="0" u="none" strike="noStrike" kern="1200" baseline="0">
                    <a:solidFill>
                      <a:srgbClr val="000000"/>
                    </a:solidFill>
                    <a:latin typeface="+mn-lt"/>
                    <a:ea typeface="Arial" panose="020B0604020202020204"/>
                    <a:cs typeface="Arial" panose="020B0604020202020204"/>
                  </a:defRPr>
                </a:pPr>
                <a:r>
                  <a:rPr lang="en-US" b="1">
                    <a:latin typeface="+mn-lt"/>
                  </a:rPr>
                  <a:t>Frequency (Hz)</a:t>
                </a:r>
                <a:endParaRPr lang="en-US" b="1">
                  <a:latin typeface="+mn-lt"/>
                </a:endParaRPr>
              </a:p>
            </c:rich>
          </c:tx>
          <c:layout/>
          <c:overlay val="0"/>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875" b="0" i="0" u="none" strike="noStrike" kern="1200" baseline="0">
                <a:solidFill>
                  <a:srgbClr val="000000"/>
                </a:solidFill>
                <a:latin typeface="Arial" panose="020B0604020202020204"/>
                <a:ea typeface="Arial" panose="020B0604020202020204"/>
                <a:cs typeface="Arial" panose="020B0604020202020204"/>
              </a:defRPr>
            </a:pPr>
          </a:p>
        </c:txPr>
        <c:crossAx val="1235278960"/>
        <c:crossesAt val="-40"/>
        <c:crossBetween val="midCat"/>
      </c:valAx>
      <c:valAx>
        <c:axId val="1235278960"/>
        <c:scaling>
          <c:orientation val="minMax"/>
          <c:max val="20"/>
          <c:min val="-40"/>
        </c:scaling>
        <c:delete val="0"/>
        <c:axPos val="l"/>
        <c:majorGridlines>
          <c:spPr>
            <a:ln w="3175" cap="flat" cmpd="sng" algn="ctr">
              <a:solidFill>
                <a:srgbClr val="000000"/>
              </a:solidFill>
              <a:prstDash val="solid"/>
              <a:round/>
            </a:ln>
          </c:spPr>
        </c:majorGridlines>
        <c:minorGridlines>
          <c:spPr>
            <a:ln w="3175" cap="flat" cmpd="sng" algn="ctr">
              <a:solidFill>
                <a:srgbClr val="000000"/>
              </a:solidFill>
              <a:prstDash val="solid"/>
              <a:round/>
            </a:ln>
          </c:spPr>
        </c:minorGridlines>
        <c:title>
          <c:tx>
            <c:rich>
              <a:bodyPr rot="-5400000" spcFirstLastPara="0" vertOverflow="ellipsis" vert="horz" wrap="square" anchor="ctr" anchorCtr="1"/>
              <a:lstStyle/>
              <a:p>
                <a:pPr>
                  <a:defRPr lang="zh-CN" sz="875" b="1" i="0" u="none" strike="noStrike" kern="1200" baseline="0">
                    <a:solidFill>
                      <a:srgbClr val="000000"/>
                    </a:solidFill>
                    <a:latin typeface="+mn-lt"/>
                    <a:ea typeface="Arial" panose="020B0604020202020204"/>
                    <a:cs typeface="Arial" panose="020B0604020202020204"/>
                  </a:defRPr>
                </a:pPr>
                <a:r>
                  <a:rPr lang="en-US" b="1">
                    <a:latin typeface="+mn-lt"/>
                  </a:rPr>
                  <a:t>Gain (dB)</a:t>
                </a:r>
                <a:endParaRPr lang="en-US" b="1">
                  <a:latin typeface="+mn-lt"/>
                </a:endParaRPr>
              </a:p>
            </c:rich>
          </c:tx>
          <c:layout/>
          <c:overlay val="0"/>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875" b="0" i="0" u="none" strike="noStrike" kern="1200" baseline="0">
                <a:solidFill>
                  <a:srgbClr val="000000"/>
                </a:solidFill>
                <a:latin typeface="Arial" panose="020B0604020202020204"/>
                <a:ea typeface="Arial" panose="020B0604020202020204"/>
                <a:cs typeface="Arial" panose="020B0604020202020204"/>
              </a:defRPr>
            </a:pPr>
          </a:p>
        </c:txPr>
        <c:crossAx val="1235281136"/>
        <c:crosses val="autoZero"/>
        <c:crossBetween val="midCat"/>
        <c:majorUnit val="10"/>
        <c:minorUnit val="2"/>
      </c:valAx>
      <c:spPr>
        <a:solidFill>
          <a:srgbClr val="FFFFFF"/>
        </a:solidFill>
        <a:ln w="12700">
          <a:solidFill>
            <a:srgbClr val="808080"/>
          </a:solidFill>
          <a:prstDash val="solid"/>
        </a:ln>
      </c:spPr>
    </c:plotArea>
    <c:legend>
      <c:legendPos val="r"/>
      <c:layout/>
      <c:overlay val="0"/>
      <c:spPr>
        <a:noFill/>
        <a:ln w="3175">
          <a:noFill/>
          <a:prstDash val="solid"/>
        </a:ln>
      </c:spPr>
      <c:txPr>
        <a:bodyPr rot="0" spcFirstLastPara="0" vertOverflow="ellipsis" vert="horz" wrap="square" anchor="ctr" anchorCtr="1"/>
        <a:lstStyle/>
        <a:p>
          <a:pPr>
            <a:defRPr lang="zh-CN" sz="80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noFill/>
      <a:prstDash val="solid"/>
      <a:round/>
    </a:ln>
  </c:spPr>
  <c:txPr>
    <a:bodyPr/>
    <a:lstStyle/>
    <a:p>
      <a:pPr>
        <a:defRPr lang="zh-CN" sz="875"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99285452655841"/>
          <c:y val="0.05029018289314"/>
          <c:w val="0.740229879067441"/>
          <c:h val="0.870407011612038"/>
        </c:manualLayout>
      </c:layout>
      <c:scatterChart>
        <c:scatterStyle val="smooth"/>
        <c:varyColors val="0"/>
        <c:ser>
          <c:idx val="0"/>
          <c:order val="0"/>
          <c:tx>
            <c:strRef>
              <c:f>"2Ohm"</c:f>
              <c:strCache>
                <c:ptCount val="1"/>
                <c:pt idx="0">
                  <c:v>2Ohm</c:v>
                </c:pt>
              </c:strCache>
            </c:strRef>
          </c:tx>
          <c:spPr>
            <a:ln w="38100" cap="rnd" cmpd="sng" algn="ctr">
              <a:solidFill>
                <a:srgbClr val="FF0000"/>
              </a:solidFill>
              <a:prstDash val="solid"/>
              <a:round/>
            </a:ln>
          </c:spPr>
          <c:marker>
            <c:symbol val="none"/>
          </c:marker>
          <c:dLbls>
            <c:delete val="1"/>
          </c:dLbls>
          <c:xVal>
            <c:numRef>
              <c:f>{1.59154943091895,2.00364202271042,2.52243585852881,3.17555860192276,3.99779142060212,5.03292121044871,6.33607240739174,7.97664256463331,10.0419980254159,12.6421264993829,15.9154943091896,20.0364202271042,25.2243585852882,31.7555860192276,39.9779142060213,50.3292121044872,63.3607240739176,79.7664256463333,100.419980254159,126.421264993829,159.154943091896,200.364202271043,252.243585852882,317.555860192277,399.779142060214,503.292121044873,633.607240739177,797.664256463334,1004.19980254159,1264.2126499383,1591.54943091896,2003.64202271043,2522.43585852882,3175.55860192277,3997.79142060213,5032.92121044872,6336.07240739175,7976.64256463331,10041.9980254159,12642.1264993829,15915.4943091895,20036.4202271041,25224.358585288,31755.5860192275,39977.914206021,50329.2121044868,63360.724073917,79766.4256463325,100419.980254158,126421.264993828,159154.943091894,200364.20227104,252243.585852878,317555.860192272,399779.142060207,503292.121044864,633607.240739165,797664.256463318,1004199.80254157,1264212.64993827,1591549.43091893}</c:f>
              <c:numCache>
                <c:formatCode>General</c:formatCode>
                <c:ptCount val="61"/>
                <c:pt idx="0">
                  <c:v>1.59154943091895</c:v>
                </c:pt>
                <c:pt idx="1">
                  <c:v>2.00364202271042</c:v>
                </c:pt>
                <c:pt idx="2">
                  <c:v>2.52243585852881</c:v>
                </c:pt>
                <c:pt idx="3">
                  <c:v>3.17555860192276</c:v>
                </c:pt>
                <c:pt idx="4">
                  <c:v>3.99779142060212</c:v>
                </c:pt>
                <c:pt idx="5">
                  <c:v>5.03292121044871</c:v>
                </c:pt>
                <c:pt idx="6">
                  <c:v>6.33607240739174</c:v>
                </c:pt>
                <c:pt idx="7">
                  <c:v>7.97664256463331</c:v>
                </c:pt>
                <c:pt idx="8">
                  <c:v>10.0419980254159</c:v>
                </c:pt>
                <c:pt idx="9">
                  <c:v>12.6421264993829</c:v>
                </c:pt>
                <c:pt idx="10">
                  <c:v>15.9154943091896</c:v>
                </c:pt>
                <c:pt idx="11">
                  <c:v>20.0364202271042</c:v>
                </c:pt>
                <c:pt idx="12">
                  <c:v>25.2243585852882</c:v>
                </c:pt>
                <c:pt idx="13">
                  <c:v>31.7555860192276</c:v>
                </c:pt>
                <c:pt idx="14">
                  <c:v>39.9779142060213</c:v>
                </c:pt>
                <c:pt idx="15">
                  <c:v>50.3292121044872</c:v>
                </c:pt>
                <c:pt idx="16">
                  <c:v>63.3607240739176</c:v>
                </c:pt>
                <c:pt idx="17">
                  <c:v>79.7664256463333</c:v>
                </c:pt>
                <c:pt idx="18">
                  <c:v>100.419980254159</c:v>
                </c:pt>
                <c:pt idx="19">
                  <c:v>126.421264993829</c:v>
                </c:pt>
                <c:pt idx="20">
                  <c:v>159.154943091896</c:v>
                </c:pt>
                <c:pt idx="21">
                  <c:v>200.364202271043</c:v>
                </c:pt>
                <c:pt idx="22">
                  <c:v>252.243585852882</c:v>
                </c:pt>
                <c:pt idx="23">
                  <c:v>317.555860192277</c:v>
                </c:pt>
                <c:pt idx="24">
                  <c:v>399.779142060214</c:v>
                </c:pt>
                <c:pt idx="25">
                  <c:v>503.292121044873</c:v>
                </c:pt>
                <c:pt idx="26">
                  <c:v>633.607240739177</c:v>
                </c:pt>
                <c:pt idx="27">
                  <c:v>797.664256463334</c:v>
                </c:pt>
                <c:pt idx="28">
                  <c:v>1004.19980254159</c:v>
                </c:pt>
                <c:pt idx="29">
                  <c:v>1264.2126499383</c:v>
                </c:pt>
                <c:pt idx="30">
                  <c:v>1591.54943091896</c:v>
                </c:pt>
                <c:pt idx="31">
                  <c:v>2003.64202271043</c:v>
                </c:pt>
                <c:pt idx="32">
                  <c:v>2522.43585852882</c:v>
                </c:pt>
                <c:pt idx="33">
                  <c:v>3175.55860192277</c:v>
                </c:pt>
                <c:pt idx="34">
                  <c:v>3997.79142060213</c:v>
                </c:pt>
                <c:pt idx="35">
                  <c:v>5032.92121044872</c:v>
                </c:pt>
                <c:pt idx="36">
                  <c:v>6336.07240739175</c:v>
                </c:pt>
                <c:pt idx="37">
                  <c:v>7976.64256463331</c:v>
                </c:pt>
                <c:pt idx="38">
                  <c:v>10041.9980254159</c:v>
                </c:pt>
                <c:pt idx="39">
                  <c:v>12642.1264993829</c:v>
                </c:pt>
                <c:pt idx="40">
                  <c:v>15915.4943091895</c:v>
                </c:pt>
                <c:pt idx="41">
                  <c:v>20036.4202271041</c:v>
                </c:pt>
                <c:pt idx="42">
                  <c:v>25224.358585288</c:v>
                </c:pt>
                <c:pt idx="43">
                  <c:v>31755.5860192275</c:v>
                </c:pt>
                <c:pt idx="44">
                  <c:v>39977.914206021</c:v>
                </c:pt>
                <c:pt idx="45">
                  <c:v>50329.2121044868</c:v>
                </c:pt>
                <c:pt idx="46">
                  <c:v>63360.724073917</c:v>
                </c:pt>
                <c:pt idx="47">
                  <c:v>79766.4256463325</c:v>
                </c:pt>
                <c:pt idx="48">
                  <c:v>100419.980254158</c:v>
                </c:pt>
                <c:pt idx="49">
                  <c:v>126421.264993828</c:v>
                </c:pt>
                <c:pt idx="50">
                  <c:v>159154.943091894</c:v>
                </c:pt>
                <c:pt idx="51">
                  <c:v>200364.20227104</c:v>
                </c:pt>
                <c:pt idx="52">
                  <c:v>252243.585852878</c:v>
                </c:pt>
                <c:pt idx="53">
                  <c:v>317555.860192272</c:v>
                </c:pt>
                <c:pt idx="54">
                  <c:v>399779.142060207</c:v>
                </c:pt>
                <c:pt idx="55">
                  <c:v>503292.121044864</c:v>
                </c:pt>
                <c:pt idx="56">
                  <c:v>633607.240739165</c:v>
                </c:pt>
                <c:pt idx="57">
                  <c:v>797664.256463318</c:v>
                </c:pt>
                <c:pt idx="58">
                  <c:v>1004199.80254157</c:v>
                </c:pt>
                <c:pt idx="59">
                  <c:v>1264212.64993827</c:v>
                </c:pt>
                <c:pt idx="60">
                  <c:v>1591549.43091893</c:v>
                </c:pt>
              </c:numCache>
            </c:numRef>
          </c:xVal>
          <c:yVal>
            <c:numRef>
              <c:f>{-3.16166390274165E-08,-5.01089943808679E-08,-7.94174000587783E-08,-1.25868106737667E-07,-1.99487495669834E-07,-3.16166373273438E-07,-5.01089924994442E-07,-7.94173978297164E-07,-1.25868087558618E-06,-1.99487458234505E-06,-3.16166275397823E-06,-0.0000050108967908869,-7.94173370912952E-06,-0.0000125867934437395,-0.0000199487075210878,-0.0000316165312317546,-0.0000501087258838702,-0.0000794167292666488,-0.000125866407457807,-0.00019948323963355,-0.000316155678136238,-0.000501063059605049,-0.000794106509888152,-0.00125851140670758,-0.00199444895768591,-0.00316059380953202,-0.00500821244643168,-0.00793499387097551,-0.0125698753198889,-0.0199062572172419,-0.0315100838788867,-0.0498420670271635,-0.07874977539075,-0.124202352040899,-0.195347273141317,-0.305936345150793,-0.476038028157412,-0.733635686312751,-1.11515701631197,-1.66341391772656,-2.421675953101,-3.42474417127122,-4.6913767565053,-6.22355176464742,-8.01383709402054,-10.0559229617739,-12.3512445571243,-14.9075494276316,-17.7302822845422,-20.8123060499001,-24.1289714246844,-27.6416023945039,-31.3061806964251,-35.0815794776423,-38.9341369745702,-42.8386634847345,-46.7774062989595,-50.7383386741879,-54.7135195801945,-58.6977916785326,-62.6878407245309}</c:f>
              <c:numCache>
                <c:formatCode>General</c:formatCode>
                <c:ptCount val="61"/>
                <c:pt idx="0">
                  <c:v>-3.16166390274165e-8</c:v>
                </c:pt>
                <c:pt idx="1">
                  <c:v>-5.01089943808679e-8</c:v>
                </c:pt>
                <c:pt idx="2">
                  <c:v>-7.94174000587783e-8</c:v>
                </c:pt>
                <c:pt idx="3">
                  <c:v>-1.25868106737667e-7</c:v>
                </c:pt>
                <c:pt idx="4">
                  <c:v>-1.99487495669834e-7</c:v>
                </c:pt>
                <c:pt idx="5">
                  <c:v>-3.16166373273438e-7</c:v>
                </c:pt>
                <c:pt idx="6">
                  <c:v>-5.01089924994442e-7</c:v>
                </c:pt>
                <c:pt idx="7">
                  <c:v>-7.94173978297164e-7</c:v>
                </c:pt>
                <c:pt idx="8">
                  <c:v>-1.25868087558618e-6</c:v>
                </c:pt>
                <c:pt idx="9">
                  <c:v>-1.99487458234505e-6</c:v>
                </c:pt>
                <c:pt idx="10">
                  <c:v>-3.16166275397823e-6</c:v>
                </c:pt>
                <c:pt idx="11">
                  <c:v>-5.0108967908869e-6</c:v>
                </c:pt>
                <c:pt idx="12">
                  <c:v>-7.94173370912952e-6</c:v>
                </c:pt>
                <c:pt idx="13">
                  <c:v>-1.25867934437395e-5</c:v>
                </c:pt>
                <c:pt idx="14">
                  <c:v>-1.99487075210878e-5</c:v>
                </c:pt>
                <c:pt idx="15">
                  <c:v>-3.16165312317546e-5</c:v>
                </c:pt>
                <c:pt idx="16">
                  <c:v>-5.01087258838702e-5</c:v>
                </c:pt>
                <c:pt idx="17">
                  <c:v>-7.94167292666488e-5</c:v>
                </c:pt>
                <c:pt idx="18">
                  <c:v>-0.000125866407457807</c:v>
                </c:pt>
                <c:pt idx="19">
                  <c:v>-0.00019948323963355</c:v>
                </c:pt>
                <c:pt idx="20">
                  <c:v>-0.000316155678136238</c:v>
                </c:pt>
                <c:pt idx="21">
                  <c:v>-0.000501063059605049</c:v>
                </c:pt>
                <c:pt idx="22">
                  <c:v>-0.000794106509888152</c:v>
                </c:pt>
                <c:pt idx="23">
                  <c:v>-0.00125851140670758</c:v>
                </c:pt>
                <c:pt idx="24">
                  <c:v>-0.00199444895768591</c:v>
                </c:pt>
                <c:pt idx="25">
                  <c:v>-0.00316059380953202</c:v>
                </c:pt>
                <c:pt idx="26">
                  <c:v>-0.00500821244643168</c:v>
                </c:pt>
                <c:pt idx="27">
                  <c:v>-0.00793499387097551</c:v>
                </c:pt>
                <c:pt idx="28">
                  <c:v>-0.0125698753198889</c:v>
                </c:pt>
                <c:pt idx="29">
                  <c:v>-0.0199062572172419</c:v>
                </c:pt>
                <c:pt idx="30">
                  <c:v>-0.0315100838788867</c:v>
                </c:pt>
                <c:pt idx="31">
                  <c:v>-0.0498420670271635</c:v>
                </c:pt>
                <c:pt idx="32">
                  <c:v>-0.07874977539075</c:v>
                </c:pt>
                <c:pt idx="33">
                  <c:v>-0.124202352040899</c:v>
                </c:pt>
                <c:pt idx="34">
                  <c:v>-0.195347273141317</c:v>
                </c:pt>
                <c:pt idx="35">
                  <c:v>-0.305936345150793</c:v>
                </c:pt>
                <c:pt idx="36">
                  <c:v>-0.476038028157412</c:v>
                </c:pt>
                <c:pt idx="37">
                  <c:v>-0.733635686312751</c:v>
                </c:pt>
                <c:pt idx="38">
                  <c:v>-1.11515701631197</c:v>
                </c:pt>
                <c:pt idx="39">
                  <c:v>-1.66341391772656</c:v>
                </c:pt>
                <c:pt idx="40">
                  <c:v>-2.421675953101</c:v>
                </c:pt>
                <c:pt idx="41">
                  <c:v>-3.42474417127122</c:v>
                </c:pt>
                <c:pt idx="42">
                  <c:v>-4.6913767565053</c:v>
                </c:pt>
                <c:pt idx="43">
                  <c:v>-6.22355176464742</c:v>
                </c:pt>
                <c:pt idx="44">
                  <c:v>-8.01383709402054</c:v>
                </c:pt>
                <c:pt idx="45">
                  <c:v>-10.0559229617739</c:v>
                </c:pt>
                <c:pt idx="46">
                  <c:v>-12.3512445571243</c:v>
                </c:pt>
                <c:pt idx="47">
                  <c:v>-14.9075494276316</c:v>
                </c:pt>
                <c:pt idx="48">
                  <c:v>-17.7302822845422</c:v>
                </c:pt>
                <c:pt idx="49">
                  <c:v>-20.8123060499001</c:v>
                </c:pt>
                <c:pt idx="50">
                  <c:v>-24.1289714246844</c:v>
                </c:pt>
                <c:pt idx="51">
                  <c:v>-27.6416023945039</c:v>
                </c:pt>
                <c:pt idx="52">
                  <c:v>-31.3061806964251</c:v>
                </c:pt>
                <c:pt idx="53">
                  <c:v>-35.0815794776423</c:v>
                </c:pt>
                <c:pt idx="54">
                  <c:v>-38.9341369745702</c:v>
                </c:pt>
                <c:pt idx="55">
                  <c:v>-42.8386634847345</c:v>
                </c:pt>
                <c:pt idx="56">
                  <c:v>-46.7774062989595</c:v>
                </c:pt>
                <c:pt idx="57">
                  <c:v>-50.7383386741879</c:v>
                </c:pt>
                <c:pt idx="58">
                  <c:v>-54.7135195801945</c:v>
                </c:pt>
                <c:pt idx="59">
                  <c:v>-58.6977916785326</c:v>
                </c:pt>
                <c:pt idx="60">
                  <c:v>-62.6878407245309</c:v>
                </c:pt>
              </c:numCache>
            </c:numRef>
          </c:yVal>
          <c:smooth val="1"/>
        </c:ser>
        <c:ser>
          <c:idx val="1"/>
          <c:order val="1"/>
          <c:tx>
            <c:strRef>
              <c:f>"3Ohm"</c:f>
              <c:strCache>
                <c:ptCount val="1"/>
                <c:pt idx="0">
                  <c:v>3Ohm</c:v>
                </c:pt>
              </c:strCache>
            </c:strRef>
          </c:tx>
          <c:spPr>
            <a:ln w="38100" cap="rnd" cmpd="sng" algn="ctr">
              <a:solidFill>
                <a:srgbClr val="99CC00"/>
              </a:solidFill>
              <a:prstDash val="solid"/>
              <a:round/>
            </a:ln>
          </c:spPr>
          <c:marker>
            <c:symbol val="none"/>
          </c:marker>
          <c:dLbls>
            <c:delete val="1"/>
          </c:dLbls>
          <c:xVal>
            <c:numRef>
              <c:f>{1.59154943091895,2.00364202271042,2.52243585852881,3.17555860192276,3.99779142060212,5.03292121044871,6.33607240739174,7.97664256463331,10.0419980254159,12.6421264993829,15.9154943091896,20.0364202271042,25.2243585852882,31.7555860192276,39.9779142060213,50.3292121044872,63.3607240739176,79.7664256463333,100.419980254159,126.421264993829,159.154943091896,200.364202271043,252.243585852882,317.555860192277,399.779142060214,503.292121044873,633.607240739177,797.664256463334,1004.19980254159,1264.2126499383,1591.54943091896,2003.64202271043,2522.43585852882,3175.55860192277,3997.79142060213,5032.92121044872,6336.07240739175,7976.64256463331,10041.9980254159,12642.1264993829,15915.4943091895,20036.4202271041,25224.358585288,31755.5860192275,39977.914206021,50329.2121044868,63360.724073917,79766.4256463325,100419.980254158,126421.264993828,159154.943091894,200364.20227104,252243.585852878,317555.860192272,399779.142060207,503292.121044864,633607.240739165,797664.256463318,1004199.80254157,1264212.64993827,1591549.43091893}</c:f>
              <c:numCache>
                <c:formatCode>General</c:formatCode>
                <c:ptCount val="61"/>
                <c:pt idx="0">
                  <c:v>1.59154943091895</c:v>
                </c:pt>
                <c:pt idx="1">
                  <c:v>2.00364202271042</c:v>
                </c:pt>
                <c:pt idx="2">
                  <c:v>2.52243585852881</c:v>
                </c:pt>
                <c:pt idx="3">
                  <c:v>3.17555860192276</c:v>
                </c:pt>
                <c:pt idx="4">
                  <c:v>3.99779142060212</c:v>
                </c:pt>
                <c:pt idx="5">
                  <c:v>5.03292121044871</c:v>
                </c:pt>
                <c:pt idx="6">
                  <c:v>6.33607240739174</c:v>
                </c:pt>
                <c:pt idx="7">
                  <c:v>7.97664256463331</c:v>
                </c:pt>
                <c:pt idx="8">
                  <c:v>10.0419980254159</c:v>
                </c:pt>
                <c:pt idx="9">
                  <c:v>12.6421264993829</c:v>
                </c:pt>
                <c:pt idx="10">
                  <c:v>15.9154943091896</c:v>
                </c:pt>
                <c:pt idx="11">
                  <c:v>20.0364202271042</c:v>
                </c:pt>
                <c:pt idx="12">
                  <c:v>25.2243585852882</c:v>
                </c:pt>
                <c:pt idx="13">
                  <c:v>31.7555860192276</c:v>
                </c:pt>
                <c:pt idx="14">
                  <c:v>39.9779142060213</c:v>
                </c:pt>
                <c:pt idx="15">
                  <c:v>50.3292121044872</c:v>
                </c:pt>
                <c:pt idx="16">
                  <c:v>63.3607240739176</c:v>
                </c:pt>
                <c:pt idx="17">
                  <c:v>79.7664256463333</c:v>
                </c:pt>
                <c:pt idx="18">
                  <c:v>100.419980254159</c:v>
                </c:pt>
                <c:pt idx="19">
                  <c:v>126.421264993829</c:v>
                </c:pt>
                <c:pt idx="20">
                  <c:v>159.154943091896</c:v>
                </c:pt>
                <c:pt idx="21">
                  <c:v>200.364202271043</c:v>
                </c:pt>
                <c:pt idx="22">
                  <c:v>252.243585852882</c:v>
                </c:pt>
                <c:pt idx="23">
                  <c:v>317.555860192277</c:v>
                </c:pt>
                <c:pt idx="24">
                  <c:v>399.779142060214</c:v>
                </c:pt>
                <c:pt idx="25">
                  <c:v>503.292121044873</c:v>
                </c:pt>
                <c:pt idx="26">
                  <c:v>633.607240739177</c:v>
                </c:pt>
                <c:pt idx="27">
                  <c:v>797.664256463334</c:v>
                </c:pt>
                <c:pt idx="28">
                  <c:v>1004.19980254159</c:v>
                </c:pt>
                <c:pt idx="29">
                  <c:v>1264.2126499383</c:v>
                </c:pt>
                <c:pt idx="30">
                  <c:v>1591.54943091896</c:v>
                </c:pt>
                <c:pt idx="31">
                  <c:v>2003.64202271043</c:v>
                </c:pt>
                <c:pt idx="32">
                  <c:v>2522.43585852882</c:v>
                </c:pt>
                <c:pt idx="33">
                  <c:v>3175.55860192277</c:v>
                </c:pt>
                <c:pt idx="34">
                  <c:v>3997.79142060213</c:v>
                </c:pt>
                <c:pt idx="35">
                  <c:v>5032.92121044872</c:v>
                </c:pt>
                <c:pt idx="36">
                  <c:v>6336.07240739175</c:v>
                </c:pt>
                <c:pt idx="37">
                  <c:v>7976.64256463331</c:v>
                </c:pt>
                <c:pt idx="38">
                  <c:v>10041.9980254159</c:v>
                </c:pt>
                <c:pt idx="39">
                  <c:v>12642.1264993829</c:v>
                </c:pt>
                <c:pt idx="40">
                  <c:v>15915.4943091895</c:v>
                </c:pt>
                <c:pt idx="41">
                  <c:v>20036.4202271041</c:v>
                </c:pt>
                <c:pt idx="42">
                  <c:v>25224.358585288</c:v>
                </c:pt>
                <c:pt idx="43">
                  <c:v>31755.5860192275</c:v>
                </c:pt>
                <c:pt idx="44">
                  <c:v>39977.914206021</c:v>
                </c:pt>
                <c:pt idx="45">
                  <c:v>50329.2121044868</c:v>
                </c:pt>
                <c:pt idx="46">
                  <c:v>63360.724073917</c:v>
                </c:pt>
                <c:pt idx="47">
                  <c:v>79766.4256463325</c:v>
                </c:pt>
                <c:pt idx="48">
                  <c:v>100419.980254158</c:v>
                </c:pt>
                <c:pt idx="49">
                  <c:v>126421.264993828</c:v>
                </c:pt>
                <c:pt idx="50">
                  <c:v>159154.943091894</c:v>
                </c:pt>
                <c:pt idx="51">
                  <c:v>200364.20227104</c:v>
                </c:pt>
                <c:pt idx="52">
                  <c:v>252243.585852878</c:v>
                </c:pt>
                <c:pt idx="53">
                  <c:v>317555.860192272</c:v>
                </c:pt>
                <c:pt idx="54">
                  <c:v>399779.142060207</c:v>
                </c:pt>
                <c:pt idx="55">
                  <c:v>503292.121044864</c:v>
                </c:pt>
                <c:pt idx="56">
                  <c:v>633607.240739165</c:v>
                </c:pt>
                <c:pt idx="57">
                  <c:v>797664.256463318</c:v>
                </c:pt>
                <c:pt idx="58">
                  <c:v>1004199.80254157</c:v>
                </c:pt>
                <c:pt idx="59">
                  <c:v>1264212.64993827</c:v>
                </c:pt>
                <c:pt idx="60">
                  <c:v>1591549.43091893</c:v>
                </c:pt>
              </c:numCache>
            </c:numRef>
          </c:xVal>
          <c:yVal>
            <c:numRef>
              <c:f>{-7.48916383128466E-09,-1.1869529741875E-08,-1.88119363022237E-08,-2.9814914655051E-08,-4.7253442335818E-08,-7.48916704262328E-08,-1.18695298148653E-07,-1.88119370641636E-07,-2.98149117404427E-07,-4.72534505322271E-07,-7.48916724641349E-07,-1.18695302940434E-06,-1.88119381357788E-06,-2.98149136360603E-06,-4.72534559190746E-06,-0.0000074891686411096,-0.0000118695338572721,-0.0000188119470785388,-0.0000298149360667333,-0.0000472535123556502,-0.0000748918281848684,-0.000118695694695573,-0.000188120365254545,-0.000298151607451219,-0.000472540766520506,-0.000748932453987774,-0.0011869925362411,-0.00188129301175159,-0.00298174038650731,-0.00472597052233683,-0.00749073602860421,-0.0118734615377196,-0.0188217755286713,-0.0298394753780958,-0.0473145629225367,-0.0750428490083025,-0.119065855898268,-0.189014193428492,-0.300257293813642,-0.477297537070047,-0.758900441898784,-1.20496895507733,-1.90293234962313,-2.96589630362218,-4.50924651332919,-6.60300380183973,-9.23194543788522,-12.3049479183149,-15.7030145958626,-19.3203930947519,-23.079332025124,-26.9278447238511,-30.8326419063735,-34.7727609922147,-38.7350633288456,-42.7113139463347,-46.696344175115,-50.6869050553985,-54.6809518706558,-58.6771966697333,-62.6748277007794}</c:f>
              <c:numCache>
                <c:formatCode>General</c:formatCode>
                <c:ptCount val="61"/>
                <c:pt idx="0">
                  <c:v>-7.48916383128466e-9</c:v>
                </c:pt>
                <c:pt idx="1">
                  <c:v>-1.1869529741875e-8</c:v>
                </c:pt>
                <c:pt idx="2">
                  <c:v>-1.88119363022237e-8</c:v>
                </c:pt>
                <c:pt idx="3">
                  <c:v>-2.9814914655051e-8</c:v>
                </c:pt>
                <c:pt idx="4">
                  <c:v>-4.7253442335818e-8</c:v>
                </c:pt>
                <c:pt idx="5">
                  <c:v>-7.48916704262328e-8</c:v>
                </c:pt>
                <c:pt idx="6">
                  <c:v>-1.18695298148653e-7</c:v>
                </c:pt>
                <c:pt idx="7">
                  <c:v>-1.88119370641636e-7</c:v>
                </c:pt>
                <c:pt idx="8">
                  <c:v>-2.98149117404427e-7</c:v>
                </c:pt>
                <c:pt idx="9">
                  <c:v>-4.72534505322271e-7</c:v>
                </c:pt>
                <c:pt idx="10">
                  <c:v>-7.48916724641349e-7</c:v>
                </c:pt>
                <c:pt idx="11">
                  <c:v>-1.18695302940434e-6</c:v>
                </c:pt>
                <c:pt idx="12">
                  <c:v>-1.88119381357788e-6</c:v>
                </c:pt>
                <c:pt idx="13">
                  <c:v>-2.98149136360603e-6</c:v>
                </c:pt>
                <c:pt idx="14">
                  <c:v>-4.72534559190746e-6</c:v>
                </c:pt>
                <c:pt idx="15">
                  <c:v>-7.4891686411096e-6</c:v>
                </c:pt>
                <c:pt idx="16">
                  <c:v>-1.18695338572721e-5</c:v>
                </c:pt>
                <c:pt idx="17">
                  <c:v>-1.88119470785388e-5</c:v>
                </c:pt>
                <c:pt idx="18">
                  <c:v>-2.98149360667333e-5</c:v>
                </c:pt>
                <c:pt idx="19">
                  <c:v>-4.72535123556502e-5</c:v>
                </c:pt>
                <c:pt idx="20">
                  <c:v>-7.48918281848684e-5</c:v>
                </c:pt>
                <c:pt idx="21">
                  <c:v>-0.000118695694695573</c:v>
                </c:pt>
                <c:pt idx="22">
                  <c:v>-0.000188120365254545</c:v>
                </c:pt>
                <c:pt idx="23">
                  <c:v>-0.000298151607451219</c:v>
                </c:pt>
                <c:pt idx="24">
                  <c:v>-0.000472540766520506</c:v>
                </c:pt>
                <c:pt idx="25">
                  <c:v>-0.000748932453987774</c:v>
                </c:pt>
                <c:pt idx="26">
                  <c:v>-0.0011869925362411</c:v>
                </c:pt>
                <c:pt idx="27">
                  <c:v>-0.00188129301175159</c:v>
                </c:pt>
                <c:pt idx="28">
                  <c:v>-0.00298174038650731</c:v>
                </c:pt>
                <c:pt idx="29">
                  <c:v>-0.00472597052233683</c:v>
                </c:pt>
                <c:pt idx="30">
                  <c:v>-0.00749073602860421</c:v>
                </c:pt>
                <c:pt idx="31">
                  <c:v>-0.0118734615377196</c:v>
                </c:pt>
                <c:pt idx="32">
                  <c:v>-0.0188217755286713</c:v>
                </c:pt>
                <c:pt idx="33">
                  <c:v>-0.0298394753780958</c:v>
                </c:pt>
                <c:pt idx="34">
                  <c:v>-0.0473145629225367</c:v>
                </c:pt>
                <c:pt idx="35">
                  <c:v>-0.0750428490083025</c:v>
                </c:pt>
                <c:pt idx="36">
                  <c:v>-0.119065855898268</c:v>
                </c:pt>
                <c:pt idx="37">
                  <c:v>-0.189014193428492</c:v>
                </c:pt>
                <c:pt idx="38">
                  <c:v>-0.300257293813642</c:v>
                </c:pt>
                <c:pt idx="39">
                  <c:v>-0.477297537070047</c:v>
                </c:pt>
                <c:pt idx="40">
                  <c:v>-0.758900441898784</c:v>
                </c:pt>
                <c:pt idx="41">
                  <c:v>-1.20496895507733</c:v>
                </c:pt>
                <c:pt idx="42">
                  <c:v>-1.90293234962313</c:v>
                </c:pt>
                <c:pt idx="43">
                  <c:v>-2.96589630362218</c:v>
                </c:pt>
                <c:pt idx="44">
                  <c:v>-4.50924651332919</c:v>
                </c:pt>
                <c:pt idx="45">
                  <c:v>-6.60300380183973</c:v>
                </c:pt>
                <c:pt idx="46">
                  <c:v>-9.23194543788522</c:v>
                </c:pt>
                <c:pt idx="47">
                  <c:v>-12.3049479183149</c:v>
                </c:pt>
                <c:pt idx="48">
                  <c:v>-15.7030145958626</c:v>
                </c:pt>
                <c:pt idx="49">
                  <c:v>-19.3203930947519</c:v>
                </c:pt>
                <c:pt idx="50">
                  <c:v>-23.079332025124</c:v>
                </c:pt>
                <c:pt idx="51">
                  <c:v>-26.9278447238511</c:v>
                </c:pt>
                <c:pt idx="52">
                  <c:v>-30.8326419063735</c:v>
                </c:pt>
                <c:pt idx="53">
                  <c:v>-34.7727609922147</c:v>
                </c:pt>
                <c:pt idx="54">
                  <c:v>-38.7350633288456</c:v>
                </c:pt>
                <c:pt idx="55">
                  <c:v>-42.7113139463347</c:v>
                </c:pt>
                <c:pt idx="56">
                  <c:v>-46.696344175115</c:v>
                </c:pt>
                <c:pt idx="57">
                  <c:v>-50.6869050553985</c:v>
                </c:pt>
                <c:pt idx="58">
                  <c:v>-54.6809518706558</c:v>
                </c:pt>
                <c:pt idx="59">
                  <c:v>-58.6771966697333</c:v>
                </c:pt>
                <c:pt idx="60">
                  <c:v>-62.6748277007794</c:v>
                </c:pt>
              </c:numCache>
            </c:numRef>
          </c:yVal>
          <c:smooth val="1"/>
        </c:ser>
        <c:ser>
          <c:idx val="2"/>
          <c:order val="2"/>
          <c:tx>
            <c:strRef>
              <c:f>"4Ohm"</c:f>
              <c:strCache>
                <c:ptCount val="1"/>
                <c:pt idx="0">
                  <c:v>4Ohm</c:v>
                </c:pt>
              </c:strCache>
            </c:strRef>
          </c:tx>
          <c:spPr>
            <a:ln w="38100" cap="rnd" cmpd="sng" algn="ctr">
              <a:solidFill>
                <a:srgbClr val="0000FF"/>
              </a:solidFill>
              <a:prstDash val="solid"/>
              <a:round/>
            </a:ln>
          </c:spPr>
          <c:marker>
            <c:symbol val="none"/>
          </c:marker>
          <c:dLbls>
            <c:delete val="1"/>
          </c:dLbls>
          <c:xVal>
            <c:numRef>
              <c:f>{1.59154943091895,2.00364202271042,2.52243585852881,3.17555860192276,3.99779142060212,5.03292121044871,6.33607240739174,7.97664256463331,10.0419980254159,12.6421264993829,15.9154943091896,20.0364202271042,25.2243585852882,31.7555860192276,39.9779142060213,50.3292121044872,63.3607240739176,79.7664256463333,100.419980254159,126.421264993829,159.154943091896,200.364202271043,252.243585852882,317.555860192277,399.779142060214,503.292121044873,633.607240739177,797.664256463334,1004.19980254159,1264.2126499383,1591.54943091896,2003.64202271043,2522.43585852882,3175.55860192277,3997.79142060213,5032.92121044872,6336.07240739175,7976.64256463331,10041.9980254159,12642.1264993829,15915.4943091895,20036.4202271041,25224.358585288,31755.5860192275,39977.914206021,50329.2121044868,63360.724073917,79766.4256463325,100419.980254158,126421.264993828,159154.943091894,200364.20227104,252243.585852878,317555.860192272,399779.142060207,503292.121044864,633607.240739165,797664.256463318,1004199.80254157,1264212.64993827,1591549.43091893}</c:f>
              <c:numCache>
                <c:formatCode>General</c:formatCode>
                <c:ptCount val="61"/>
                <c:pt idx="0">
                  <c:v>1.59154943091895</c:v>
                </c:pt>
                <c:pt idx="1">
                  <c:v>2.00364202271042</c:v>
                </c:pt>
                <c:pt idx="2">
                  <c:v>2.52243585852881</c:v>
                </c:pt>
                <c:pt idx="3">
                  <c:v>3.17555860192276</c:v>
                </c:pt>
                <c:pt idx="4">
                  <c:v>3.99779142060212</c:v>
                </c:pt>
                <c:pt idx="5">
                  <c:v>5.03292121044871</c:v>
                </c:pt>
                <c:pt idx="6">
                  <c:v>6.33607240739174</c:v>
                </c:pt>
                <c:pt idx="7">
                  <c:v>7.97664256463331</c:v>
                </c:pt>
                <c:pt idx="8">
                  <c:v>10.0419980254159</c:v>
                </c:pt>
                <c:pt idx="9">
                  <c:v>12.6421264993829</c:v>
                </c:pt>
                <c:pt idx="10">
                  <c:v>15.9154943091896</c:v>
                </c:pt>
                <c:pt idx="11">
                  <c:v>20.0364202271042</c:v>
                </c:pt>
                <c:pt idx="12">
                  <c:v>25.2243585852882</c:v>
                </c:pt>
                <c:pt idx="13">
                  <c:v>31.7555860192276</c:v>
                </c:pt>
                <c:pt idx="14">
                  <c:v>39.9779142060213</c:v>
                </c:pt>
                <c:pt idx="15">
                  <c:v>50.3292121044872</c:v>
                </c:pt>
                <c:pt idx="16">
                  <c:v>63.3607240739176</c:v>
                </c:pt>
                <c:pt idx="17">
                  <c:v>79.7664256463333</c:v>
                </c:pt>
                <c:pt idx="18">
                  <c:v>100.419980254159</c:v>
                </c:pt>
                <c:pt idx="19">
                  <c:v>126.421264993829</c:v>
                </c:pt>
                <c:pt idx="20">
                  <c:v>159.154943091896</c:v>
                </c:pt>
                <c:pt idx="21">
                  <c:v>200.364202271043</c:v>
                </c:pt>
                <c:pt idx="22">
                  <c:v>252.243585852882</c:v>
                </c:pt>
                <c:pt idx="23">
                  <c:v>317.555860192277</c:v>
                </c:pt>
                <c:pt idx="24">
                  <c:v>399.779142060214</c:v>
                </c:pt>
                <c:pt idx="25">
                  <c:v>503.292121044873</c:v>
                </c:pt>
                <c:pt idx="26">
                  <c:v>633.607240739177</c:v>
                </c:pt>
                <c:pt idx="27">
                  <c:v>797.664256463334</c:v>
                </c:pt>
                <c:pt idx="28">
                  <c:v>1004.19980254159</c:v>
                </c:pt>
                <c:pt idx="29">
                  <c:v>1264.2126499383</c:v>
                </c:pt>
                <c:pt idx="30">
                  <c:v>1591.54943091896</c:v>
                </c:pt>
                <c:pt idx="31">
                  <c:v>2003.64202271043</c:v>
                </c:pt>
                <c:pt idx="32">
                  <c:v>2522.43585852882</c:v>
                </c:pt>
                <c:pt idx="33">
                  <c:v>3175.55860192277</c:v>
                </c:pt>
                <c:pt idx="34">
                  <c:v>3997.79142060213</c:v>
                </c:pt>
                <c:pt idx="35">
                  <c:v>5032.92121044872</c:v>
                </c:pt>
                <c:pt idx="36">
                  <c:v>6336.07240739175</c:v>
                </c:pt>
                <c:pt idx="37">
                  <c:v>7976.64256463331</c:v>
                </c:pt>
                <c:pt idx="38">
                  <c:v>10041.9980254159</c:v>
                </c:pt>
                <c:pt idx="39">
                  <c:v>12642.1264993829</c:v>
                </c:pt>
                <c:pt idx="40">
                  <c:v>15915.4943091895</c:v>
                </c:pt>
                <c:pt idx="41">
                  <c:v>20036.4202271041</c:v>
                </c:pt>
                <c:pt idx="42">
                  <c:v>25224.358585288</c:v>
                </c:pt>
                <c:pt idx="43">
                  <c:v>31755.5860192275</c:v>
                </c:pt>
                <c:pt idx="44">
                  <c:v>39977.914206021</c:v>
                </c:pt>
                <c:pt idx="45">
                  <c:v>50329.2121044868</c:v>
                </c:pt>
                <c:pt idx="46">
                  <c:v>63360.724073917</c:v>
                </c:pt>
                <c:pt idx="47">
                  <c:v>79766.4256463325</c:v>
                </c:pt>
                <c:pt idx="48">
                  <c:v>100419.980254158</c:v>
                </c:pt>
                <c:pt idx="49">
                  <c:v>126421.264993828</c:v>
                </c:pt>
                <c:pt idx="50">
                  <c:v>159154.943091894</c:v>
                </c:pt>
                <c:pt idx="51">
                  <c:v>200364.20227104</c:v>
                </c:pt>
                <c:pt idx="52">
                  <c:v>252243.585852878</c:v>
                </c:pt>
                <c:pt idx="53">
                  <c:v>317555.860192272</c:v>
                </c:pt>
                <c:pt idx="54">
                  <c:v>399779.142060207</c:v>
                </c:pt>
                <c:pt idx="55">
                  <c:v>503292.121044864</c:v>
                </c:pt>
                <c:pt idx="56">
                  <c:v>633607.240739165</c:v>
                </c:pt>
                <c:pt idx="57">
                  <c:v>797664.256463318</c:v>
                </c:pt>
                <c:pt idx="58">
                  <c:v>1004199.80254157</c:v>
                </c:pt>
                <c:pt idx="59">
                  <c:v>1264212.64993827</c:v>
                </c:pt>
                <c:pt idx="60">
                  <c:v>1591549.43091893</c:v>
                </c:pt>
              </c:numCache>
            </c:numRef>
          </c:xVal>
          <c:yVal>
            <c:numRef>
              <c:f>{9.55446010533782E-10,0.0000000015142834206,2.39997962532759E-09,3.8037029015146E-09,0.0000000060284661539,9.55447938715768E-09,1.51428245508117E-08,2.39997653649561E-08,3.80370501553933E-08,6.02846574933746E-08,9.5544706609159E-08,1.51428078455808E-07,2.39997158858475E-07,3.80369388939011E-07,6.0284368819573E-07,9.55439934848213E-07,1.51426290092208E-06,0.0000023999265010357,3.80358079958192E-06,6.02815284290823E-06,9.55368584304599E-06,0.0000151408367528244,0.0000239947631472503,0.0000380244998951589,0.0000602531236368859,0.0000954655081545441,0.000151229141366302,0.000239497425391103,0.000379114092133238,0.000599690366765532,0.000947518503977584,0.00149436262016385,0.00234992918599697,0.00367795350991936,0.0057124357143655,0.00876003640710859,0.0131449755552465,0.0189728500071557,0.0253800920076685,0.0283985340461235,0.015244402463975,-0.0500547252336069,-0.258956007941097,-0.81188205654638,-2.03448589420259,-4.19889691073562,-7.24055277323486,-10.834156099107,-14.6891344543638,-18.6478270370719,-22.6425098218696,-26.6474701074416,-30.6539017990205,-34.6592687951233,-38.6631742342184,-42.6658444706684,-46.6676111539993,-50.6687584096427,-54.6694952279348,-58.6699652810904,-62.6702639150105}</c:f>
              <c:numCache>
                <c:formatCode>General</c:formatCode>
                <c:ptCount val="61"/>
                <c:pt idx="0">
                  <c:v>9.55446010533782e-10</c:v>
                </c:pt>
                <c:pt idx="1">
                  <c:v>1.5142834206e-9</c:v>
                </c:pt>
                <c:pt idx="2">
                  <c:v>2.39997962532759e-9</c:v>
                </c:pt>
                <c:pt idx="3">
                  <c:v>3.8037029015146e-9</c:v>
                </c:pt>
                <c:pt idx="4">
                  <c:v>6.0284661539e-9</c:v>
                </c:pt>
                <c:pt idx="5">
                  <c:v>9.55447938715768e-9</c:v>
                </c:pt>
                <c:pt idx="6">
                  <c:v>1.51428245508117e-8</c:v>
                </c:pt>
                <c:pt idx="7">
                  <c:v>2.39997653649561e-8</c:v>
                </c:pt>
                <c:pt idx="8">
                  <c:v>3.80370501553933e-8</c:v>
                </c:pt>
                <c:pt idx="9">
                  <c:v>6.02846574933746e-8</c:v>
                </c:pt>
                <c:pt idx="10">
                  <c:v>9.5544706609159e-8</c:v>
                </c:pt>
                <c:pt idx="11">
                  <c:v>1.51428078455808e-7</c:v>
                </c:pt>
                <c:pt idx="12">
                  <c:v>2.39997158858475e-7</c:v>
                </c:pt>
                <c:pt idx="13">
                  <c:v>3.80369388939011e-7</c:v>
                </c:pt>
                <c:pt idx="14">
                  <c:v>6.0284368819573e-7</c:v>
                </c:pt>
                <c:pt idx="15">
                  <c:v>9.55439934848213e-7</c:v>
                </c:pt>
                <c:pt idx="16">
                  <c:v>1.51426290092208e-6</c:v>
                </c:pt>
                <c:pt idx="17">
                  <c:v>2.3999265010357e-6</c:v>
                </c:pt>
                <c:pt idx="18">
                  <c:v>3.80358079958192e-6</c:v>
                </c:pt>
                <c:pt idx="19">
                  <c:v>6.02815284290823e-6</c:v>
                </c:pt>
                <c:pt idx="20">
                  <c:v>9.55368584304599e-6</c:v>
                </c:pt>
                <c:pt idx="21">
                  <c:v>1.51408367528244e-5</c:v>
                </c:pt>
                <c:pt idx="22">
                  <c:v>2.39947631472503e-5</c:v>
                </c:pt>
                <c:pt idx="23">
                  <c:v>3.80244998951589e-5</c:v>
                </c:pt>
                <c:pt idx="24">
                  <c:v>6.02531236368859e-5</c:v>
                </c:pt>
                <c:pt idx="25">
                  <c:v>9.54655081545441e-5</c:v>
                </c:pt>
                <c:pt idx="26">
                  <c:v>0.000151229141366302</c:v>
                </c:pt>
                <c:pt idx="27">
                  <c:v>0.000239497425391103</c:v>
                </c:pt>
                <c:pt idx="28">
                  <c:v>0.000379114092133238</c:v>
                </c:pt>
                <c:pt idx="29">
                  <c:v>0.000599690366765532</c:v>
                </c:pt>
                <c:pt idx="30">
                  <c:v>0.000947518503977584</c:v>
                </c:pt>
                <c:pt idx="31">
                  <c:v>0.00149436262016385</c:v>
                </c:pt>
                <c:pt idx="32">
                  <c:v>0.00234992918599697</c:v>
                </c:pt>
                <c:pt idx="33">
                  <c:v>0.00367795350991936</c:v>
                </c:pt>
                <c:pt idx="34">
                  <c:v>0.0057124357143655</c:v>
                </c:pt>
                <c:pt idx="35">
                  <c:v>0.00876003640710859</c:v>
                </c:pt>
                <c:pt idx="36">
                  <c:v>0.0131449755552465</c:v>
                </c:pt>
                <c:pt idx="37">
                  <c:v>0.0189728500071557</c:v>
                </c:pt>
                <c:pt idx="38">
                  <c:v>0.0253800920076685</c:v>
                </c:pt>
                <c:pt idx="39">
                  <c:v>0.0283985340461235</c:v>
                </c:pt>
                <c:pt idx="40">
                  <c:v>0.015244402463975</c:v>
                </c:pt>
                <c:pt idx="41">
                  <c:v>-0.0500547252336069</c:v>
                </c:pt>
                <c:pt idx="42">
                  <c:v>-0.258956007941097</c:v>
                </c:pt>
                <c:pt idx="43">
                  <c:v>-0.81188205654638</c:v>
                </c:pt>
                <c:pt idx="44">
                  <c:v>-2.03448589420259</c:v>
                </c:pt>
                <c:pt idx="45">
                  <c:v>-4.19889691073562</c:v>
                </c:pt>
                <c:pt idx="46">
                  <c:v>-7.24055277323486</c:v>
                </c:pt>
                <c:pt idx="47">
                  <c:v>-10.834156099107</c:v>
                </c:pt>
                <c:pt idx="48">
                  <c:v>-14.6891344543638</c:v>
                </c:pt>
                <c:pt idx="49">
                  <c:v>-18.6478270370719</c:v>
                </c:pt>
                <c:pt idx="50">
                  <c:v>-22.6425098218696</c:v>
                </c:pt>
                <c:pt idx="51">
                  <c:v>-26.6474701074416</c:v>
                </c:pt>
                <c:pt idx="52">
                  <c:v>-30.6539017990205</c:v>
                </c:pt>
                <c:pt idx="53">
                  <c:v>-34.6592687951233</c:v>
                </c:pt>
                <c:pt idx="54">
                  <c:v>-38.6631742342184</c:v>
                </c:pt>
                <c:pt idx="55">
                  <c:v>-42.6658444706684</c:v>
                </c:pt>
                <c:pt idx="56">
                  <c:v>-46.6676111539993</c:v>
                </c:pt>
                <c:pt idx="57">
                  <c:v>-50.6687584096427</c:v>
                </c:pt>
                <c:pt idx="58">
                  <c:v>-54.6694952279348</c:v>
                </c:pt>
                <c:pt idx="59">
                  <c:v>-58.6699652810904</c:v>
                </c:pt>
                <c:pt idx="60">
                  <c:v>-62.6702639150105</c:v>
                </c:pt>
              </c:numCache>
            </c:numRef>
          </c:yVal>
          <c:smooth val="1"/>
        </c:ser>
        <c:ser>
          <c:idx val="3"/>
          <c:order val="3"/>
          <c:tx>
            <c:strRef>
              <c:f>"6Ohm"</c:f>
              <c:strCache>
                <c:ptCount val="1"/>
                <c:pt idx="0">
                  <c:v>6Ohm</c:v>
                </c:pt>
              </c:strCache>
            </c:strRef>
          </c:tx>
          <c:spPr>
            <a:ln w="38100" cap="rnd" cmpd="sng" algn="ctr">
              <a:solidFill>
                <a:srgbClr val="FFCC99"/>
              </a:solidFill>
              <a:prstDash val="solid"/>
              <a:round/>
            </a:ln>
          </c:spPr>
          <c:marker>
            <c:symbol val="none"/>
          </c:marker>
          <c:dLbls>
            <c:delete val="1"/>
          </c:dLbls>
          <c:xVal>
            <c:numRef>
              <c:f>{1.59154943091895,2.00364202271042,2.52243585852881,3.17555860192276,3.99779142060212,5.03292121044871,6.33607240739174,7.97664256463331,10.0419980254159,12.6421264993829,15.9154943091896,20.0364202271042,25.2243585852882,31.7555860192276,39.9779142060213,50.3292121044872,63.3607240739176,79.7664256463333,100.419980254159,126.421264993829,159.154943091896,200.364202271043,252.243585852882,317.555860192277,399.779142060214,503.292121044873,633.607240739177,797.664256463334,1004.19980254159,1264.2126499383,1591.54943091896,2003.64202271043,2522.43585852882,3175.55860192277,3997.79142060213,5032.92121044872,6336.07240739175,7976.64256463331,10041.9980254159,12642.1264993829,15915.4943091895,20036.4202271041,25224.358585288,31755.5860192275,39977.914206021,50329.2121044868,63360.724073917,79766.4256463325,100419.980254158,126421.264993828,159154.943091894,200364.20227104,252243.585852878,317555.860192272,399779.142060207,503292.121044864,633607.240739165,797664.256463318,1004199.80254157,1264212.64993827,1591549.43091893}</c:f>
              <c:numCache>
                <c:formatCode>General</c:formatCode>
                <c:ptCount val="61"/>
                <c:pt idx="0">
                  <c:v>1.59154943091895</c:v>
                </c:pt>
                <c:pt idx="1">
                  <c:v>2.00364202271042</c:v>
                </c:pt>
                <c:pt idx="2">
                  <c:v>2.52243585852881</c:v>
                </c:pt>
                <c:pt idx="3">
                  <c:v>3.17555860192276</c:v>
                </c:pt>
                <c:pt idx="4">
                  <c:v>3.99779142060212</c:v>
                </c:pt>
                <c:pt idx="5">
                  <c:v>5.03292121044871</c:v>
                </c:pt>
                <c:pt idx="6">
                  <c:v>6.33607240739174</c:v>
                </c:pt>
                <c:pt idx="7">
                  <c:v>7.97664256463331</c:v>
                </c:pt>
                <c:pt idx="8">
                  <c:v>10.0419980254159</c:v>
                </c:pt>
                <c:pt idx="9">
                  <c:v>12.6421264993829</c:v>
                </c:pt>
                <c:pt idx="10">
                  <c:v>15.9154943091896</c:v>
                </c:pt>
                <c:pt idx="11">
                  <c:v>20.0364202271042</c:v>
                </c:pt>
                <c:pt idx="12">
                  <c:v>25.2243585852882</c:v>
                </c:pt>
                <c:pt idx="13">
                  <c:v>31.7555860192276</c:v>
                </c:pt>
                <c:pt idx="14">
                  <c:v>39.9779142060213</c:v>
                </c:pt>
                <c:pt idx="15">
                  <c:v>50.3292121044872</c:v>
                </c:pt>
                <c:pt idx="16">
                  <c:v>63.3607240739176</c:v>
                </c:pt>
                <c:pt idx="17">
                  <c:v>79.7664256463333</c:v>
                </c:pt>
                <c:pt idx="18">
                  <c:v>100.419980254159</c:v>
                </c:pt>
                <c:pt idx="19">
                  <c:v>126.421264993829</c:v>
                </c:pt>
                <c:pt idx="20">
                  <c:v>159.154943091896</c:v>
                </c:pt>
                <c:pt idx="21">
                  <c:v>200.364202271043</c:v>
                </c:pt>
                <c:pt idx="22">
                  <c:v>252.243585852882</c:v>
                </c:pt>
                <c:pt idx="23">
                  <c:v>317.555860192277</c:v>
                </c:pt>
                <c:pt idx="24">
                  <c:v>399.779142060214</c:v>
                </c:pt>
                <c:pt idx="25">
                  <c:v>503.292121044873</c:v>
                </c:pt>
                <c:pt idx="26">
                  <c:v>633.607240739177</c:v>
                </c:pt>
                <c:pt idx="27">
                  <c:v>797.664256463334</c:v>
                </c:pt>
                <c:pt idx="28">
                  <c:v>1004.19980254159</c:v>
                </c:pt>
                <c:pt idx="29">
                  <c:v>1264.2126499383</c:v>
                </c:pt>
                <c:pt idx="30">
                  <c:v>1591.54943091896</c:v>
                </c:pt>
                <c:pt idx="31">
                  <c:v>2003.64202271043</c:v>
                </c:pt>
                <c:pt idx="32">
                  <c:v>2522.43585852882</c:v>
                </c:pt>
                <c:pt idx="33">
                  <c:v>3175.55860192277</c:v>
                </c:pt>
                <c:pt idx="34">
                  <c:v>3997.79142060213</c:v>
                </c:pt>
                <c:pt idx="35">
                  <c:v>5032.92121044872</c:v>
                </c:pt>
                <c:pt idx="36">
                  <c:v>6336.07240739175</c:v>
                </c:pt>
                <c:pt idx="37">
                  <c:v>7976.64256463331</c:v>
                </c:pt>
                <c:pt idx="38">
                  <c:v>10041.9980254159</c:v>
                </c:pt>
                <c:pt idx="39">
                  <c:v>12642.1264993829</c:v>
                </c:pt>
                <c:pt idx="40">
                  <c:v>15915.4943091895</c:v>
                </c:pt>
                <c:pt idx="41">
                  <c:v>20036.4202271041</c:v>
                </c:pt>
                <c:pt idx="42">
                  <c:v>25224.358585288</c:v>
                </c:pt>
                <c:pt idx="43">
                  <c:v>31755.5860192275</c:v>
                </c:pt>
                <c:pt idx="44">
                  <c:v>39977.914206021</c:v>
                </c:pt>
                <c:pt idx="45">
                  <c:v>50329.2121044868</c:v>
                </c:pt>
                <c:pt idx="46">
                  <c:v>63360.724073917</c:v>
                </c:pt>
                <c:pt idx="47">
                  <c:v>79766.4256463325</c:v>
                </c:pt>
                <c:pt idx="48">
                  <c:v>100419.980254158</c:v>
                </c:pt>
                <c:pt idx="49">
                  <c:v>126421.264993828</c:v>
                </c:pt>
                <c:pt idx="50">
                  <c:v>159154.943091894</c:v>
                </c:pt>
                <c:pt idx="51">
                  <c:v>200364.20227104</c:v>
                </c:pt>
                <c:pt idx="52">
                  <c:v>252243.585852878</c:v>
                </c:pt>
                <c:pt idx="53">
                  <c:v>317555.860192272</c:v>
                </c:pt>
                <c:pt idx="54">
                  <c:v>399779.142060207</c:v>
                </c:pt>
                <c:pt idx="55">
                  <c:v>503292.121044864</c:v>
                </c:pt>
                <c:pt idx="56">
                  <c:v>633607.240739165</c:v>
                </c:pt>
                <c:pt idx="57">
                  <c:v>797664.256463318</c:v>
                </c:pt>
                <c:pt idx="58">
                  <c:v>1004199.80254157</c:v>
                </c:pt>
                <c:pt idx="59">
                  <c:v>1264212.64993827</c:v>
                </c:pt>
                <c:pt idx="60">
                  <c:v>1591549.43091893</c:v>
                </c:pt>
              </c:numCache>
            </c:numRef>
          </c:xVal>
          <c:yVal>
            <c:numRef>
              <c:f>{0.000000006987325883,1.10741283241057E-08,1.75513365413621E-08,2.78169649831394E-08,4.40869571396729E-08,6.98731660015852E-08,1.10741465827917E-07,1.75513471822347E-07,2.78170018052954E-07,4.4086979083691E-07,6.98731505501894E-07,1.10741480882401E-06,1.75513418061226E-06,2.78170007280097E-06,4.40869721576455E-06,6.98731325464337E-06,0.0000110741430094993,0.0000175513281976843,0.0000278169665027751,0.0000440868853389848,0.0000698729154604766,0.000110740884440851,0.000175511912212388,0.000278166223961445,0.000440860210393354,0.000698707441487247,0.00110735429377193,0.00175498205717741,0.00278131778861603,0.00440773624757512,0.00698489696007316,0.0110680633665928,0.0175360164414098,0.0277783436182882,0.0439892241944414,0.0696250205974045,0.110107839708068,0.173879989683802,0.273897280160005,0.429440161899535,0.667116265511264,1.01566558998909,1.47174139844715,1.85331874106914,1.41945027598301,-0.936706715425103,-4.90810504181195,-9.35952460145533,-13.7856290976531,-18.0944186449845,-22.3011952747524,-26.4355072111507,-30.5215708639941,-34.5763478225595,-38.6110864144735,-42.6330723198428,-46.6469705538509,-50.655749939183,-54.661293368528,-58.664792621555,-62.6670011292939}</c:f>
              <c:numCache>
                <c:formatCode>General</c:formatCode>
                <c:ptCount val="61"/>
                <c:pt idx="0">
                  <c:v>6.987325883e-9</c:v>
                </c:pt>
                <c:pt idx="1">
                  <c:v>1.10741283241057e-8</c:v>
                </c:pt>
                <c:pt idx="2">
                  <c:v>1.75513365413621e-8</c:v>
                </c:pt>
                <c:pt idx="3">
                  <c:v>2.78169649831394e-8</c:v>
                </c:pt>
                <c:pt idx="4">
                  <c:v>4.40869571396729e-8</c:v>
                </c:pt>
                <c:pt idx="5">
                  <c:v>6.98731660015852e-8</c:v>
                </c:pt>
                <c:pt idx="6">
                  <c:v>1.10741465827917e-7</c:v>
                </c:pt>
                <c:pt idx="7">
                  <c:v>1.75513471822347e-7</c:v>
                </c:pt>
                <c:pt idx="8">
                  <c:v>2.78170018052954e-7</c:v>
                </c:pt>
                <c:pt idx="9">
                  <c:v>4.4086979083691e-7</c:v>
                </c:pt>
                <c:pt idx="10">
                  <c:v>6.98731505501894e-7</c:v>
                </c:pt>
                <c:pt idx="11">
                  <c:v>1.10741480882401e-6</c:v>
                </c:pt>
                <c:pt idx="12">
                  <c:v>1.75513418061226e-6</c:v>
                </c:pt>
                <c:pt idx="13">
                  <c:v>2.78170007280097e-6</c:v>
                </c:pt>
                <c:pt idx="14">
                  <c:v>4.40869721576455e-6</c:v>
                </c:pt>
                <c:pt idx="15">
                  <c:v>6.98731325464337e-6</c:v>
                </c:pt>
                <c:pt idx="16">
                  <c:v>1.10741430094993e-5</c:v>
                </c:pt>
                <c:pt idx="17">
                  <c:v>1.75513281976843e-5</c:v>
                </c:pt>
                <c:pt idx="18">
                  <c:v>2.78169665027751e-5</c:v>
                </c:pt>
                <c:pt idx="19">
                  <c:v>4.40868853389848e-5</c:v>
                </c:pt>
                <c:pt idx="20">
                  <c:v>6.98729154604766e-5</c:v>
                </c:pt>
                <c:pt idx="21">
                  <c:v>0.000110740884440851</c:v>
                </c:pt>
                <c:pt idx="22">
                  <c:v>0.000175511912212388</c:v>
                </c:pt>
                <c:pt idx="23">
                  <c:v>0.000278166223961445</c:v>
                </c:pt>
                <c:pt idx="24">
                  <c:v>0.000440860210393354</c:v>
                </c:pt>
                <c:pt idx="25">
                  <c:v>0.000698707441487247</c:v>
                </c:pt>
                <c:pt idx="26">
                  <c:v>0.00110735429377193</c:v>
                </c:pt>
                <c:pt idx="27">
                  <c:v>0.00175498205717741</c:v>
                </c:pt>
                <c:pt idx="28">
                  <c:v>0.00278131778861603</c:v>
                </c:pt>
                <c:pt idx="29">
                  <c:v>0.00440773624757512</c:v>
                </c:pt>
                <c:pt idx="30">
                  <c:v>0.00698489696007316</c:v>
                </c:pt>
                <c:pt idx="31">
                  <c:v>0.0110680633665928</c:v>
                </c:pt>
                <c:pt idx="32">
                  <c:v>0.0175360164414098</c:v>
                </c:pt>
                <c:pt idx="33">
                  <c:v>0.0277783436182882</c:v>
                </c:pt>
                <c:pt idx="34">
                  <c:v>0.0439892241944414</c:v>
                </c:pt>
                <c:pt idx="35">
                  <c:v>0.0696250205974045</c:v>
                </c:pt>
                <c:pt idx="36">
                  <c:v>0.110107839708068</c:v>
                </c:pt>
                <c:pt idx="37">
                  <c:v>0.173879989683802</c:v>
                </c:pt>
                <c:pt idx="38">
                  <c:v>0.273897280160005</c:v>
                </c:pt>
                <c:pt idx="39">
                  <c:v>0.429440161899535</c:v>
                </c:pt>
                <c:pt idx="40">
                  <c:v>0.667116265511264</c:v>
                </c:pt>
                <c:pt idx="41">
                  <c:v>1.01566558998909</c:v>
                </c:pt>
                <c:pt idx="42">
                  <c:v>1.47174139844715</c:v>
                </c:pt>
                <c:pt idx="43">
                  <c:v>1.85331874106914</c:v>
                </c:pt>
                <c:pt idx="44">
                  <c:v>1.41945027598301</c:v>
                </c:pt>
                <c:pt idx="45">
                  <c:v>-0.936706715425103</c:v>
                </c:pt>
                <c:pt idx="46">
                  <c:v>-4.90810504181195</c:v>
                </c:pt>
                <c:pt idx="47">
                  <c:v>-9.35952460145533</c:v>
                </c:pt>
                <c:pt idx="48">
                  <c:v>-13.7856290976531</c:v>
                </c:pt>
                <c:pt idx="49">
                  <c:v>-18.0944186449845</c:v>
                </c:pt>
                <c:pt idx="50">
                  <c:v>-22.3011952747524</c:v>
                </c:pt>
                <c:pt idx="51">
                  <c:v>-26.4355072111507</c:v>
                </c:pt>
                <c:pt idx="52">
                  <c:v>-30.5215708639941</c:v>
                </c:pt>
                <c:pt idx="53">
                  <c:v>-34.5763478225595</c:v>
                </c:pt>
                <c:pt idx="54">
                  <c:v>-38.6110864144735</c:v>
                </c:pt>
                <c:pt idx="55">
                  <c:v>-42.6330723198428</c:v>
                </c:pt>
                <c:pt idx="56">
                  <c:v>-46.6469705538509</c:v>
                </c:pt>
                <c:pt idx="57">
                  <c:v>-50.655749939183</c:v>
                </c:pt>
                <c:pt idx="58">
                  <c:v>-54.661293368528</c:v>
                </c:pt>
                <c:pt idx="59">
                  <c:v>-58.664792621555</c:v>
                </c:pt>
                <c:pt idx="60">
                  <c:v>-62.6670011292939</c:v>
                </c:pt>
              </c:numCache>
            </c:numRef>
          </c:yVal>
          <c:smooth val="1"/>
        </c:ser>
        <c:ser>
          <c:idx val="4"/>
          <c:order val="4"/>
          <c:tx>
            <c:strRef>
              <c:f>"8Ohm"</c:f>
              <c:strCache>
                <c:ptCount val="1"/>
                <c:pt idx="0">
                  <c:v>8Ohm</c:v>
                </c:pt>
              </c:strCache>
            </c:strRef>
          </c:tx>
          <c:spPr>
            <a:ln w="38100" cap="rnd" cmpd="sng" algn="ctr">
              <a:solidFill>
                <a:srgbClr val="000000"/>
              </a:solidFill>
              <a:prstDash val="solid"/>
              <a:round/>
            </a:ln>
          </c:spPr>
          <c:marker>
            <c:symbol val="none"/>
          </c:marker>
          <c:dLbls>
            <c:delete val="1"/>
          </c:dLbls>
          <c:xVal>
            <c:numRef>
              <c:f>{1.59154943091895,2.00364202271042,2.52243585852881,3.17555860192276,3.99779142060212,5.03292121044871,6.33607240739174,7.97664256463331,10.0419980254159,12.6421264993829,15.9154943091896,20.0364202271042,25.2243585852882,31.7555860192276,39.9779142060213,50.3292121044872,63.3607240739176,79.7664256463333,100.419980254159,126.421264993829,159.154943091896,200.364202271043,252.243585852882,317.555860192277,399.779142060214,503.292121044873,633.607240739177,797.664256463334,1004.19980254159,1264.2126499383,1591.54943091896,2003.64202271043,2522.43585852882,3175.55860192277,3997.79142060213,5032.92121044872,6336.07240739175,7976.64256463331,10041.9980254159,12642.1264993829,15915.4943091895,20036.4202271041,25224.358585288,31755.5860192275,39977.914206021,50329.2121044868,63360.724073917,79766.4256463325,100419.980254158,126421.264993828,159154.943091894,200364.20227104,252243.585852878,317555.860192272,399779.142060207,503292.121044864,633607.240739165,797664.256463318,1004199.80254157,1264212.64993827,1591549.43091893}</c:f>
              <c:numCache>
                <c:formatCode>General</c:formatCode>
                <c:ptCount val="61"/>
                <c:pt idx="0">
                  <c:v>1.59154943091895</c:v>
                </c:pt>
                <c:pt idx="1">
                  <c:v>2.00364202271042</c:v>
                </c:pt>
                <c:pt idx="2">
                  <c:v>2.52243585852881</c:v>
                </c:pt>
                <c:pt idx="3">
                  <c:v>3.17555860192276</c:v>
                </c:pt>
                <c:pt idx="4">
                  <c:v>3.99779142060212</c:v>
                </c:pt>
                <c:pt idx="5">
                  <c:v>5.03292121044871</c:v>
                </c:pt>
                <c:pt idx="6">
                  <c:v>6.33607240739174</c:v>
                </c:pt>
                <c:pt idx="7">
                  <c:v>7.97664256463331</c:v>
                </c:pt>
                <c:pt idx="8">
                  <c:v>10.0419980254159</c:v>
                </c:pt>
                <c:pt idx="9">
                  <c:v>12.6421264993829</c:v>
                </c:pt>
                <c:pt idx="10">
                  <c:v>15.9154943091896</c:v>
                </c:pt>
                <c:pt idx="11">
                  <c:v>20.0364202271042</c:v>
                </c:pt>
                <c:pt idx="12">
                  <c:v>25.2243585852882</c:v>
                </c:pt>
                <c:pt idx="13">
                  <c:v>31.7555860192276</c:v>
                </c:pt>
                <c:pt idx="14">
                  <c:v>39.9779142060213</c:v>
                </c:pt>
                <c:pt idx="15">
                  <c:v>50.3292121044872</c:v>
                </c:pt>
                <c:pt idx="16">
                  <c:v>63.3607240739176</c:v>
                </c:pt>
                <c:pt idx="17">
                  <c:v>79.7664256463333</c:v>
                </c:pt>
                <c:pt idx="18">
                  <c:v>100.419980254159</c:v>
                </c:pt>
                <c:pt idx="19">
                  <c:v>126.421264993829</c:v>
                </c:pt>
                <c:pt idx="20">
                  <c:v>159.154943091896</c:v>
                </c:pt>
                <c:pt idx="21">
                  <c:v>200.364202271043</c:v>
                </c:pt>
                <c:pt idx="22">
                  <c:v>252.243585852882</c:v>
                </c:pt>
                <c:pt idx="23">
                  <c:v>317.555860192277</c:v>
                </c:pt>
                <c:pt idx="24">
                  <c:v>399.779142060214</c:v>
                </c:pt>
                <c:pt idx="25">
                  <c:v>503.292121044873</c:v>
                </c:pt>
                <c:pt idx="26">
                  <c:v>633.607240739177</c:v>
                </c:pt>
                <c:pt idx="27">
                  <c:v>797.664256463334</c:v>
                </c:pt>
                <c:pt idx="28">
                  <c:v>1004.19980254159</c:v>
                </c:pt>
                <c:pt idx="29">
                  <c:v>1264.2126499383</c:v>
                </c:pt>
                <c:pt idx="30">
                  <c:v>1591.54943091896</c:v>
                </c:pt>
                <c:pt idx="31">
                  <c:v>2003.64202271043</c:v>
                </c:pt>
                <c:pt idx="32">
                  <c:v>2522.43585852882</c:v>
                </c:pt>
                <c:pt idx="33">
                  <c:v>3175.55860192277</c:v>
                </c:pt>
                <c:pt idx="34">
                  <c:v>3997.79142060213</c:v>
                </c:pt>
                <c:pt idx="35">
                  <c:v>5032.92121044872</c:v>
                </c:pt>
                <c:pt idx="36">
                  <c:v>6336.07240739175</c:v>
                </c:pt>
                <c:pt idx="37">
                  <c:v>7976.64256463331</c:v>
                </c:pt>
                <c:pt idx="38">
                  <c:v>10041.9980254159</c:v>
                </c:pt>
                <c:pt idx="39">
                  <c:v>12642.1264993829</c:v>
                </c:pt>
                <c:pt idx="40">
                  <c:v>15915.4943091895</c:v>
                </c:pt>
                <c:pt idx="41">
                  <c:v>20036.4202271041</c:v>
                </c:pt>
                <c:pt idx="42">
                  <c:v>25224.358585288</c:v>
                </c:pt>
                <c:pt idx="43">
                  <c:v>31755.5860192275</c:v>
                </c:pt>
                <c:pt idx="44">
                  <c:v>39977.914206021</c:v>
                </c:pt>
                <c:pt idx="45">
                  <c:v>50329.2121044868</c:v>
                </c:pt>
                <c:pt idx="46">
                  <c:v>63360.724073917</c:v>
                </c:pt>
                <c:pt idx="47">
                  <c:v>79766.4256463325</c:v>
                </c:pt>
                <c:pt idx="48">
                  <c:v>100419.980254158</c:v>
                </c:pt>
                <c:pt idx="49">
                  <c:v>126421.264993828</c:v>
                </c:pt>
                <c:pt idx="50">
                  <c:v>159154.943091894</c:v>
                </c:pt>
                <c:pt idx="51">
                  <c:v>200364.20227104</c:v>
                </c:pt>
                <c:pt idx="52">
                  <c:v>252243.585852878</c:v>
                </c:pt>
                <c:pt idx="53">
                  <c:v>317555.860192272</c:v>
                </c:pt>
                <c:pt idx="54">
                  <c:v>399779.142060207</c:v>
                </c:pt>
                <c:pt idx="55">
                  <c:v>503292.121044864</c:v>
                </c:pt>
                <c:pt idx="56">
                  <c:v>633607.240739165</c:v>
                </c:pt>
                <c:pt idx="57">
                  <c:v>797664.256463318</c:v>
                </c:pt>
                <c:pt idx="58">
                  <c:v>1004199.80254157</c:v>
                </c:pt>
                <c:pt idx="59">
                  <c:v>1264212.64993827</c:v>
                </c:pt>
                <c:pt idx="60">
                  <c:v>1591549.43091893</c:v>
                </c:pt>
              </c:numCache>
            </c:numRef>
          </c:xVal>
          <c:yVal>
            <c:numRef>
              <c:f>{9.09847014391854E-09,1.44201324760924E-08,2.28543526325129E-08,3.62216786348527E-08,5.74074900836587E-08,9.09846932956865E-08,0.0000001442009784544,2.28543263250668E-07,0.0000003622166233302,5.74074582892436E-07,9.09846980715731E-07,1.44201024191029E-06,2.28543224811159E-06,3.62216613409939E-06,5.74074664227711E-06,9.09847089159577E-06,0.0000144201059856836,0.0000228543312511747,0.0000362216827843353,0.0000574075205304994,0.0000909848437447771,0.000144201398285368,0.000228544163352192,0.00036221896461477,0.000574080571407991,0.000909861915420407,0.00144204783316247,0.00228552663990392,0.00362240309227651,0.0057413415432569,0.00909996380754405,0.0144238508056129,0.0228637171370565,0.0362451760841903,0.0574662002320995,0.0911309002688438,0.144562839706351,0.229429775266687,0.364350577370695,0.579036941248024,0.920536257081534,1.46043522090409,2.288082946184,3.38085780365041,3.82492872897231,1.22283199135031,-3.66541350405954,-8.69688367313446,-13.4190594339244,-17.8827690219023,-22.1751026429401,-26.3588066534432,-30.4742857015001,-34.5469473526952,-38.5927070766441,-42.6215433913335,-46.6397231055529,-50.651187753528,-54.6584190543961,-58.6629807342243,-62.6658585749317}</c:f>
              <c:numCache>
                <c:formatCode>General</c:formatCode>
                <c:ptCount val="61"/>
                <c:pt idx="0">
                  <c:v>9.09847014391854e-9</c:v>
                </c:pt>
                <c:pt idx="1">
                  <c:v>1.44201324760924e-8</c:v>
                </c:pt>
                <c:pt idx="2">
                  <c:v>2.28543526325129e-8</c:v>
                </c:pt>
                <c:pt idx="3">
                  <c:v>3.62216786348527e-8</c:v>
                </c:pt>
                <c:pt idx="4">
                  <c:v>5.74074900836587e-8</c:v>
                </c:pt>
                <c:pt idx="5">
                  <c:v>9.09846932956865e-8</c:v>
                </c:pt>
                <c:pt idx="6">
                  <c:v>1.442009784544e-7</c:v>
                </c:pt>
                <c:pt idx="7">
                  <c:v>2.28543263250668e-7</c:v>
                </c:pt>
                <c:pt idx="8">
                  <c:v>3.622166233302e-7</c:v>
                </c:pt>
                <c:pt idx="9">
                  <c:v>5.74074582892436e-7</c:v>
                </c:pt>
                <c:pt idx="10">
                  <c:v>9.09846980715731e-7</c:v>
                </c:pt>
                <c:pt idx="11">
                  <c:v>1.44201024191029e-6</c:v>
                </c:pt>
                <c:pt idx="12">
                  <c:v>2.28543224811159e-6</c:v>
                </c:pt>
                <c:pt idx="13">
                  <c:v>3.62216613409939e-6</c:v>
                </c:pt>
                <c:pt idx="14">
                  <c:v>5.74074664227711e-6</c:v>
                </c:pt>
                <c:pt idx="15">
                  <c:v>9.09847089159577e-6</c:v>
                </c:pt>
                <c:pt idx="16">
                  <c:v>1.44201059856836e-5</c:v>
                </c:pt>
                <c:pt idx="17">
                  <c:v>2.28543312511747e-5</c:v>
                </c:pt>
                <c:pt idx="18">
                  <c:v>3.62216827843353e-5</c:v>
                </c:pt>
                <c:pt idx="19">
                  <c:v>5.74075205304994e-5</c:v>
                </c:pt>
                <c:pt idx="20">
                  <c:v>9.09848437447771e-5</c:v>
                </c:pt>
                <c:pt idx="21">
                  <c:v>0.000144201398285368</c:v>
                </c:pt>
                <c:pt idx="22">
                  <c:v>0.000228544163352192</c:v>
                </c:pt>
                <c:pt idx="23">
                  <c:v>0.00036221896461477</c:v>
                </c:pt>
                <c:pt idx="24">
                  <c:v>0.000574080571407991</c:v>
                </c:pt>
                <c:pt idx="25">
                  <c:v>0.000909861915420407</c:v>
                </c:pt>
                <c:pt idx="26">
                  <c:v>0.00144204783316247</c:v>
                </c:pt>
                <c:pt idx="27">
                  <c:v>0.00228552663990392</c:v>
                </c:pt>
                <c:pt idx="28">
                  <c:v>0.00362240309227651</c:v>
                </c:pt>
                <c:pt idx="29">
                  <c:v>0.0057413415432569</c:v>
                </c:pt>
                <c:pt idx="30">
                  <c:v>0.00909996380754405</c:v>
                </c:pt>
                <c:pt idx="31">
                  <c:v>0.0144238508056129</c:v>
                </c:pt>
                <c:pt idx="32">
                  <c:v>0.0228637171370565</c:v>
                </c:pt>
                <c:pt idx="33">
                  <c:v>0.0362451760841903</c:v>
                </c:pt>
                <c:pt idx="34">
                  <c:v>0.0574662002320995</c:v>
                </c:pt>
                <c:pt idx="35">
                  <c:v>0.0911309002688438</c:v>
                </c:pt>
                <c:pt idx="36">
                  <c:v>0.144562839706351</c:v>
                </c:pt>
                <c:pt idx="37">
                  <c:v>0.229429775266687</c:v>
                </c:pt>
                <c:pt idx="38">
                  <c:v>0.364350577370695</c:v>
                </c:pt>
                <c:pt idx="39">
                  <c:v>0.579036941248024</c:v>
                </c:pt>
                <c:pt idx="40">
                  <c:v>0.920536257081534</c:v>
                </c:pt>
                <c:pt idx="41">
                  <c:v>1.46043522090409</c:v>
                </c:pt>
                <c:pt idx="42">
                  <c:v>2.288082946184</c:v>
                </c:pt>
                <c:pt idx="43">
                  <c:v>3.38085780365041</c:v>
                </c:pt>
                <c:pt idx="44">
                  <c:v>3.82492872897231</c:v>
                </c:pt>
                <c:pt idx="45">
                  <c:v>1.22283199135031</c:v>
                </c:pt>
                <c:pt idx="46">
                  <c:v>-3.66541350405954</c:v>
                </c:pt>
                <c:pt idx="47">
                  <c:v>-8.69688367313446</c:v>
                </c:pt>
                <c:pt idx="48">
                  <c:v>-13.4190594339244</c:v>
                </c:pt>
                <c:pt idx="49">
                  <c:v>-17.8827690219023</c:v>
                </c:pt>
                <c:pt idx="50">
                  <c:v>-22.1751026429401</c:v>
                </c:pt>
                <c:pt idx="51">
                  <c:v>-26.3588066534432</c:v>
                </c:pt>
                <c:pt idx="52">
                  <c:v>-30.4742857015001</c:v>
                </c:pt>
                <c:pt idx="53">
                  <c:v>-34.5469473526952</c:v>
                </c:pt>
                <c:pt idx="54">
                  <c:v>-38.5927070766441</c:v>
                </c:pt>
                <c:pt idx="55">
                  <c:v>-42.6215433913335</c:v>
                </c:pt>
                <c:pt idx="56">
                  <c:v>-46.6397231055529</c:v>
                </c:pt>
                <c:pt idx="57">
                  <c:v>-50.651187753528</c:v>
                </c:pt>
                <c:pt idx="58">
                  <c:v>-54.6584190543961</c:v>
                </c:pt>
                <c:pt idx="59">
                  <c:v>-58.6629807342243</c:v>
                </c:pt>
                <c:pt idx="60">
                  <c:v>-62.6658585749317</c:v>
                </c:pt>
              </c:numCache>
            </c:numRef>
          </c:yVal>
          <c:smooth val="1"/>
        </c:ser>
        <c:dLbls>
          <c:showLegendKey val="0"/>
          <c:showVal val="0"/>
          <c:showCatName val="0"/>
          <c:showSerName val="0"/>
          <c:showPercent val="0"/>
          <c:showBubbleSize val="0"/>
        </c:dLbls>
        <c:axId val="1235281680"/>
        <c:axId val="1235275696"/>
      </c:scatterChart>
      <c:valAx>
        <c:axId val="1235281680"/>
        <c:scaling>
          <c:orientation val="minMax"/>
          <c:max val="100000"/>
          <c:min val="0"/>
        </c:scaling>
        <c:delete val="0"/>
        <c:axPos val="b"/>
        <c:majorGridlines>
          <c:spPr>
            <a:ln w="3175" cap="flat" cmpd="sng" algn="ctr">
              <a:solidFill>
                <a:srgbClr val="000000"/>
              </a:solidFill>
              <a:prstDash val="solid"/>
              <a:round/>
            </a:ln>
          </c:spPr>
        </c:majorGridlines>
        <c:minorGridlines>
          <c:spPr>
            <a:ln w="3175" cap="flat" cmpd="sng" algn="ctr">
              <a:solidFill>
                <a:srgbClr val="000000"/>
              </a:solidFill>
              <a:prstDash val="solid"/>
              <a:round/>
            </a:ln>
          </c:spPr>
        </c:minorGridlines>
        <c:title>
          <c:tx>
            <c:rich>
              <a:bodyPr rot="0" spcFirstLastPara="0" vertOverflow="ellipsis" vert="horz" wrap="square" anchor="ctr" anchorCtr="1"/>
              <a:lstStyle/>
              <a:p>
                <a:pPr>
                  <a:defRPr lang="zh-CN" sz="800" b="1" i="0" u="none" strike="noStrike" kern="1200" baseline="0">
                    <a:solidFill>
                      <a:srgbClr val="000000"/>
                    </a:solidFill>
                    <a:latin typeface="+mn-lt"/>
                    <a:ea typeface="Arial" panose="020B0604020202020204"/>
                    <a:cs typeface="Arial" panose="020B0604020202020204"/>
                  </a:defRPr>
                </a:pPr>
                <a:r>
                  <a:rPr lang="en-US" b="1">
                    <a:latin typeface="+mn-lt"/>
                  </a:rPr>
                  <a:t>Frequency (Hz)</a:t>
                </a:r>
                <a:endParaRPr lang="en-US" b="1">
                  <a:latin typeface="+mn-lt"/>
                </a:endParaRPr>
              </a:p>
            </c:rich>
          </c:tx>
          <c:layout/>
          <c:overlay val="0"/>
        </c:title>
        <c:numFmt formatCode="General" sourceLinked="0"/>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235275696"/>
        <c:crossesAt val="-40"/>
        <c:crossBetween val="midCat"/>
        <c:majorUnit val="10000"/>
        <c:minorUnit val="5000"/>
      </c:valAx>
      <c:valAx>
        <c:axId val="1235275696"/>
        <c:scaling>
          <c:orientation val="minMax"/>
          <c:max val="1"/>
          <c:min val="-3"/>
        </c:scaling>
        <c:delete val="0"/>
        <c:axPos val="l"/>
        <c:majorGridlines>
          <c:spPr>
            <a:ln w="3175" cap="flat" cmpd="sng" algn="ctr">
              <a:solidFill>
                <a:srgbClr val="000000"/>
              </a:solidFill>
              <a:prstDash val="solid"/>
              <a:round/>
            </a:ln>
          </c:spPr>
        </c:majorGridlines>
        <c:minorGridlines>
          <c:spPr>
            <a:ln w="3175" cap="flat" cmpd="sng" algn="ctr">
              <a:solidFill>
                <a:srgbClr val="000000"/>
              </a:solidFill>
              <a:prstDash val="solid"/>
              <a:round/>
            </a:ln>
          </c:spPr>
        </c:minorGridlines>
        <c:title>
          <c:tx>
            <c:rich>
              <a:bodyPr rot="-5400000" spcFirstLastPara="0" vertOverflow="ellipsis" vert="horz" wrap="square" anchor="ctr" anchorCtr="1"/>
              <a:lstStyle/>
              <a:p>
                <a:pPr>
                  <a:defRPr lang="zh-CN" sz="800" b="1" i="0" u="none" strike="noStrike" kern="1200" baseline="0">
                    <a:solidFill>
                      <a:srgbClr val="000000"/>
                    </a:solidFill>
                    <a:latin typeface="+mn-lt"/>
                    <a:ea typeface="Arial" panose="020B0604020202020204"/>
                    <a:cs typeface="Arial" panose="020B0604020202020204"/>
                  </a:defRPr>
                </a:pPr>
                <a:r>
                  <a:rPr lang="en-US" b="1">
                    <a:latin typeface="+mn-lt"/>
                  </a:rPr>
                  <a:t>Gain</a:t>
                </a:r>
                <a:r>
                  <a:rPr lang="en-US" b="1" baseline="0">
                    <a:latin typeface="+mn-lt"/>
                  </a:rPr>
                  <a:t> (dB)</a:t>
                </a:r>
                <a:endParaRPr lang="en-US" b="1">
                  <a:latin typeface="+mn-lt"/>
                </a:endParaRPr>
              </a:p>
            </c:rich>
          </c:tx>
          <c:layout>
            <c:manualLayout>
              <c:xMode val="edge"/>
              <c:yMode val="edge"/>
              <c:x val="0.00961601455598007"/>
              <c:y val="0.436654475049311"/>
            </c:manualLayout>
          </c:layout>
          <c:overlay val="0"/>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235281680"/>
        <c:crosses val="autoZero"/>
        <c:crossBetween val="midCat"/>
        <c:majorUnit val="0.5"/>
        <c:minorUnit val="0.1"/>
      </c:valAx>
      <c:spPr>
        <a:solidFill>
          <a:srgbClr val="FFFFFF"/>
        </a:solidFill>
        <a:ln w="12700" cmpd="dbl">
          <a:solidFill>
            <a:srgbClr val="808080"/>
          </a:solidFill>
          <a:prstDash val="solid"/>
        </a:ln>
      </c:spPr>
    </c:plotArea>
    <c:legend>
      <c:legendPos val="r"/>
      <c:layout>
        <c:manualLayout>
          <c:xMode val="edge"/>
          <c:yMode val="edge"/>
          <c:x val="0.842733243802994"/>
          <c:y val="0.3945845933312"/>
          <c:w val="0.147059423218351"/>
          <c:h val="0.185686856841154"/>
        </c:manualLayout>
      </c:layout>
      <c:overlay val="0"/>
      <c:spPr>
        <a:noFill/>
        <a:ln w="3175">
          <a:noFill/>
          <a:prstDash val="solid"/>
        </a:ln>
      </c:spPr>
      <c:txPr>
        <a:bodyPr rot="0" spcFirstLastPara="0" vertOverflow="ellipsis" vert="horz" wrap="square" anchor="ctr" anchorCtr="1"/>
        <a:lstStyle/>
        <a:p>
          <a:pPr>
            <a:defRPr lang="zh-CN" sz="73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noFill/>
      <a:prstDash val="solid"/>
      <a:round/>
    </a:ln>
  </c:spPr>
  <c:txPr>
    <a:bodyPr/>
    <a:lstStyle/>
    <a:p>
      <a:pPr>
        <a:defRPr lang="zh-CN" sz="80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1" i="0" u="none" strike="noStrike" kern="1200" cap="none" baseline="0">
                <a:solidFill>
                  <a:schemeClr val="lt1">
                    <a:lumMod val="85000"/>
                  </a:schemeClr>
                </a:solidFill>
                <a:latin typeface="+mn-lt"/>
                <a:ea typeface="+mn-ea"/>
                <a:cs typeface="+mn-cs"/>
              </a:defRPr>
            </a:pPr>
            <a:r>
              <a:rPr lang="en-US"/>
              <a:t>RC</a:t>
            </a:r>
            <a:r>
              <a:rPr lang="zh-CN"/>
              <a:t>充电曲线</a:t>
            </a:r>
            <a:r>
              <a:rPr lang="en-US" altLang="zh-CN"/>
              <a:t>(V/RC)</a:t>
            </a:r>
            <a:endParaRPr lang="zh-CN"/>
          </a:p>
        </c:rich>
      </c:tx>
      <c:layout/>
      <c:overlay val="0"/>
      <c:spPr>
        <a:noFill/>
        <a:ln>
          <a:noFill/>
        </a:ln>
        <a:effectLst/>
      </c:spPr>
    </c:title>
    <c:autoTitleDeleted val="0"/>
    <c:plotArea>
      <c:layout/>
      <c:scatterChart>
        <c:scatterStyle val="smoothMarker"/>
        <c:varyColors val="0"/>
        <c:ser>
          <c:idx val="0"/>
          <c:order val="0"/>
          <c:tx>
            <c:strRef>
              <c:f>"RC充电"</c:f>
              <c:strCache>
                <c:ptCount val="1"/>
                <c:pt idx="0">
                  <c:v>RC充电</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Lbls>
            <c:delete val="1"/>
          </c:dLbls>
          <c:xVal>
            <c:numRef>
              <c:f>'3_电容RC充电计算器'!$N$7:$N$35</c:f>
              <c:numCache>
                <c:formatCode>General</c:formatCode>
                <c:ptCount val="29"/>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numCache>
            </c:numRef>
          </c:xVal>
          <c:yVal>
            <c:numRef>
              <c:f>'3_电容RC充电计算器'!$R$7:$R$35</c:f>
              <c:numCache>
                <c:formatCode>General</c:formatCode>
                <c:ptCount val="29"/>
                <c:pt idx="0">
                  <c:v>5</c:v>
                </c:pt>
                <c:pt idx="1">
                  <c:v>6.10599608464298</c:v>
                </c:pt>
                <c:pt idx="2">
                  <c:v>6.96734670143683</c:v>
                </c:pt>
                <c:pt idx="3">
                  <c:v>7.63816723629493</c:v>
                </c:pt>
                <c:pt idx="4">
                  <c:v>8.16060279414279</c:v>
                </c:pt>
                <c:pt idx="5">
                  <c:v>8.56747601569905</c:v>
                </c:pt>
                <c:pt idx="6">
                  <c:v>8.88434919925785</c:v>
                </c:pt>
                <c:pt idx="7">
                  <c:v>9.13113028274777</c:v>
                </c:pt>
                <c:pt idx="8">
                  <c:v>9.32332358381694</c:v>
                </c:pt>
                <c:pt idx="9">
                  <c:v>9.47300387719068</c:v>
                </c:pt>
                <c:pt idx="10">
                  <c:v>9.5895750068805</c:v>
                </c:pt>
                <c:pt idx="11">
                  <c:v>9.68036069396646</c:v>
                </c:pt>
                <c:pt idx="12">
                  <c:v>9.75106465816068</c:v>
                </c:pt>
                <c:pt idx="13">
                  <c:v>9.80612896084139</c:v>
                </c:pt>
                <c:pt idx="14">
                  <c:v>9.84901308288841</c:v>
                </c:pt>
                <c:pt idx="15">
                  <c:v>9.88241127071995</c:v>
                </c:pt>
                <c:pt idx="16">
                  <c:v>9.90842180555633</c:v>
                </c:pt>
                <c:pt idx="17">
                  <c:v>9.928678830455</c:v>
                </c:pt>
                <c:pt idx="18">
                  <c:v>9.94445501730879</c:v>
                </c:pt>
                <c:pt idx="19">
                  <c:v>9.9567415239844</c:v>
                </c:pt>
                <c:pt idx="20">
                  <c:v>9.96631026500457</c:v>
                </c:pt>
                <c:pt idx="21">
                  <c:v>9.97376240800409</c:v>
                </c:pt>
                <c:pt idx="22">
                  <c:v>9.97956614280768</c:v>
                </c:pt>
                <c:pt idx="23">
                  <c:v>9.98408609601745</c:v>
                </c:pt>
                <c:pt idx="24">
                  <c:v>9.98760623911667</c:v>
                </c:pt>
                <c:pt idx="25">
                  <c:v>9.99034772931886</c:v>
                </c:pt>
                <c:pt idx="26">
                  <c:v>9.99248280403511</c:v>
                </c:pt>
                <c:pt idx="27">
                  <c:v>9.99414560189604</c:v>
                </c:pt>
                <c:pt idx="28">
                  <c:v>9.99544059017223</c:v>
                </c:pt>
              </c:numCache>
            </c:numRef>
          </c:yVal>
          <c:smooth val="1"/>
        </c:ser>
        <c:dLbls>
          <c:showLegendKey val="0"/>
          <c:showVal val="0"/>
          <c:showCatName val="0"/>
          <c:showSerName val="0"/>
          <c:showPercent val="0"/>
          <c:showBubbleSize val="0"/>
        </c:dLbls>
        <c:axId val="1235280592"/>
        <c:axId val="1235280048"/>
      </c:scatterChart>
      <c:valAx>
        <c:axId val="1235280592"/>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zh-CN" sz="900" b="0" i="0" u="none" strike="noStrike" kern="1200" baseline="0">
                <a:solidFill>
                  <a:schemeClr val="lt1">
                    <a:lumMod val="75000"/>
                  </a:schemeClr>
                </a:solidFill>
                <a:latin typeface="+mn-lt"/>
                <a:ea typeface="+mn-ea"/>
                <a:cs typeface="+mn-cs"/>
              </a:defRPr>
            </a:pPr>
          </a:p>
        </c:txPr>
        <c:crossAx val="1235280048"/>
        <c:crosses val="autoZero"/>
        <c:crossBetween val="midCat"/>
        <c:majorUnit val="0.25"/>
        <c:minorUnit val="0.1"/>
      </c:valAx>
      <c:valAx>
        <c:axId val="123528004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75000"/>
                  </a:schemeClr>
                </a:solidFill>
                <a:latin typeface="+mn-lt"/>
                <a:ea typeface="+mn-ea"/>
                <a:cs typeface="+mn-cs"/>
              </a:defRPr>
            </a:pPr>
          </a:p>
        </c:txPr>
        <c:crossAx val="1235280592"/>
        <c:crosses val="autoZero"/>
        <c:crossBetween val="midCat"/>
        <c:majorUnit val="0.5"/>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1" i="0" u="none" strike="noStrike" kern="1200" cap="none" baseline="0">
                <a:solidFill>
                  <a:schemeClr val="lt1">
                    <a:lumMod val="85000"/>
                  </a:schemeClr>
                </a:solidFill>
                <a:latin typeface="+mn-lt"/>
                <a:ea typeface="+mn-ea"/>
                <a:cs typeface="+mn-cs"/>
              </a:defRPr>
            </a:pPr>
            <a:r>
              <a:rPr lang="en-US"/>
              <a:t>RC</a:t>
            </a:r>
            <a:r>
              <a:rPr lang="zh-CN" altLang="en-US"/>
              <a:t>放电</a:t>
            </a:r>
            <a:r>
              <a:rPr lang="zh-CN"/>
              <a:t>曲线</a:t>
            </a:r>
            <a:r>
              <a:rPr lang="en-US" altLang="zh-CN"/>
              <a:t>(V/RC)</a:t>
            </a:r>
            <a:endParaRPr lang="zh-CN"/>
          </a:p>
        </c:rich>
      </c:tx>
      <c:layout/>
      <c:overlay val="0"/>
      <c:spPr>
        <a:noFill/>
        <a:ln>
          <a:noFill/>
        </a:ln>
        <a:effectLst/>
      </c:spPr>
    </c:title>
    <c:autoTitleDeleted val="0"/>
    <c:plotArea>
      <c:layout/>
      <c:scatterChart>
        <c:scatterStyle val="smoothMarker"/>
        <c:varyColors val="0"/>
        <c:ser>
          <c:idx val="0"/>
          <c:order val="0"/>
          <c:tx>
            <c:strRef>
              <c:f>"RC充电"</c:f>
              <c:strCache>
                <c:ptCount val="1"/>
                <c:pt idx="0">
                  <c:v>RC充电</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Lbls>
            <c:delete val="1"/>
          </c:dLbls>
          <c:xVal>
            <c:numRef>
              <c:f>'4_电容RC放电计算器 '!$N$3:$N$31</c:f>
              <c:numCache>
                <c:formatCode>General</c:formatCode>
                <c:ptCount val="29"/>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numCache>
            </c:numRef>
          </c:xVal>
          <c:yVal>
            <c:numRef>
              <c:f>'4_电容RC放电计算器 '!$R$3:$R$31</c:f>
              <c:numCache>
                <c:formatCode>General</c:formatCode>
                <c:ptCount val="29"/>
                <c:pt idx="0">
                  <c:v>5</c:v>
                </c:pt>
                <c:pt idx="1">
                  <c:v>3.89400391535702</c:v>
                </c:pt>
                <c:pt idx="2">
                  <c:v>3.03265329856317</c:v>
                </c:pt>
                <c:pt idx="3">
                  <c:v>2.36183276370507</c:v>
                </c:pt>
                <c:pt idx="4">
                  <c:v>1.83939720585721</c:v>
                </c:pt>
                <c:pt idx="5">
                  <c:v>1.43252398430095</c:v>
                </c:pt>
                <c:pt idx="6">
                  <c:v>1.11565080074215</c:v>
                </c:pt>
                <c:pt idx="7">
                  <c:v>0.868869717252226</c:v>
                </c:pt>
                <c:pt idx="8">
                  <c:v>0.676676416183064</c:v>
                </c:pt>
                <c:pt idx="9">
                  <c:v>0.526996122809322</c:v>
                </c:pt>
                <c:pt idx="10">
                  <c:v>0.410424993119494</c:v>
                </c:pt>
                <c:pt idx="11">
                  <c:v>0.319639306033538</c:v>
                </c:pt>
                <c:pt idx="12">
                  <c:v>0.24893534183932</c:v>
                </c:pt>
                <c:pt idx="13">
                  <c:v>0.19387103915861</c:v>
                </c:pt>
                <c:pt idx="14">
                  <c:v>0.150986917111593</c:v>
                </c:pt>
                <c:pt idx="15">
                  <c:v>0.117588729280046</c:v>
                </c:pt>
                <c:pt idx="16">
                  <c:v>0.0915781944436709</c:v>
                </c:pt>
                <c:pt idx="17">
                  <c:v>0.0713211695449963</c:v>
                </c:pt>
                <c:pt idx="18">
                  <c:v>0.0555449826912115</c:v>
                </c:pt>
                <c:pt idx="19">
                  <c:v>0.0432584760156032</c:v>
                </c:pt>
                <c:pt idx="20">
                  <c:v>0.0336897349954273</c:v>
                </c:pt>
                <c:pt idx="21">
                  <c:v>0.0262375919959069</c:v>
                </c:pt>
                <c:pt idx="22">
                  <c:v>0.0204338571923203</c:v>
                </c:pt>
                <c:pt idx="23">
                  <c:v>0.0159139039825483</c:v>
                </c:pt>
                <c:pt idx="24">
                  <c:v>0.0123937608833318</c:v>
                </c:pt>
                <c:pt idx="25">
                  <c:v>0.00965227068113855</c:v>
                </c:pt>
                <c:pt idx="26">
                  <c:v>0.00751719596488786</c:v>
                </c:pt>
                <c:pt idx="27">
                  <c:v>0.00585439810395587</c:v>
                </c:pt>
                <c:pt idx="28">
                  <c:v>0.00455940982777258</c:v>
                </c:pt>
              </c:numCache>
            </c:numRef>
          </c:yVal>
          <c:smooth val="1"/>
        </c:ser>
        <c:dLbls>
          <c:showLegendKey val="0"/>
          <c:showVal val="0"/>
          <c:showCatName val="0"/>
          <c:showSerName val="0"/>
          <c:showPercent val="0"/>
          <c:showBubbleSize val="0"/>
        </c:dLbls>
        <c:axId val="1235277872"/>
        <c:axId val="1235273520"/>
      </c:scatterChart>
      <c:valAx>
        <c:axId val="1235277872"/>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zh-CN" sz="900" b="0" i="0" u="none" strike="noStrike" kern="1200" baseline="0">
                <a:solidFill>
                  <a:schemeClr val="lt1">
                    <a:lumMod val="75000"/>
                  </a:schemeClr>
                </a:solidFill>
                <a:latin typeface="+mn-lt"/>
                <a:ea typeface="+mn-ea"/>
                <a:cs typeface="+mn-cs"/>
              </a:defRPr>
            </a:pPr>
          </a:p>
        </c:txPr>
        <c:crossAx val="1235273520"/>
        <c:crosses val="autoZero"/>
        <c:crossBetween val="midCat"/>
        <c:majorUnit val="0.25"/>
        <c:minorUnit val="0.1"/>
      </c:valAx>
      <c:valAx>
        <c:axId val="1235273520"/>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75000"/>
                  </a:schemeClr>
                </a:solidFill>
                <a:latin typeface="+mn-lt"/>
                <a:ea typeface="+mn-ea"/>
                <a:cs typeface="+mn-cs"/>
              </a:defRPr>
            </a:pPr>
          </a:p>
        </c:txPr>
        <c:crossAx val="1235277872"/>
        <c:crosses val="autoZero"/>
        <c:crossBetween val="midCat"/>
        <c:majorUnit val="0.5"/>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Noise Voltage</a:t>
            </a:r>
            <a:r>
              <a:rPr lang="en-US" baseline="0"/>
              <a:t> Density vs. Resistance</a:t>
            </a:r>
            <a:endParaRPr lang="en-US"/>
          </a:p>
        </c:rich>
      </c:tx>
      <c:layout>
        <c:manualLayout>
          <c:xMode val="edge"/>
          <c:yMode val="edge"/>
          <c:x val="0.240435503465003"/>
          <c:y val="0.0899940793368858"/>
        </c:manualLayout>
      </c:layout>
      <c:overlay val="1"/>
      <c:spPr>
        <a:solidFill>
          <a:schemeClr val="bg1"/>
        </a:solidFill>
      </c:spPr>
    </c:title>
    <c:autoTitleDeleted val="0"/>
    <c:plotArea>
      <c:layout>
        <c:manualLayout>
          <c:layoutTarget val="inner"/>
          <c:xMode val="edge"/>
          <c:yMode val="edge"/>
          <c:x val="0.165385357275159"/>
          <c:y val="0.0306487775984524"/>
          <c:w val="0.795347062007461"/>
          <c:h val="0.836137439341822"/>
        </c:manualLayout>
      </c:layout>
      <c:scatterChart>
        <c:scatterStyle val="smooth"/>
        <c:varyColors val="0"/>
        <c:ser>
          <c:idx val="0"/>
          <c:order val="0"/>
          <c:tx>
            <c:strRef>
              <c:f>"25'C"</c:f>
              <c:strCache>
                <c:ptCount val="1"/>
                <c:pt idx="0">
                  <c:v>25'C</c:v>
                </c:pt>
              </c:strCache>
            </c:strRef>
          </c:tx>
          <c:spPr>
            <a:ln w="28575" cap="rnd" cmpd="sng" algn="ctr">
              <a:solidFill>
                <a:schemeClr val="tx1"/>
              </a:solidFill>
              <a:prstDash val="solid"/>
              <a:round/>
            </a:ln>
          </c:spPr>
          <c:marker>
            <c:symbol val="none"/>
          </c:marker>
          <c:dLbls>
            <c:delete val="1"/>
          </c:dLbls>
          <c:xVal>
            <c:numRef>
              <c:f>'5_电阻噪声计算'!$A$14:$A$20</c:f>
              <c:numCache>
                <c:formatCode>General</c:formatCode>
                <c:ptCount val="7"/>
                <c:pt idx="0">
                  <c:v>10</c:v>
                </c:pt>
                <c:pt idx="1">
                  <c:v>100</c:v>
                </c:pt>
                <c:pt idx="2">
                  <c:v>1000</c:v>
                </c:pt>
                <c:pt idx="3">
                  <c:v>10000</c:v>
                </c:pt>
                <c:pt idx="4">
                  <c:v>100000</c:v>
                </c:pt>
                <c:pt idx="5" c:formatCode="0.00E+00">
                  <c:v>1000000</c:v>
                </c:pt>
                <c:pt idx="6" c:formatCode="0.00E+00">
                  <c:v>10000000</c:v>
                </c:pt>
              </c:numCache>
            </c:numRef>
          </c:xVal>
          <c:yVal>
            <c:numRef>
              <c:f>'5_电阻噪声计算'!$C$14:$C$20</c:f>
              <c:numCache>
                <c:formatCode>0.000E+00</c:formatCode>
                <c:ptCount val="7"/>
                <c:pt idx="0">
                  <c:v>4.05581064646761e-10</c:v>
                </c:pt>
                <c:pt idx="1">
                  <c:v>1.28255994011976e-9</c:v>
                </c:pt>
                <c:pt idx="2">
                  <c:v>4.05581064646761e-9</c:v>
                </c:pt>
                <c:pt idx="3">
                  <c:v>1.28255994011976e-8</c:v>
                </c:pt>
                <c:pt idx="4">
                  <c:v>4.05581064646761e-8</c:v>
                </c:pt>
                <c:pt idx="5">
                  <c:v>1.28255994011976e-7</c:v>
                </c:pt>
                <c:pt idx="6">
                  <c:v>4.05581064646761e-7</c:v>
                </c:pt>
              </c:numCache>
            </c:numRef>
          </c:yVal>
          <c:smooth val="1"/>
        </c:ser>
        <c:ser>
          <c:idx val="1"/>
          <c:order val="1"/>
          <c:spPr>
            <a:ln w="28575" cap="rnd" cmpd="sng" algn="ctr">
              <a:solidFill>
                <a:schemeClr val="accent2">
                  <a:shade val="95000"/>
                  <a:satMod val="105000"/>
                </a:schemeClr>
              </a:solidFill>
              <a:prstDash val="dash"/>
              <a:round/>
            </a:ln>
          </c:spPr>
          <c:marker>
            <c:symbol val="none"/>
          </c:marker>
          <c:dLbls>
            <c:delete val="1"/>
          </c:dLbls>
          <c:xVal>
            <c:numRef>
              <c:f>'5_电阻噪声计算'!$A$14:$A$20</c:f>
              <c:numCache>
                <c:formatCode>General</c:formatCode>
                <c:ptCount val="7"/>
                <c:pt idx="0">
                  <c:v>10</c:v>
                </c:pt>
                <c:pt idx="1">
                  <c:v>100</c:v>
                </c:pt>
                <c:pt idx="2">
                  <c:v>1000</c:v>
                </c:pt>
                <c:pt idx="3">
                  <c:v>10000</c:v>
                </c:pt>
                <c:pt idx="4">
                  <c:v>100000</c:v>
                </c:pt>
                <c:pt idx="5" c:formatCode="0.00E+00">
                  <c:v>1000000</c:v>
                </c:pt>
                <c:pt idx="6" c:formatCode="0.00E+00">
                  <c:v>10000000</c:v>
                </c:pt>
              </c:numCache>
            </c:numRef>
          </c:xVal>
          <c:yVal>
            <c:numRef>
              <c:f>'5_电阻噪声计算'!$D$14:$D$20</c:f>
              <c:numCache>
                <c:formatCode>0.000E+00</c:formatCode>
                <c:ptCount val="7"/>
                <c:pt idx="0">
                  <c:v>4.68717398866311e-10</c:v>
                </c:pt>
                <c:pt idx="1">
                  <c:v>1.48221455936717e-9</c:v>
                </c:pt>
                <c:pt idx="2">
                  <c:v>4.68717398866311e-9</c:v>
                </c:pt>
                <c:pt idx="3">
                  <c:v>1.48221455936717e-8</c:v>
                </c:pt>
                <c:pt idx="4">
                  <c:v>4.6871739886631e-8</c:v>
                </c:pt>
                <c:pt idx="5">
                  <c:v>1.48221455936717e-7</c:v>
                </c:pt>
                <c:pt idx="6">
                  <c:v>4.6871739886631e-7</c:v>
                </c:pt>
              </c:numCache>
            </c:numRef>
          </c:yVal>
          <c:smooth val="1"/>
        </c:ser>
        <c:ser>
          <c:idx val="2"/>
          <c:order val="2"/>
          <c:spPr>
            <a:ln w="28575" cap="rnd" cmpd="sng" algn="ctr">
              <a:solidFill>
                <a:schemeClr val="tx2">
                  <a:lumMod val="60000"/>
                  <a:lumOff val="40000"/>
                </a:schemeClr>
              </a:solidFill>
              <a:prstDash val="dash"/>
              <a:round/>
            </a:ln>
          </c:spPr>
          <c:marker>
            <c:symbol val="none"/>
          </c:marker>
          <c:dLbls>
            <c:delete val="1"/>
          </c:dLbls>
          <c:xVal>
            <c:numRef>
              <c:f>'5_电阻噪声计算'!$A$14:$A$20</c:f>
              <c:numCache>
                <c:formatCode>General</c:formatCode>
                <c:ptCount val="7"/>
                <c:pt idx="0">
                  <c:v>10</c:v>
                </c:pt>
                <c:pt idx="1">
                  <c:v>100</c:v>
                </c:pt>
                <c:pt idx="2">
                  <c:v>1000</c:v>
                </c:pt>
                <c:pt idx="3">
                  <c:v>10000</c:v>
                </c:pt>
                <c:pt idx="4">
                  <c:v>100000</c:v>
                </c:pt>
                <c:pt idx="5" c:formatCode="0.00E+00">
                  <c:v>1000000</c:v>
                </c:pt>
                <c:pt idx="6" c:formatCode="0.00E+00">
                  <c:v>10000000</c:v>
                </c:pt>
              </c:numCache>
            </c:numRef>
          </c:xVal>
          <c:yVal>
            <c:numRef>
              <c:f>'5_电阻噪声计算'!$E$14:$E$20</c:f>
              <c:numCache>
                <c:formatCode>0.000E+00</c:formatCode>
                <c:ptCount val="7"/>
                <c:pt idx="0">
                  <c:v>3.46894796732381e-10</c:v>
                </c:pt>
                <c:pt idx="1">
                  <c:v>1.09697766613546e-9</c:v>
                </c:pt>
                <c:pt idx="2">
                  <c:v>3.46894796732381e-9</c:v>
                </c:pt>
                <c:pt idx="3">
                  <c:v>1.09697766613546e-8</c:v>
                </c:pt>
                <c:pt idx="4">
                  <c:v>3.46894796732381e-8</c:v>
                </c:pt>
                <c:pt idx="5">
                  <c:v>1.09697766613546e-7</c:v>
                </c:pt>
                <c:pt idx="6">
                  <c:v>3.46894796732381e-7</c:v>
                </c:pt>
              </c:numCache>
            </c:numRef>
          </c:yVal>
          <c:smooth val="1"/>
        </c:ser>
        <c:dLbls>
          <c:showLegendKey val="0"/>
          <c:showVal val="0"/>
          <c:showCatName val="0"/>
          <c:showSerName val="0"/>
          <c:showPercent val="0"/>
          <c:showBubbleSize val="0"/>
        </c:dLbls>
        <c:axId val="1235278416"/>
        <c:axId val="1235276240"/>
      </c:scatterChart>
      <c:valAx>
        <c:axId val="1235278416"/>
        <c:scaling>
          <c:logBase val="10"/>
          <c:orientation val="minMax"/>
          <c:min val="10"/>
        </c:scaling>
        <c:delete val="0"/>
        <c:axPos val="b"/>
        <c:majorGridlines>
          <c:spPr>
            <a:ln w="19050" cap="flat" cmpd="sng" algn="ctr">
              <a:solidFill>
                <a:prstClr val="black"/>
              </a:solidFill>
              <a:prstDash val="solid"/>
              <a:round/>
            </a:ln>
          </c:spPr>
        </c:majorGridlines>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a:t>Resistance</a:t>
                </a:r>
                <a:r>
                  <a:rPr lang="en-US" baseline="0"/>
                  <a:t> (ohms)</a:t>
                </a:r>
                <a:endParaRPr lang="en-US" baseline="0"/>
              </a:p>
            </c:rich>
          </c:tx>
          <c:layout/>
          <c:overlay val="0"/>
        </c:title>
        <c:numFmt formatCode="0.E+00" sourceLinked="0"/>
        <c:majorTickMark val="out"/>
        <c:minorTickMark val="none"/>
        <c:tickLblPos val="low"/>
        <c:spPr>
          <a:ln w="25400" cap="flat" cmpd="sng" algn="ctr">
            <a:solidFill>
              <a:schemeClr val="tx1"/>
            </a:solidFill>
            <a:prstDash val="solid"/>
            <a:round/>
          </a:ln>
        </c:spPr>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35276240"/>
        <c:crosses val="autoZero"/>
        <c:crossBetween val="midCat"/>
      </c:valAx>
      <c:valAx>
        <c:axId val="1235276240"/>
        <c:scaling>
          <c:logBase val="10"/>
          <c:orientation val="minMax"/>
          <c:max val="1e-6"/>
          <c:min val="1.00000000000001e-10"/>
        </c:scaling>
        <c:delete val="0"/>
        <c:axPos val="l"/>
        <c:majorGridlines>
          <c:spPr>
            <a:ln w="19050" cap="flat" cmpd="sng" algn="ctr">
              <a:solidFill>
                <a:schemeClr val="tx1"/>
              </a:solidFill>
              <a:prstDash val="solid"/>
              <a:round/>
            </a:ln>
          </c:spPr>
        </c:majorGridlines>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a:t>Noise Voltage</a:t>
                </a:r>
                <a:endParaRPr lang="en-US"/>
              </a:p>
              <a:p>
                <a:pPr>
                  <a:defRPr lang="zh-CN" sz="1000" b="1" i="0" u="none" strike="noStrike" kern="1200" baseline="0">
                    <a:solidFill>
                      <a:schemeClr val="tx1"/>
                    </a:solidFill>
                    <a:latin typeface="+mn-lt"/>
                    <a:ea typeface="+mn-ea"/>
                    <a:cs typeface="+mn-cs"/>
                  </a:defRPr>
                </a:pPr>
                <a:r>
                  <a:rPr lang="en-US"/>
                  <a:t>Density (nV/rt-Hz)</a:t>
                </a:r>
                <a:endParaRPr lang="en-US"/>
              </a:p>
            </c:rich>
          </c:tx>
          <c:layout>
            <c:manualLayout>
              <c:xMode val="edge"/>
              <c:yMode val="edge"/>
              <c:x val="0.00985754329991171"/>
              <c:y val="0.30874510251436"/>
            </c:manualLayout>
          </c:layout>
          <c:overlay val="0"/>
        </c:title>
        <c:numFmt formatCode="0.E+00" sourceLinked="0"/>
        <c:majorTickMark val="out"/>
        <c:minorTickMark val="none"/>
        <c:tickLblPos val="nextTo"/>
        <c:spPr>
          <a:ln w="25400" cap="flat" cmpd="sng" algn="ctr">
            <a:solidFill>
              <a:sysClr val="windowText" lastClr="000000"/>
            </a:solidFill>
            <a:prstDash val="solid"/>
            <a:round/>
          </a:ln>
        </c:spPr>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35278416"/>
        <c:crosses val="autoZero"/>
        <c:crossBetween val="midCat"/>
      </c:valAx>
    </c:plotArea>
    <c:legend>
      <c:legendPos val="l"/>
      <c:layout>
        <c:manualLayout>
          <c:xMode val="edge"/>
          <c:yMode val="edge"/>
          <c:x val="0.693666287159521"/>
          <c:y val="0.406890160044382"/>
          <c:w val="0.148865512201855"/>
          <c:h val="0.161454583802025"/>
        </c:manualLayout>
      </c:layout>
      <c:overlay val="0"/>
      <c:spPr>
        <a:solidFill>
          <a:schemeClr val="bg1"/>
        </a:solidFill>
        <a:ln w="12700">
          <a:solidFill>
            <a:sysClr val="windowText" lastClr="000000"/>
          </a:solidFill>
        </a:ln>
      </c:spPr>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ln w="9525" cap="flat" cmpd="sng" algn="ctr">
      <a:noFill/>
      <a:prstDash val="solid"/>
      <a:round/>
    </a:ln>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图解确定</a:t>
            </a:r>
            <a:r>
              <a:rPr lang="en-US" altLang="zh-CN"/>
              <a:t>U</a:t>
            </a:r>
            <a:r>
              <a:rPr lang="en-US" altLang="zh-CN" baseline="-25000"/>
              <a:t>R</a:t>
            </a:r>
            <a:endParaRPr lang="zh-CN" altLang="en-US" baseline="-25000"/>
          </a:p>
        </c:rich>
      </c:tx>
      <c:layout/>
      <c:overlay val="0"/>
      <c:spPr>
        <a:noFill/>
        <a:ln>
          <a:noFill/>
        </a:ln>
        <a:effectLst/>
      </c:spPr>
    </c:title>
    <c:autoTitleDeleted val="0"/>
    <c:plotArea>
      <c:layout>
        <c:manualLayout>
          <c:layoutTarget val="inner"/>
          <c:xMode val="edge"/>
          <c:yMode val="edge"/>
          <c:x val="0.06491527283911"/>
          <c:y val="0.162004681847202"/>
          <c:w val="0.889718858642287"/>
          <c:h val="0.71998510321345"/>
        </c:manualLayout>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numRef>
              <c:f>'7_压敏电阻选型'!$L$5:$L$8</c:f>
              <c:numCache>
                <c:formatCode>General</c:formatCode>
                <c:ptCount val="4"/>
                <c:pt idx="0">
                  <c:v>10</c:v>
                </c:pt>
                <c:pt idx="1">
                  <c:v>100</c:v>
                </c:pt>
                <c:pt idx="2">
                  <c:v>1000</c:v>
                </c:pt>
                <c:pt idx="3">
                  <c:v>2000</c:v>
                </c:pt>
              </c:numCache>
            </c:numRef>
          </c:xVal>
          <c:yVal>
            <c:numRef>
              <c:f>'7_压敏电阻选型'!$M$5:$M$8</c:f>
              <c:numCache>
                <c:formatCode>General</c:formatCode>
                <c:ptCount val="4"/>
                <c:pt idx="0">
                  <c:v>740</c:v>
                </c:pt>
                <c:pt idx="1">
                  <c:v>880</c:v>
                </c:pt>
                <c:pt idx="2">
                  <c:v>1300</c:v>
                </c:pt>
                <c:pt idx="3">
                  <c:v>1500</c:v>
                </c:pt>
              </c:numCache>
            </c:numRef>
          </c:yVal>
          <c:smooth val="1"/>
        </c:ser>
        <c:ser>
          <c:idx val="1"/>
          <c:order val="1"/>
          <c:tx>
            <c:strRef>
              <c:f>"系列2"</c:f>
              <c:strCache>
                <c:ptCount val="1"/>
                <c:pt idx="0">
                  <c:v>系列2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numRef>
              <c:f>'7_压敏电阻选型'!$N$4:$N$7</c:f>
              <c:numCache>
                <c:formatCode>General</c:formatCode>
                <c:ptCount val="4"/>
                <c:pt idx="0">
                  <c:v>0</c:v>
                </c:pt>
                <c:pt idx="1">
                  <c:v>1000</c:v>
                </c:pt>
              </c:numCache>
            </c:numRef>
          </c:xVal>
          <c:yVal>
            <c:numRef>
              <c:f>'7_压敏电阻选型'!$O$4:$O$7</c:f>
              <c:numCache>
                <c:formatCode>General</c:formatCode>
                <c:ptCount val="4"/>
                <c:pt idx="0">
                  <c:v>2000</c:v>
                </c:pt>
                <c:pt idx="1">
                  <c:v>0</c:v>
                </c:pt>
              </c:numCache>
            </c:numRef>
          </c:yVal>
          <c:smooth val="1"/>
        </c:ser>
        <c:dLbls>
          <c:showLegendKey val="0"/>
          <c:showVal val="0"/>
          <c:showCatName val="0"/>
          <c:showSerName val="0"/>
          <c:showPercent val="0"/>
          <c:showBubbleSize val="0"/>
        </c:dLbls>
        <c:axId val="1235272976"/>
        <c:axId val="1235274064"/>
      </c:scatterChart>
      <c:valAx>
        <c:axId val="1235272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235274064"/>
        <c:crosses val="autoZero"/>
        <c:crossBetween val="midCat"/>
      </c:valAx>
      <c:valAx>
        <c:axId val="123527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2352729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sz="1600"/>
              <a:t>RTI</a:t>
            </a:r>
            <a:r>
              <a:rPr lang="en-US" sz="1600" baseline="0"/>
              <a:t> Noise Density vs. Source Resistance</a:t>
            </a:r>
            <a:endParaRPr lang="en-US" sz="1600"/>
          </a:p>
        </c:rich>
      </c:tx>
      <c:layout>
        <c:manualLayout>
          <c:xMode val="edge"/>
          <c:yMode val="edge"/>
          <c:x val="0.153948065236408"/>
          <c:y val="0.0356934996375611"/>
        </c:manualLayout>
      </c:layout>
      <c:overlay val="1"/>
      <c:spPr>
        <a:solidFill>
          <a:sysClr val="window" lastClr="FFFFFF"/>
        </a:solidFill>
      </c:spPr>
    </c:title>
    <c:autoTitleDeleted val="0"/>
    <c:plotArea>
      <c:layout>
        <c:manualLayout>
          <c:layoutTarget val="inner"/>
          <c:xMode val="edge"/>
          <c:yMode val="edge"/>
          <c:x val="0.14048530803618"/>
          <c:y val="0.0181516903471802"/>
          <c:w val="0.821399308358738"/>
          <c:h val="0.869274197042639"/>
        </c:manualLayout>
      </c:layout>
      <c:scatterChart>
        <c:scatterStyle val="smooth"/>
        <c:varyColors val="0"/>
        <c:ser>
          <c:idx val="0"/>
          <c:order val="0"/>
          <c:tx>
            <c:strRef>
              <c:f>"Rs Thermal Noise"</c:f>
              <c:strCache>
                <c:ptCount val="1"/>
                <c:pt idx="0">
                  <c:v>Rs Thermal Noise</c:v>
                </c:pt>
              </c:strCache>
            </c:strRef>
          </c:tx>
          <c:spPr>
            <a:ln w="25400" cap="rnd" cmpd="sng" algn="ctr">
              <a:solidFill>
                <a:schemeClr val="tx1"/>
              </a:solidFill>
              <a:prstDash val="sysDash"/>
              <a:round/>
            </a:ln>
          </c:spPr>
          <c:marker>
            <c:symbol val="none"/>
          </c:marker>
          <c:dLbls>
            <c:delete val="1"/>
          </c:dLbls>
          <c:xVal>
            <c:numRef>
              <c:f>'10_运放噪声计算'!$A$25:$A$37</c:f>
              <c:numCache>
                <c:formatCode>General</c:formatCode>
                <c:ptCount val="13"/>
                <c:pt idx="0">
                  <c:v>100</c:v>
                </c:pt>
                <c:pt idx="1">
                  <c:v>330</c:v>
                </c:pt>
                <c:pt idx="2">
                  <c:v>1000</c:v>
                </c:pt>
                <c:pt idx="3">
                  <c:v>3300</c:v>
                </c:pt>
                <c:pt idx="4">
                  <c:v>10000</c:v>
                </c:pt>
                <c:pt idx="5">
                  <c:v>33000</c:v>
                </c:pt>
                <c:pt idx="6">
                  <c:v>100000</c:v>
                </c:pt>
                <c:pt idx="7">
                  <c:v>330000</c:v>
                </c:pt>
                <c:pt idx="8" c:formatCode="0.00E+00">
                  <c:v>1000000</c:v>
                </c:pt>
                <c:pt idx="9" c:formatCode="0.00E+00">
                  <c:v>3300000</c:v>
                </c:pt>
                <c:pt idx="10" c:formatCode="0.00E+00">
                  <c:v>10000000</c:v>
                </c:pt>
                <c:pt idx="11" c:formatCode="0.00E+00">
                  <c:v>33000000</c:v>
                </c:pt>
                <c:pt idx="12" c:formatCode="0.00E+00">
                  <c:v>100000000</c:v>
                </c:pt>
              </c:numCache>
            </c:numRef>
          </c:xVal>
          <c:yVal>
            <c:numRef>
              <c:f>'10_运放噪声计算'!$C$25:$C$37</c:f>
              <c:numCache>
                <c:formatCode>0.000E+00</c:formatCode>
                <c:ptCount val="13"/>
                <c:pt idx="0">
                  <c:v>1.28255994011976e-9</c:v>
                </c:pt>
                <c:pt idx="1">
                  <c:v>2.32988583411291e-9</c:v>
                </c:pt>
                <c:pt idx="2">
                  <c:v>4.05581064646761e-9</c:v>
                </c:pt>
                <c:pt idx="3">
                  <c:v>7.36774592395802e-9</c:v>
                </c:pt>
                <c:pt idx="4">
                  <c:v>1.28255994011976e-8</c:v>
                </c:pt>
                <c:pt idx="5">
                  <c:v>2.32988583411291e-8</c:v>
                </c:pt>
                <c:pt idx="6">
                  <c:v>4.05581064646761e-8</c:v>
                </c:pt>
                <c:pt idx="7">
                  <c:v>7.36774592395802e-8</c:v>
                </c:pt>
                <c:pt idx="8">
                  <c:v>1.28255994011976e-7</c:v>
                </c:pt>
                <c:pt idx="9">
                  <c:v>2.32988583411291e-7</c:v>
                </c:pt>
                <c:pt idx="10">
                  <c:v>4.05581064646761e-7</c:v>
                </c:pt>
                <c:pt idx="11">
                  <c:v>7.36774592395802e-7</c:v>
                </c:pt>
                <c:pt idx="12">
                  <c:v>1.28255994011976e-6</c:v>
                </c:pt>
              </c:numCache>
            </c:numRef>
          </c:yVal>
          <c:smooth val="1"/>
        </c:ser>
        <c:ser>
          <c:idx val="1"/>
          <c:order val="1"/>
          <c:tx>
            <c:strRef>
              <c:f>"Total Noise"</c:f>
              <c:strCache>
                <c:ptCount val="1"/>
                <c:pt idx="0">
                  <c:v>Total Noise</c:v>
                </c:pt>
              </c:strCache>
            </c:strRef>
          </c:tx>
          <c:spPr>
            <a:ln w="28575" cap="rnd" cmpd="sng" algn="ctr">
              <a:solidFill>
                <a:schemeClr val="accent2">
                  <a:shade val="95000"/>
                  <a:satMod val="105000"/>
                </a:schemeClr>
              </a:solidFill>
              <a:prstDash val="solid"/>
              <a:round/>
            </a:ln>
          </c:spPr>
          <c:marker>
            <c:symbol val="none"/>
          </c:marker>
          <c:dLbls>
            <c:delete val="1"/>
          </c:dLbls>
          <c:xVal>
            <c:numRef>
              <c:f>'10_运放噪声计算'!$A$25:$A$35</c:f>
              <c:numCache>
                <c:formatCode>General</c:formatCode>
                <c:ptCount val="11"/>
                <c:pt idx="0">
                  <c:v>100</c:v>
                </c:pt>
                <c:pt idx="1">
                  <c:v>330</c:v>
                </c:pt>
                <c:pt idx="2">
                  <c:v>1000</c:v>
                </c:pt>
                <c:pt idx="3">
                  <c:v>3300</c:v>
                </c:pt>
                <c:pt idx="4">
                  <c:v>10000</c:v>
                </c:pt>
                <c:pt idx="5">
                  <c:v>33000</c:v>
                </c:pt>
                <c:pt idx="6">
                  <c:v>100000</c:v>
                </c:pt>
                <c:pt idx="7">
                  <c:v>330000</c:v>
                </c:pt>
                <c:pt idx="8" c:formatCode="0.00E+00">
                  <c:v>1000000</c:v>
                </c:pt>
                <c:pt idx="9" c:formatCode="0.00E+00">
                  <c:v>3300000</c:v>
                </c:pt>
                <c:pt idx="10" c:formatCode="0.00E+00">
                  <c:v>10000000</c:v>
                </c:pt>
              </c:numCache>
            </c:numRef>
          </c:xVal>
          <c:yVal>
            <c:numRef>
              <c:f>'10_运放噪声计算'!$E$25:$E$35</c:f>
              <c:numCache>
                <c:formatCode>0.000E+00</c:formatCode>
                <c:ptCount val="11"/>
                <c:pt idx="0">
                  <c:v>4.21105369511486e-9</c:v>
                </c:pt>
                <c:pt idx="1">
                  <c:v>4.64028072676002e-9</c:v>
                </c:pt>
                <c:pt idx="2">
                  <c:v>5.71804277905828e-9</c:v>
                </c:pt>
                <c:pt idx="3">
                  <c:v>8.49190751381222e-9</c:v>
                </c:pt>
                <c:pt idx="4">
                  <c:v>1.40207850430402e-8</c:v>
                </c:pt>
                <c:pt idx="5">
                  <c:v>2.70769867825639e-8</c:v>
                </c:pt>
                <c:pt idx="6">
                  <c:v>5.71055725233811e-8</c:v>
                </c:pt>
                <c:pt idx="7">
                  <c:v>1.51223194031945e-7</c:v>
                </c:pt>
                <c:pt idx="8">
                  <c:v>4.20078190832639e-7</c:v>
                </c:pt>
                <c:pt idx="9">
                  <c:v>1.34041029778692e-6</c:v>
                </c:pt>
                <c:pt idx="10">
                  <c:v>4.02051142100271e-6</c:v>
                </c:pt>
              </c:numCache>
            </c:numRef>
          </c:yVal>
          <c:smooth val="1"/>
        </c:ser>
        <c:dLbls>
          <c:showLegendKey val="0"/>
          <c:showVal val="0"/>
          <c:showCatName val="0"/>
          <c:showSerName val="0"/>
          <c:showPercent val="0"/>
          <c:showBubbleSize val="0"/>
        </c:dLbls>
        <c:axId val="1235279504"/>
        <c:axId val="1235275152"/>
      </c:scatterChart>
      <c:valAx>
        <c:axId val="1235279504"/>
        <c:scaling>
          <c:logBase val="10"/>
          <c:orientation val="minMax"/>
          <c:min val="100"/>
        </c:scaling>
        <c:delete val="0"/>
        <c:axPos val="b"/>
        <c:majorGridlines>
          <c:spPr>
            <a:ln w="19050" cap="flat" cmpd="sng" algn="ctr">
              <a:solidFill>
                <a:prstClr val="black"/>
              </a:solidFill>
              <a:prstDash val="solid"/>
              <a:round/>
            </a:ln>
          </c:spPr>
        </c:majorGridlines>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200"/>
                  <a:t>Source Resistance,</a:t>
                </a:r>
                <a:r>
                  <a:rPr lang="en-US" sz="1200" baseline="0"/>
                  <a:t> Rs</a:t>
                </a:r>
                <a:endParaRPr lang="en-US" sz="1200"/>
              </a:p>
            </c:rich>
          </c:tx>
          <c:layout/>
          <c:overlay val="0"/>
        </c:title>
        <c:numFmt formatCode="0.E+00" sourceLinked="0"/>
        <c:majorTickMark val="out"/>
        <c:minorTickMark val="none"/>
        <c:tickLblPos val="low"/>
        <c:spPr>
          <a:ln w="25400" cap="flat" cmpd="sng" algn="ctr">
            <a:solidFill>
              <a:schemeClr val="tx1"/>
            </a:solidFill>
            <a:prstDash val="solid"/>
            <a:round/>
          </a:ln>
        </c:spPr>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35275152"/>
        <c:crosses val="autoZero"/>
        <c:crossBetween val="midCat"/>
      </c:valAx>
      <c:valAx>
        <c:axId val="1235275152"/>
        <c:scaling>
          <c:logBase val="10"/>
          <c:orientation val="minMax"/>
          <c:max val="1.00000000000001e-6"/>
          <c:min val="1.00000000000001e-9"/>
        </c:scaling>
        <c:delete val="0"/>
        <c:axPos val="l"/>
        <c:majorGridlines>
          <c:spPr>
            <a:ln w="19050" cap="flat" cmpd="sng" algn="ctr">
              <a:solidFill>
                <a:schemeClr val="tx1"/>
              </a:solidFill>
              <a:prstDash val="solid"/>
              <a:round/>
            </a:ln>
          </c:spPr>
        </c:majorGridlines>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200"/>
                  <a:t>RTI Noise</a:t>
                </a:r>
                <a:endParaRPr lang="en-US" sz="1200"/>
              </a:p>
              <a:p>
                <a:pPr>
                  <a:defRPr lang="zh-CN" sz="1000" b="1" i="0" u="none" strike="noStrike" kern="1200" baseline="0">
                    <a:solidFill>
                      <a:schemeClr val="tx1"/>
                    </a:solidFill>
                    <a:latin typeface="+mn-lt"/>
                    <a:ea typeface="+mn-ea"/>
                    <a:cs typeface="+mn-cs"/>
                  </a:defRPr>
                </a:pPr>
                <a:r>
                  <a:rPr lang="en-US" sz="1200"/>
                  <a:t> Voltage Density</a:t>
                </a:r>
                <a:endParaRPr lang="en-US" sz="1200"/>
              </a:p>
              <a:p>
                <a:pPr>
                  <a:defRPr lang="zh-CN" sz="1000" b="1" i="0" u="none" strike="noStrike" kern="1200" baseline="0">
                    <a:solidFill>
                      <a:schemeClr val="tx1"/>
                    </a:solidFill>
                    <a:latin typeface="+mn-lt"/>
                    <a:ea typeface="+mn-ea"/>
                    <a:cs typeface="+mn-cs"/>
                  </a:defRPr>
                </a:pPr>
                <a:r>
                  <a:rPr lang="en-US" sz="1200"/>
                  <a:t>V/rt-Hz</a:t>
                </a:r>
                <a:endParaRPr lang="en-US" sz="1200"/>
              </a:p>
            </c:rich>
          </c:tx>
          <c:layout>
            <c:manualLayout>
              <c:xMode val="edge"/>
              <c:yMode val="edge"/>
              <c:x val="0"/>
              <c:y val="0.406286538507011"/>
            </c:manualLayout>
          </c:layout>
          <c:overlay val="0"/>
        </c:title>
        <c:numFmt formatCode="0.E+00" sourceLinked="0"/>
        <c:majorTickMark val="out"/>
        <c:minorTickMark val="none"/>
        <c:tickLblPos val="nextTo"/>
        <c:spPr>
          <a:ln w="25400" cap="flat" cmpd="sng" algn="ctr">
            <a:solidFill>
              <a:sysClr val="windowText" lastClr="000000"/>
            </a:solidFill>
            <a:prstDash val="solid"/>
            <a:round/>
          </a:ln>
        </c:spPr>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35279504"/>
        <c:crosses val="autoZero"/>
        <c:crossBetween val="midCat"/>
      </c:valAx>
    </c:plotArea>
    <c:legend>
      <c:legendPos val="r"/>
      <c:legendEntry>
        <c:idx val="0"/>
        <c:txPr>
          <a:bodyPr rot="0" spcFirstLastPara="0" vertOverflow="ellipsis" vert="horz" wrap="square" anchor="ctr" anchorCtr="1"/>
          <a:lstStyle/>
          <a:p>
            <a:pPr>
              <a:defRPr lang="zh-CN" sz="1300" b="0" i="0" u="none" strike="noStrike" kern="1200" baseline="0">
                <a:solidFill>
                  <a:schemeClr val="tx1"/>
                </a:solidFill>
                <a:latin typeface="+mn-lt"/>
                <a:ea typeface="+mn-ea"/>
                <a:cs typeface="+mn-cs"/>
              </a:defRPr>
            </a:pPr>
          </a:p>
        </c:txPr>
      </c:legendEntry>
      <c:legendEntry>
        <c:idx val="1"/>
        <c:txPr>
          <a:bodyPr rot="0" spcFirstLastPara="0" vertOverflow="ellipsis" vert="horz" wrap="square" anchor="ctr" anchorCtr="1"/>
          <a:lstStyle/>
          <a:p>
            <a:pPr>
              <a:defRPr lang="zh-CN" sz="1300" b="0" i="0" u="none" strike="noStrike" kern="1200" baseline="0">
                <a:solidFill>
                  <a:schemeClr val="tx1"/>
                </a:solidFill>
                <a:latin typeface="+mn-lt"/>
                <a:ea typeface="+mn-ea"/>
                <a:cs typeface="+mn-cs"/>
              </a:defRPr>
            </a:pPr>
          </a:p>
        </c:txPr>
      </c:legendEntry>
      <c:layout>
        <c:manualLayout>
          <c:xMode val="edge"/>
          <c:yMode val="edge"/>
          <c:x val="0.67887041324165"/>
          <c:y val="0.390658795672281"/>
          <c:w val="0.231264128759258"/>
          <c:h val="0.107807524059493"/>
        </c:manualLayout>
      </c:layout>
      <c:overlay val="0"/>
      <c:spPr>
        <a:solidFill>
          <a:schemeClr val="bg1"/>
        </a:solidFill>
        <a:ln>
          <a:solidFill>
            <a:schemeClr val="tx2">
              <a:lumMod val="75000"/>
            </a:schemeClr>
          </a:solidFill>
        </a:ln>
      </c:spPr>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ln w="9525" cap="flat" cmpd="sng" algn="ctr">
      <a:solidFill>
        <a:sysClr val="windowText" lastClr="000000"/>
      </a:solidFill>
      <a:prstDash val="solid"/>
      <a:round/>
    </a:ln>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Noise Voltage Density vs. Frequency</a:t>
            </a:r>
            <a:endParaRPr lang="en-US"/>
          </a:p>
        </c:rich>
      </c:tx>
      <c:layout>
        <c:manualLayout>
          <c:xMode val="edge"/>
          <c:yMode val="edge"/>
          <c:x val="0.256004837273794"/>
          <c:y val="0.0498931307165361"/>
        </c:manualLayout>
      </c:layout>
      <c:overlay val="1"/>
      <c:spPr>
        <a:solidFill>
          <a:schemeClr val="bg1"/>
        </a:solidFill>
      </c:spPr>
    </c:title>
    <c:autoTitleDeleted val="0"/>
    <c:plotArea>
      <c:layout>
        <c:manualLayout>
          <c:layoutTarget val="inner"/>
          <c:xMode val="edge"/>
          <c:yMode val="edge"/>
          <c:x val="0.15756692941451"/>
          <c:y val="0.0181516903471802"/>
          <c:w val="0.804317618900629"/>
          <c:h val="0.869274197042639"/>
        </c:manualLayout>
      </c:layout>
      <c:scatterChart>
        <c:scatterStyle val="smooth"/>
        <c:varyColors val="0"/>
        <c:ser>
          <c:idx val="1"/>
          <c:order val="0"/>
          <c:tx>
            <c:strRef>
              <c:f>"Total Noise Density"</c:f>
              <c:strCache>
                <c:ptCount val="1"/>
                <c:pt idx="0">
                  <c:v>Total Noise Density</c:v>
                </c:pt>
              </c:strCache>
            </c:strRef>
          </c:tx>
          <c:spPr>
            <a:ln w="28575" cap="rnd" cmpd="sng" algn="ctr">
              <a:solidFill>
                <a:schemeClr val="accent2">
                  <a:shade val="95000"/>
                  <a:satMod val="105000"/>
                </a:schemeClr>
              </a:solidFill>
              <a:prstDash val="solid"/>
              <a:round/>
            </a:ln>
          </c:spPr>
          <c:marker>
            <c:symbol val="none"/>
          </c:marker>
          <c:dLbls>
            <c:delete val="1"/>
          </c:dLbls>
          <c:xVal>
            <c:numRef>
              <c:f>'11_运放的闪烁噪声'!$B$8:$B$24</c:f>
              <c:numCache>
                <c:formatCode>General</c:formatCode>
                <c:ptCount val="17"/>
                <c:pt idx="0">
                  <c:v>0.01</c:v>
                </c:pt>
                <c:pt idx="1">
                  <c:v>0.033</c:v>
                </c:pt>
                <c:pt idx="2">
                  <c:v>0.1</c:v>
                </c:pt>
                <c:pt idx="3">
                  <c:v>0.33</c:v>
                </c:pt>
                <c:pt idx="4">
                  <c:v>1</c:v>
                </c:pt>
                <c:pt idx="5">
                  <c:v>3.3</c:v>
                </c:pt>
                <c:pt idx="6">
                  <c:v>10</c:v>
                </c:pt>
                <c:pt idx="7">
                  <c:v>33</c:v>
                </c:pt>
                <c:pt idx="8">
                  <c:v>100</c:v>
                </c:pt>
                <c:pt idx="9">
                  <c:v>330</c:v>
                </c:pt>
                <c:pt idx="10">
                  <c:v>1000</c:v>
                </c:pt>
                <c:pt idx="11">
                  <c:v>3300</c:v>
                </c:pt>
                <c:pt idx="12">
                  <c:v>10000</c:v>
                </c:pt>
                <c:pt idx="13">
                  <c:v>33000</c:v>
                </c:pt>
                <c:pt idx="14">
                  <c:v>100000</c:v>
                </c:pt>
                <c:pt idx="15">
                  <c:v>330000</c:v>
                </c:pt>
                <c:pt idx="16" c:formatCode="0.00E+00">
                  <c:v>1000000</c:v>
                </c:pt>
              </c:numCache>
            </c:numRef>
          </c:xVal>
          <c:yVal>
            <c:numRef>
              <c:f>'11_运放的闪烁噪声'!$E$8:$E$24</c:f>
              <c:numCache>
                <c:formatCode>0.000E+00</c:formatCode>
                <c:ptCount val="17"/>
                <c:pt idx="0">
                  <c:v>1.00004999875006e-6</c:v>
                </c:pt>
                <c:pt idx="1">
                  <c:v>5.50572704581605e-7</c:v>
                </c:pt>
                <c:pt idx="2">
                  <c:v>3.16385840391127e-7</c:v>
                </c:pt>
                <c:pt idx="3">
                  <c:v>1.74364647515e-7</c:v>
                </c:pt>
                <c:pt idx="4">
                  <c:v>1.00498756211209e-7</c:v>
                </c:pt>
                <c:pt idx="5">
                  <c:v>5.59491110769691e-8</c:v>
                </c:pt>
                <c:pt idx="6">
                  <c:v>3.3166247903554e-8</c:v>
                </c:pt>
                <c:pt idx="7">
                  <c:v>2.00756146364265e-8</c:v>
                </c:pt>
                <c:pt idx="8">
                  <c:v>1.4142135623731e-8</c:v>
                </c:pt>
                <c:pt idx="9">
                  <c:v>1.14150352738408e-8</c:v>
                </c:pt>
                <c:pt idx="10">
                  <c:v>1.04880884817015e-8</c:v>
                </c:pt>
                <c:pt idx="11">
                  <c:v>1.0150384378451e-8</c:v>
                </c:pt>
                <c:pt idx="12">
                  <c:v>1.00498756211209e-8</c:v>
                </c:pt>
                <c:pt idx="13">
                  <c:v>1.00151400540896e-8</c:v>
                </c:pt>
                <c:pt idx="14">
                  <c:v>1.00049987506246e-8</c:v>
                </c:pt>
                <c:pt idx="15">
                  <c:v>1.00015150367483e-8</c:v>
                </c:pt>
                <c:pt idx="16">
                  <c:v>1.00004999875006e-8</c:v>
                </c:pt>
              </c:numCache>
            </c:numRef>
          </c:yVal>
          <c:smooth val="1"/>
        </c:ser>
        <c:ser>
          <c:idx val="0"/>
          <c:order val="1"/>
          <c:tx>
            <c:strRef>
              <c:f>"1/f Noise"</c:f>
              <c:strCache>
                <c:ptCount val="1"/>
                <c:pt idx="0">
                  <c:v>1/f Noise</c:v>
                </c:pt>
              </c:strCache>
            </c:strRef>
          </c:tx>
          <c:spPr>
            <a:ln w="15875" cap="rnd" cmpd="sng" algn="ctr">
              <a:solidFill>
                <a:schemeClr val="tx1"/>
              </a:solidFill>
              <a:prstDash val="sysDash"/>
              <a:round/>
            </a:ln>
          </c:spPr>
          <c:marker>
            <c:symbol val="none"/>
          </c:marker>
          <c:dLbls>
            <c:delete val="1"/>
          </c:dLbls>
          <c:xVal>
            <c:numRef>
              <c:f>'11_运放的闪烁噪声'!$B$8:$B$26</c:f>
              <c:numCache>
                <c:formatCode>General</c:formatCode>
                <c:ptCount val="19"/>
                <c:pt idx="0">
                  <c:v>0.01</c:v>
                </c:pt>
                <c:pt idx="1">
                  <c:v>0.033</c:v>
                </c:pt>
                <c:pt idx="2">
                  <c:v>0.1</c:v>
                </c:pt>
                <c:pt idx="3">
                  <c:v>0.33</c:v>
                </c:pt>
                <c:pt idx="4">
                  <c:v>1</c:v>
                </c:pt>
                <c:pt idx="5">
                  <c:v>3.3</c:v>
                </c:pt>
                <c:pt idx="6">
                  <c:v>10</c:v>
                </c:pt>
                <c:pt idx="7">
                  <c:v>33</c:v>
                </c:pt>
                <c:pt idx="8">
                  <c:v>100</c:v>
                </c:pt>
                <c:pt idx="9">
                  <c:v>330</c:v>
                </c:pt>
                <c:pt idx="10">
                  <c:v>1000</c:v>
                </c:pt>
                <c:pt idx="11">
                  <c:v>3300</c:v>
                </c:pt>
                <c:pt idx="12">
                  <c:v>10000</c:v>
                </c:pt>
                <c:pt idx="13">
                  <c:v>33000</c:v>
                </c:pt>
                <c:pt idx="14">
                  <c:v>100000</c:v>
                </c:pt>
                <c:pt idx="15">
                  <c:v>330000</c:v>
                </c:pt>
                <c:pt idx="16" c:formatCode="0.00E+00">
                  <c:v>1000000</c:v>
                </c:pt>
                <c:pt idx="17" c:formatCode="0.00E+00">
                  <c:v>3300000</c:v>
                </c:pt>
                <c:pt idx="18" c:formatCode="0.00E+00">
                  <c:v>10000000</c:v>
                </c:pt>
              </c:numCache>
            </c:numRef>
          </c:xVal>
          <c:yVal>
            <c:numRef>
              <c:f>'11_运放的闪烁噪声'!$C$8:$C$26</c:f>
              <c:numCache>
                <c:formatCode>0.00E+00</c:formatCode>
                <c:ptCount val="19"/>
                <c:pt idx="0">
                  <c:v>1e-6</c:v>
                </c:pt>
                <c:pt idx="1">
                  <c:v>5.5048188256318e-7</c:v>
                </c:pt>
                <c:pt idx="2">
                  <c:v>3.16227766016838e-7</c:v>
                </c:pt>
                <c:pt idx="3">
                  <c:v>1.74077655955698e-7</c:v>
                </c:pt>
                <c:pt idx="4">
                  <c:v>1e-7</c:v>
                </c:pt>
                <c:pt idx="5">
                  <c:v>5.5048188256318e-8</c:v>
                </c:pt>
                <c:pt idx="6">
                  <c:v>3.16227766016838e-8</c:v>
                </c:pt>
                <c:pt idx="7">
                  <c:v>1.74077655955698e-8</c:v>
                </c:pt>
                <c:pt idx="8">
                  <c:v>1e-8</c:v>
                </c:pt>
                <c:pt idx="9">
                  <c:v>5.5048188256318e-9</c:v>
                </c:pt>
                <c:pt idx="10">
                  <c:v>3.16227766016838e-9</c:v>
                </c:pt>
                <c:pt idx="11">
                  <c:v>1.74077655955698e-9</c:v>
                </c:pt>
                <c:pt idx="12">
                  <c:v>1e-9</c:v>
                </c:pt>
                <c:pt idx="13">
                  <c:v>5.5048188256318e-10</c:v>
                </c:pt>
                <c:pt idx="14">
                  <c:v>3.16227766016838e-10</c:v>
                </c:pt>
                <c:pt idx="15">
                  <c:v>1.74077655955698e-10</c:v>
                </c:pt>
                <c:pt idx="16">
                  <c:v>1e-10</c:v>
                </c:pt>
                <c:pt idx="17">
                  <c:v>5.5048188256318e-11</c:v>
                </c:pt>
                <c:pt idx="18">
                  <c:v>3.16227766016838e-11</c:v>
                </c:pt>
              </c:numCache>
            </c:numRef>
          </c:yVal>
          <c:smooth val="1"/>
        </c:ser>
        <c:ser>
          <c:idx val="2"/>
          <c:order val="2"/>
          <c:tx>
            <c:strRef>
              <c:f>"Flatband Noise"</c:f>
              <c:strCache>
                <c:ptCount val="1"/>
                <c:pt idx="0">
                  <c:v>Flatband Noise</c:v>
                </c:pt>
              </c:strCache>
            </c:strRef>
          </c:tx>
          <c:spPr>
            <a:ln w="22225" cap="rnd" cmpd="sng" algn="ctr">
              <a:solidFill>
                <a:schemeClr val="accent3">
                  <a:lumMod val="75000"/>
                </a:schemeClr>
              </a:solidFill>
              <a:prstDash val="sysDash"/>
              <a:round/>
            </a:ln>
          </c:spPr>
          <c:marker>
            <c:symbol val="none"/>
          </c:marker>
          <c:dLbls>
            <c:delete val="1"/>
          </c:dLbls>
          <c:xVal>
            <c:numRef>
              <c:f>'11_运放的闪烁噪声'!$B$8:$B$24</c:f>
              <c:numCache>
                <c:formatCode>General</c:formatCode>
                <c:ptCount val="17"/>
                <c:pt idx="0">
                  <c:v>0.01</c:v>
                </c:pt>
                <c:pt idx="1">
                  <c:v>0.033</c:v>
                </c:pt>
                <c:pt idx="2">
                  <c:v>0.1</c:v>
                </c:pt>
                <c:pt idx="3">
                  <c:v>0.33</c:v>
                </c:pt>
                <c:pt idx="4">
                  <c:v>1</c:v>
                </c:pt>
                <c:pt idx="5">
                  <c:v>3.3</c:v>
                </c:pt>
                <c:pt idx="6">
                  <c:v>10</c:v>
                </c:pt>
                <c:pt idx="7">
                  <c:v>33</c:v>
                </c:pt>
                <c:pt idx="8">
                  <c:v>100</c:v>
                </c:pt>
                <c:pt idx="9">
                  <c:v>330</c:v>
                </c:pt>
                <c:pt idx="10">
                  <c:v>1000</c:v>
                </c:pt>
                <c:pt idx="11">
                  <c:v>3300</c:v>
                </c:pt>
                <c:pt idx="12">
                  <c:v>10000</c:v>
                </c:pt>
                <c:pt idx="13">
                  <c:v>33000</c:v>
                </c:pt>
                <c:pt idx="14">
                  <c:v>100000</c:v>
                </c:pt>
                <c:pt idx="15">
                  <c:v>330000</c:v>
                </c:pt>
                <c:pt idx="16" c:formatCode="0.00E+00">
                  <c:v>1000000</c:v>
                </c:pt>
              </c:numCache>
            </c:numRef>
          </c:xVal>
          <c:yVal>
            <c:numRef>
              <c:f>'11_运放的闪烁噪声'!$D$8:$D$24</c:f>
              <c:numCache>
                <c:formatCode>0.00E+00</c:formatCode>
                <c:ptCount val="17"/>
                <c:pt idx="0">
                  <c:v>1e-8</c:v>
                </c:pt>
                <c:pt idx="1">
                  <c:v>1e-8</c:v>
                </c:pt>
                <c:pt idx="2">
                  <c:v>1e-8</c:v>
                </c:pt>
                <c:pt idx="3">
                  <c:v>1e-8</c:v>
                </c:pt>
                <c:pt idx="4">
                  <c:v>1e-8</c:v>
                </c:pt>
                <c:pt idx="5">
                  <c:v>1e-8</c:v>
                </c:pt>
                <c:pt idx="6">
                  <c:v>1e-8</c:v>
                </c:pt>
                <c:pt idx="7">
                  <c:v>1e-8</c:v>
                </c:pt>
                <c:pt idx="8">
                  <c:v>1e-8</c:v>
                </c:pt>
                <c:pt idx="9">
                  <c:v>1e-8</c:v>
                </c:pt>
                <c:pt idx="10">
                  <c:v>1e-8</c:v>
                </c:pt>
                <c:pt idx="11">
                  <c:v>1e-8</c:v>
                </c:pt>
                <c:pt idx="12">
                  <c:v>1e-8</c:v>
                </c:pt>
                <c:pt idx="13">
                  <c:v>1e-8</c:v>
                </c:pt>
                <c:pt idx="14">
                  <c:v>1e-8</c:v>
                </c:pt>
                <c:pt idx="15">
                  <c:v>1e-8</c:v>
                </c:pt>
                <c:pt idx="16">
                  <c:v>1e-8</c:v>
                </c:pt>
              </c:numCache>
            </c:numRef>
          </c:yVal>
          <c:smooth val="1"/>
        </c:ser>
        <c:dLbls>
          <c:showLegendKey val="0"/>
          <c:showVal val="0"/>
          <c:showCatName val="0"/>
          <c:showSerName val="0"/>
          <c:showPercent val="0"/>
          <c:showBubbleSize val="0"/>
        </c:dLbls>
        <c:axId val="1191775952"/>
        <c:axId val="1003259216"/>
      </c:scatterChart>
      <c:valAx>
        <c:axId val="1191775952"/>
        <c:scaling>
          <c:logBase val="10"/>
          <c:orientation val="minMax"/>
          <c:max val="1000000"/>
          <c:min val="0.01"/>
        </c:scaling>
        <c:delete val="0"/>
        <c:axPos val="b"/>
        <c:majorGridlines>
          <c:spPr>
            <a:ln w="19050" cap="flat" cmpd="sng" algn="ctr">
              <a:solidFill>
                <a:prstClr val="black"/>
              </a:solidFill>
              <a:prstDash val="solid"/>
              <a:round/>
            </a:ln>
          </c:spPr>
        </c:majorGridlines>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200"/>
                  <a:t>Frequency</a:t>
                </a:r>
                <a:endParaRPr lang="en-US" sz="1200"/>
              </a:p>
            </c:rich>
          </c:tx>
          <c:layout/>
          <c:overlay val="0"/>
        </c:title>
        <c:numFmt formatCode="0.E+00" sourceLinked="0"/>
        <c:majorTickMark val="out"/>
        <c:minorTickMark val="none"/>
        <c:tickLblPos val="low"/>
        <c:spPr>
          <a:ln w="25400" cap="flat" cmpd="sng" algn="ctr">
            <a:solidFill>
              <a:schemeClr val="tx1"/>
            </a:solidFill>
            <a:prstDash val="solid"/>
            <a:round/>
          </a:ln>
        </c:spPr>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03259216"/>
        <c:crossesAt val="1.00000000000001e-6"/>
        <c:crossBetween val="midCat"/>
      </c:valAx>
      <c:valAx>
        <c:axId val="1003259216"/>
        <c:scaling>
          <c:logBase val="10"/>
          <c:orientation val="minMax"/>
          <c:max val="1.00000000000001e-6"/>
          <c:min val="1.00000000000001e-9"/>
        </c:scaling>
        <c:delete val="0"/>
        <c:axPos val="l"/>
        <c:majorGridlines>
          <c:spPr>
            <a:ln w="19050" cap="flat" cmpd="sng" algn="ctr">
              <a:solidFill>
                <a:schemeClr val="tx1"/>
              </a:solidFill>
              <a:prstDash val="solid"/>
              <a:round/>
            </a:ln>
          </c:spPr>
        </c:majorGridlines>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200"/>
                  <a:t>Noise Voltage</a:t>
                </a:r>
                <a:endParaRPr lang="en-US" sz="1200"/>
              </a:p>
              <a:p>
                <a:pPr>
                  <a:defRPr lang="zh-CN" sz="1000" b="1" i="0" u="none" strike="noStrike" kern="1200" baseline="0">
                    <a:solidFill>
                      <a:schemeClr val="tx1"/>
                    </a:solidFill>
                    <a:latin typeface="+mn-lt"/>
                    <a:ea typeface="+mn-ea"/>
                    <a:cs typeface="+mn-cs"/>
                  </a:defRPr>
                </a:pPr>
                <a:r>
                  <a:rPr lang="en-US" sz="1200"/>
                  <a:t>Density</a:t>
                </a:r>
                <a:endParaRPr lang="en-US" sz="1200"/>
              </a:p>
              <a:p>
                <a:pPr>
                  <a:defRPr lang="zh-CN" sz="1000" b="1" i="0" u="none" strike="noStrike" kern="1200" baseline="0">
                    <a:solidFill>
                      <a:schemeClr val="tx1"/>
                    </a:solidFill>
                    <a:latin typeface="+mn-lt"/>
                    <a:ea typeface="+mn-ea"/>
                    <a:cs typeface="+mn-cs"/>
                  </a:defRPr>
                </a:pPr>
                <a:r>
                  <a:rPr lang="en-US" sz="1200"/>
                  <a:t>V/rt-Hz</a:t>
                </a:r>
                <a:endParaRPr lang="en-US" sz="1200"/>
              </a:p>
            </c:rich>
          </c:tx>
          <c:layout>
            <c:manualLayout>
              <c:xMode val="edge"/>
              <c:yMode val="edge"/>
              <c:x val="0.015008154036445"/>
              <c:y val="0.400416754385985"/>
            </c:manualLayout>
          </c:layout>
          <c:overlay val="0"/>
        </c:title>
        <c:numFmt formatCode="0.E+00" sourceLinked="0"/>
        <c:majorTickMark val="out"/>
        <c:minorTickMark val="none"/>
        <c:tickLblPos val="nextTo"/>
        <c:spPr>
          <a:ln w="25400" cap="flat" cmpd="sng" algn="ctr">
            <a:solidFill>
              <a:sysClr val="windowText" lastClr="000000"/>
            </a:solidFill>
            <a:prstDash val="solid"/>
            <a:round/>
          </a:ln>
        </c:spPr>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91775952"/>
        <c:crossesAt val="0.01"/>
        <c:crossBetween val="midCat"/>
      </c:valAx>
    </c:plotArea>
    <c:legend>
      <c:legendPos val="r"/>
      <c:legendEntry>
        <c:idx val="0"/>
        <c:txPr>
          <a:bodyPr rot="0" spcFirstLastPara="0" vertOverflow="ellipsis" vert="horz" wrap="square" anchor="ctr" anchorCtr="1"/>
          <a:lstStyle/>
          <a:p>
            <a:pPr>
              <a:defRPr lang="zh-CN" sz="1300" b="0" i="0" u="none" strike="noStrike" kern="1200" baseline="0">
                <a:solidFill>
                  <a:schemeClr val="tx1"/>
                </a:solidFill>
                <a:latin typeface="+mn-lt"/>
                <a:ea typeface="+mn-ea"/>
                <a:cs typeface="+mn-cs"/>
              </a:defRPr>
            </a:pPr>
          </a:p>
        </c:txPr>
      </c:legendEntry>
      <c:legendEntry>
        <c:idx val="1"/>
        <c:txPr>
          <a:bodyPr rot="0" spcFirstLastPara="0" vertOverflow="ellipsis" vert="horz" wrap="square" anchor="ctr" anchorCtr="1"/>
          <a:lstStyle/>
          <a:p>
            <a:pPr>
              <a:defRPr lang="zh-CN" sz="1200" b="0" i="0" u="none" strike="noStrike" kern="1200" baseline="0">
                <a:solidFill>
                  <a:schemeClr val="tx1"/>
                </a:solidFill>
                <a:latin typeface="+mn-lt"/>
                <a:ea typeface="+mn-ea"/>
                <a:cs typeface="+mn-cs"/>
              </a:defRPr>
            </a:pPr>
          </a:p>
        </c:txPr>
      </c:legendEntry>
      <c:legendEntry>
        <c:idx val="2"/>
        <c:txPr>
          <a:bodyPr rot="0" spcFirstLastPara="0" vertOverflow="ellipsis" vert="horz" wrap="square" anchor="ctr" anchorCtr="1"/>
          <a:lstStyle/>
          <a:p>
            <a:pPr>
              <a:defRPr lang="zh-CN" sz="1200" b="0" i="0" u="none" strike="noStrike" kern="1200" baseline="0">
                <a:solidFill>
                  <a:schemeClr val="tx1"/>
                </a:solidFill>
                <a:latin typeface="+mn-lt"/>
                <a:ea typeface="+mn-ea"/>
                <a:cs typeface="+mn-cs"/>
              </a:defRPr>
            </a:pPr>
          </a:p>
        </c:txPr>
      </c:legendEntry>
      <c:layout>
        <c:manualLayout>
          <c:xMode val="edge"/>
          <c:yMode val="edge"/>
          <c:x val="0.718578335210994"/>
          <c:y val="0.0971092719647055"/>
          <c:w val="0.230953694001728"/>
          <c:h val="0.191325266761682"/>
        </c:manualLayout>
      </c:layout>
      <c:overlay val="0"/>
      <c:spPr>
        <a:solidFill>
          <a:schemeClr val="bg1"/>
        </a:solidFill>
        <a:ln>
          <a:solidFill>
            <a:schemeClr val="tx2">
              <a:lumMod val="75000"/>
            </a:schemeClr>
          </a:solidFill>
        </a:ln>
      </c:spPr>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ln w="9525" cap="flat" cmpd="sng" algn="ctr">
      <a:solidFill>
        <a:sysClr val="windowText" lastClr="000000"/>
      </a:solidFill>
      <a:prstDash val="solid"/>
      <a:round/>
    </a:ln>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val="0"/>
</file>

<file path=xl/ctrlProps/ctrlProp2.xml><?xml version="1.0" encoding="utf-8"?>
<formControlPr xmlns="http://schemas.microsoft.com/office/spreadsheetml/2009/9/main" objectType="Button" val="0"/>
</file>

<file path=xl/ctrlProps/ctrlProp3.xml><?xml version="1.0" encoding="utf-8"?>
<formControlPr xmlns="http://schemas.microsoft.com/office/spreadsheetml/2009/9/main" objectType="Button"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5" Type="http://schemas.openxmlformats.org/officeDocument/2006/relationships/image" Target="../media/image23.png"/><Relationship Id="rId4" Type="http://schemas.openxmlformats.org/officeDocument/2006/relationships/image" Target="../media/image22.png"/><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7" Type="http://schemas.openxmlformats.org/officeDocument/2006/relationships/image" Target="../media/image9.png"/><Relationship Id="rId6" Type="http://schemas.openxmlformats.org/officeDocument/2006/relationships/hyperlink" Target="#&#30446;&#24405;!A1"/><Relationship Id="rId5" Type="http://schemas.openxmlformats.org/officeDocument/2006/relationships/image" Target="../media/image28.png"/><Relationship Id="rId4" Type="http://schemas.openxmlformats.org/officeDocument/2006/relationships/image" Target="../media/image27.png"/><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9.jpeg"/><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6.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s>
</file>

<file path=xl/drawings/_rels/drawing18.xml.rels><?xml version="1.0" encoding="UTF-8" standalone="yes"?>
<Relationships xmlns="http://schemas.openxmlformats.org/package/2006/relationships"><Relationship Id="rId9" Type="http://schemas.openxmlformats.org/officeDocument/2006/relationships/hyperlink" Target="#&#30446;&#24405;!A1"/><Relationship Id="rId8" Type="http://schemas.openxmlformats.org/officeDocument/2006/relationships/image" Target="../media/image42.png"/><Relationship Id="rId7" Type="http://schemas.openxmlformats.org/officeDocument/2006/relationships/image" Target="../media/image41.png"/><Relationship Id="rId6" Type="http://schemas.openxmlformats.org/officeDocument/2006/relationships/image" Target="../media/image40.png"/><Relationship Id="rId5" Type="http://schemas.openxmlformats.org/officeDocument/2006/relationships/image" Target="../media/image39.png"/><Relationship Id="rId4" Type="http://schemas.openxmlformats.org/officeDocument/2006/relationships/image" Target="../media/image38.png"/><Relationship Id="rId3" Type="http://schemas.openxmlformats.org/officeDocument/2006/relationships/image" Target="../media/image37.png"/><Relationship Id="rId2" Type="http://schemas.openxmlformats.org/officeDocument/2006/relationships/image" Target="../media/image36.png"/><Relationship Id="rId13" Type="http://schemas.openxmlformats.org/officeDocument/2006/relationships/image" Target="../media/image45.png"/><Relationship Id="rId12" Type="http://schemas.openxmlformats.org/officeDocument/2006/relationships/image" Target="../media/image44.png"/><Relationship Id="rId11" Type="http://schemas.openxmlformats.org/officeDocument/2006/relationships/image" Target="../media/image43.png"/><Relationship Id="rId10" Type="http://schemas.openxmlformats.org/officeDocument/2006/relationships/image" Target="../media/image9.png"/><Relationship Id="rId1" Type="http://schemas.openxmlformats.org/officeDocument/2006/relationships/image" Target="../media/image35.png"/></Relationships>
</file>

<file path=xl/drawings/_rels/drawing19.xml.rels><?xml version="1.0" encoding="UTF-8" standalone="yes"?>
<Relationships xmlns="http://schemas.openxmlformats.org/package/2006/relationships"><Relationship Id="rId9" Type="http://schemas.openxmlformats.org/officeDocument/2006/relationships/image" Target="../media/image54.png"/><Relationship Id="rId8" Type="http://schemas.openxmlformats.org/officeDocument/2006/relationships/image" Target="../media/image53.png"/><Relationship Id="rId7" Type="http://schemas.openxmlformats.org/officeDocument/2006/relationships/image" Target="../media/image52.png"/><Relationship Id="rId6" Type="http://schemas.openxmlformats.org/officeDocument/2006/relationships/image" Target="../media/image51.png"/><Relationship Id="rId5" Type="http://schemas.openxmlformats.org/officeDocument/2006/relationships/image" Target="../media/image50.png"/><Relationship Id="rId4" Type="http://schemas.openxmlformats.org/officeDocument/2006/relationships/image" Target="../media/image49.png"/><Relationship Id="rId3" Type="http://schemas.openxmlformats.org/officeDocument/2006/relationships/image" Target="../media/image48.png"/><Relationship Id="rId2" Type="http://schemas.openxmlformats.org/officeDocument/2006/relationships/image" Target="../media/image47.png"/><Relationship Id="rId14" Type="http://schemas.openxmlformats.org/officeDocument/2006/relationships/image" Target="../media/image59.png"/><Relationship Id="rId13" Type="http://schemas.openxmlformats.org/officeDocument/2006/relationships/image" Target="../media/image58.png"/><Relationship Id="rId12" Type="http://schemas.openxmlformats.org/officeDocument/2006/relationships/image" Target="../media/image57.png"/><Relationship Id="rId11" Type="http://schemas.openxmlformats.org/officeDocument/2006/relationships/image" Target="../media/image56.png"/><Relationship Id="rId10" Type="http://schemas.openxmlformats.org/officeDocument/2006/relationships/image" Target="../media/image55.png"/><Relationship Id="rId1" Type="http://schemas.openxmlformats.org/officeDocument/2006/relationships/image" Target="../media/image46.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9" Type="http://schemas.openxmlformats.org/officeDocument/2006/relationships/image" Target="../media/image68.png"/><Relationship Id="rId8" Type="http://schemas.openxmlformats.org/officeDocument/2006/relationships/image" Target="../media/image67.png"/><Relationship Id="rId7" Type="http://schemas.openxmlformats.org/officeDocument/2006/relationships/image" Target="../media/image66.png"/><Relationship Id="rId6" Type="http://schemas.openxmlformats.org/officeDocument/2006/relationships/image" Target="../media/image65.png"/><Relationship Id="rId50" Type="http://schemas.openxmlformats.org/officeDocument/2006/relationships/image" Target="../media/image109.png"/><Relationship Id="rId5" Type="http://schemas.openxmlformats.org/officeDocument/2006/relationships/image" Target="../media/image64.png"/><Relationship Id="rId49" Type="http://schemas.openxmlformats.org/officeDocument/2006/relationships/image" Target="../media/image108.png"/><Relationship Id="rId48" Type="http://schemas.openxmlformats.org/officeDocument/2006/relationships/image" Target="../media/image107.png"/><Relationship Id="rId47" Type="http://schemas.openxmlformats.org/officeDocument/2006/relationships/image" Target="../media/image106.png"/><Relationship Id="rId46" Type="http://schemas.openxmlformats.org/officeDocument/2006/relationships/image" Target="../media/image105.png"/><Relationship Id="rId45" Type="http://schemas.openxmlformats.org/officeDocument/2006/relationships/image" Target="../media/image104.png"/><Relationship Id="rId44" Type="http://schemas.openxmlformats.org/officeDocument/2006/relationships/image" Target="../media/image103.png"/><Relationship Id="rId43" Type="http://schemas.openxmlformats.org/officeDocument/2006/relationships/image" Target="../media/image102.png"/><Relationship Id="rId42" Type="http://schemas.openxmlformats.org/officeDocument/2006/relationships/image" Target="../media/image101.png"/><Relationship Id="rId41" Type="http://schemas.openxmlformats.org/officeDocument/2006/relationships/image" Target="../media/image100.png"/><Relationship Id="rId40" Type="http://schemas.openxmlformats.org/officeDocument/2006/relationships/image" Target="../media/image99.png"/><Relationship Id="rId4" Type="http://schemas.openxmlformats.org/officeDocument/2006/relationships/image" Target="../media/image63.jpeg"/><Relationship Id="rId39" Type="http://schemas.openxmlformats.org/officeDocument/2006/relationships/image" Target="../media/image98.png"/><Relationship Id="rId38" Type="http://schemas.openxmlformats.org/officeDocument/2006/relationships/image" Target="../media/image97.png"/><Relationship Id="rId37" Type="http://schemas.openxmlformats.org/officeDocument/2006/relationships/image" Target="../media/image96.png"/><Relationship Id="rId36" Type="http://schemas.openxmlformats.org/officeDocument/2006/relationships/image" Target="../media/image95.png"/><Relationship Id="rId35" Type="http://schemas.openxmlformats.org/officeDocument/2006/relationships/image" Target="../media/image94.png"/><Relationship Id="rId34" Type="http://schemas.openxmlformats.org/officeDocument/2006/relationships/image" Target="../media/image93.png"/><Relationship Id="rId33" Type="http://schemas.openxmlformats.org/officeDocument/2006/relationships/image" Target="../media/image92.png"/><Relationship Id="rId32" Type="http://schemas.openxmlformats.org/officeDocument/2006/relationships/image" Target="../media/image91.png"/><Relationship Id="rId31" Type="http://schemas.openxmlformats.org/officeDocument/2006/relationships/image" Target="../media/image90.png"/><Relationship Id="rId30" Type="http://schemas.openxmlformats.org/officeDocument/2006/relationships/image" Target="../media/image89.png"/><Relationship Id="rId3" Type="http://schemas.openxmlformats.org/officeDocument/2006/relationships/image" Target="../media/image62.png"/><Relationship Id="rId29" Type="http://schemas.openxmlformats.org/officeDocument/2006/relationships/image" Target="../media/image88.png"/><Relationship Id="rId28" Type="http://schemas.openxmlformats.org/officeDocument/2006/relationships/image" Target="../media/image87.png"/><Relationship Id="rId27" Type="http://schemas.openxmlformats.org/officeDocument/2006/relationships/image" Target="../media/image86.png"/><Relationship Id="rId26" Type="http://schemas.openxmlformats.org/officeDocument/2006/relationships/image" Target="../media/image85.png"/><Relationship Id="rId25" Type="http://schemas.openxmlformats.org/officeDocument/2006/relationships/image" Target="../media/image84.png"/><Relationship Id="rId24" Type="http://schemas.openxmlformats.org/officeDocument/2006/relationships/image" Target="../media/image83.png"/><Relationship Id="rId23" Type="http://schemas.openxmlformats.org/officeDocument/2006/relationships/image" Target="../media/image82.png"/><Relationship Id="rId22" Type="http://schemas.openxmlformats.org/officeDocument/2006/relationships/image" Target="../media/image81.png"/><Relationship Id="rId21" Type="http://schemas.openxmlformats.org/officeDocument/2006/relationships/image" Target="../media/image80.png"/><Relationship Id="rId20" Type="http://schemas.openxmlformats.org/officeDocument/2006/relationships/image" Target="../media/image79.png"/><Relationship Id="rId2" Type="http://schemas.openxmlformats.org/officeDocument/2006/relationships/image" Target="../media/image61.png"/><Relationship Id="rId19" Type="http://schemas.openxmlformats.org/officeDocument/2006/relationships/image" Target="../media/image78.png"/><Relationship Id="rId18" Type="http://schemas.openxmlformats.org/officeDocument/2006/relationships/image" Target="../media/image77.png"/><Relationship Id="rId17" Type="http://schemas.openxmlformats.org/officeDocument/2006/relationships/image" Target="../media/image76.png"/><Relationship Id="rId16" Type="http://schemas.openxmlformats.org/officeDocument/2006/relationships/image" Target="../media/image75.png"/><Relationship Id="rId15" Type="http://schemas.openxmlformats.org/officeDocument/2006/relationships/image" Target="../media/image74.png"/><Relationship Id="rId14" Type="http://schemas.openxmlformats.org/officeDocument/2006/relationships/image" Target="../media/image73.png"/><Relationship Id="rId13" Type="http://schemas.openxmlformats.org/officeDocument/2006/relationships/image" Target="../media/image72.png"/><Relationship Id="rId12" Type="http://schemas.openxmlformats.org/officeDocument/2006/relationships/image" Target="../media/image71.png"/><Relationship Id="rId11" Type="http://schemas.openxmlformats.org/officeDocument/2006/relationships/image" Target="../media/image70.png"/><Relationship Id="rId10" Type="http://schemas.openxmlformats.org/officeDocument/2006/relationships/image" Target="../media/image69.png"/><Relationship Id="rId1" Type="http://schemas.openxmlformats.org/officeDocument/2006/relationships/image" Target="../media/image60.png"/></Relationships>
</file>

<file path=xl/drawings/_rels/drawing21.xml.rels><?xml version="1.0" encoding="UTF-8" standalone="yes"?>
<Relationships xmlns="http://schemas.openxmlformats.org/package/2006/relationships"><Relationship Id="rId2" Type="http://schemas.openxmlformats.org/officeDocument/2006/relationships/image" Target="../media/image111.emf"/><Relationship Id="rId1" Type="http://schemas.openxmlformats.org/officeDocument/2006/relationships/image" Target="../media/image110.jpeg"/></Relationships>
</file>

<file path=xl/drawings/_rels/drawing23.xml.rels><?xml version="1.0" encoding="UTF-8" standalone="yes"?>
<Relationships xmlns="http://schemas.openxmlformats.org/package/2006/relationships"><Relationship Id="rId2" Type="http://schemas.openxmlformats.org/officeDocument/2006/relationships/image" Target="../media/image119.png"/><Relationship Id="rId1" Type="http://schemas.openxmlformats.org/officeDocument/2006/relationships/image" Target="../media/image118.png"/></Relationships>
</file>

<file path=xl/drawings/_rels/drawing3.xml.rels><?xml version="1.0" encoding="UTF-8" standalone="yes"?>
<Relationships xmlns="http://schemas.openxmlformats.org/package/2006/relationships"><Relationship Id="rId6" Type="http://schemas.openxmlformats.org/officeDocument/2006/relationships/image" Target="../media/image9.png"/><Relationship Id="rId5" Type="http://schemas.openxmlformats.org/officeDocument/2006/relationships/hyperlink" Target="#&#30446;&#24405;!A1"/><Relationship Id="rId4" Type="http://schemas.openxmlformats.org/officeDocument/2006/relationships/image" Target="../media/image8.png"/><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2" Type="http://schemas.openxmlformats.org/officeDocument/2006/relationships/image" Target="../media/image17.emf"/><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2" Type="http://schemas.openxmlformats.org/officeDocument/2006/relationships/image" Target="../media/image18.emf"/><Relationship Id="rId1" Type="http://schemas.openxmlformats.org/officeDocument/2006/relationships/chart" Target="../charts/chart4.xml"/></Relationships>
</file>

<file path=xl/drawings/_rels/vmlDrawing11.vml.rels><?xml version="1.0" encoding="UTF-8" standalone="yes"?>
<Relationships xmlns="http://schemas.openxmlformats.org/package/2006/relationships"><Relationship Id="rId2" Type="http://schemas.openxmlformats.org/officeDocument/2006/relationships/image" Target="../media/image34.wmf"/><Relationship Id="rId1" Type="http://schemas.openxmlformats.org/officeDocument/2006/relationships/image" Target="../media/image33.wmf"/></Relationships>
</file>

<file path=xl/drawings/_rels/vmlDrawing13.vml.rels><?xml version="1.0" encoding="UTF-8" standalone="yes"?>
<Relationships xmlns="http://schemas.openxmlformats.org/package/2006/relationships"><Relationship Id="rId6" Type="http://schemas.openxmlformats.org/officeDocument/2006/relationships/image" Target="../media/image117.emf"/><Relationship Id="rId5" Type="http://schemas.openxmlformats.org/officeDocument/2006/relationships/image" Target="../media/image116.emf"/><Relationship Id="rId4" Type="http://schemas.openxmlformats.org/officeDocument/2006/relationships/image" Target="../media/image115.emf"/><Relationship Id="rId3" Type="http://schemas.openxmlformats.org/officeDocument/2006/relationships/image" Target="../media/image114.emf"/><Relationship Id="rId2" Type="http://schemas.openxmlformats.org/officeDocument/2006/relationships/image" Target="../media/image113.emf"/><Relationship Id="rId1" Type="http://schemas.openxmlformats.org/officeDocument/2006/relationships/image" Target="../media/image112.emf"/></Relationships>
</file>

<file path=xl/drawings/_rels/vmlDrawing4.vml.rels><?xml version="1.0" encoding="UTF-8" standalone="yes"?>
<Relationships xmlns="http://schemas.openxmlformats.org/package/2006/relationships"><Relationship Id="rId4" Type="http://schemas.openxmlformats.org/officeDocument/2006/relationships/image" Target="../media/image15.emf"/><Relationship Id="rId3" Type="http://schemas.openxmlformats.org/officeDocument/2006/relationships/image" Target="../media/image14.emf"/><Relationship Id="rId2" Type="http://schemas.openxmlformats.org/officeDocument/2006/relationships/image" Target="../media/image13.emf"/><Relationship Id="rId1" Type="http://schemas.openxmlformats.org/officeDocument/2006/relationships/image" Target="../media/image1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6.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9.w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5694680</xdr:colOff>
      <xdr:row>25</xdr:row>
      <xdr:rowOff>167640</xdr:rowOff>
    </xdr:from>
    <xdr:to>
      <xdr:col>4</xdr:col>
      <xdr:colOff>6388735</xdr:colOff>
      <xdr:row>30</xdr:row>
      <xdr:rowOff>20320</xdr:rowOff>
    </xdr:to>
    <xdr:pic>
      <xdr:nvPicPr>
        <xdr:cNvPr id="2" name="图片 1" descr="qrcode_for_gh_e15f77635f27_258"/>
        <xdr:cNvPicPr>
          <a:picLocks noChangeAspect="1"/>
        </xdr:cNvPicPr>
      </xdr:nvPicPr>
      <xdr:blipFill>
        <a:blip r:embed="rId1"/>
        <a:stretch>
          <a:fillRect/>
        </a:stretch>
      </xdr:blipFill>
      <xdr:spPr>
        <a:xfrm>
          <a:off x="10771505" y="4638040"/>
          <a:ext cx="694055" cy="709930"/>
        </a:xfrm>
        <a:prstGeom prst="rect">
          <a:avLst/>
        </a:prstGeom>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5</xdr:col>
      <xdr:colOff>219073</xdr:colOff>
      <xdr:row>0</xdr:row>
      <xdr:rowOff>180974</xdr:rowOff>
    </xdr:from>
    <xdr:to>
      <xdr:col>18</xdr:col>
      <xdr:colOff>314324</xdr:colOff>
      <xdr:row>29</xdr:row>
      <xdr:rowOff>9524</xdr:rowOff>
    </xdr:to>
    <xdr:graphicFrame>
      <xdr:nvGraphicFramePr>
        <xdr:cNvPr id="2" name="Chart 1"/>
        <xdr:cNvGraphicFramePr/>
      </xdr:nvGraphicFramePr>
      <xdr:xfrm>
        <a:off x="5019040" y="171450"/>
        <a:ext cx="9010650" cy="48190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0</xdr:col>
          <xdr:colOff>0</xdr:colOff>
          <xdr:row>2</xdr:row>
          <xdr:rowOff>0</xdr:rowOff>
        </xdr:from>
        <xdr:to>
          <xdr:col>0</xdr:col>
          <xdr:colOff>190500</xdr:colOff>
          <xdr:row>2</xdr:row>
          <xdr:rowOff>0</xdr:rowOff>
        </xdr:to>
        <xdr:sp>
          <xdr:nvSpPr>
            <xdr:cNvPr id="46081" name="Object 1" hidden="1">
              <a:extLst>
                <a:ext uri="{63B3BB69-23CF-44E3-9099-C40C66FF867C}">
                  <a14:compatExt spid="_x0000_s46081"/>
                </a:ext>
              </a:extLst>
            </xdr:cNvPr>
            <xdr:cNvSpPr/>
          </xdr:nvSpPr>
          <xdr:spPr>
            <a:xfrm>
              <a:off x="0" y="523875"/>
              <a:ext cx="19050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11</xdr:col>
      <xdr:colOff>19101</xdr:colOff>
      <xdr:row>8</xdr:row>
      <xdr:rowOff>198783</xdr:rowOff>
    </xdr:from>
    <xdr:to>
      <xdr:col>18</xdr:col>
      <xdr:colOff>11179</xdr:colOff>
      <xdr:row>21</xdr:row>
      <xdr:rowOff>208308</xdr:rowOff>
    </xdr:to>
    <xdr:graphicFrame>
      <xdr:nvGraphicFramePr>
        <xdr:cNvPr id="2" name="图表 1"/>
        <xdr:cNvGraphicFramePr/>
      </xdr:nvGraphicFramePr>
      <xdr:xfrm>
        <a:off x="7639050" y="2170430"/>
        <a:ext cx="4792345" cy="26955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1704976</xdr:colOff>
      <xdr:row>30</xdr:row>
      <xdr:rowOff>14587</xdr:rowOff>
    </xdr:from>
    <xdr:ext cx="2867024" cy="761760"/>
    <xdr:pic>
      <xdr:nvPicPr>
        <xdr:cNvPr id="3" name="图片 2"/>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1704975" y="6519545"/>
          <a:ext cx="2867025" cy="762000"/>
        </a:xfrm>
        <a:prstGeom prst="rect">
          <a:avLst/>
        </a:prstGeom>
      </xdr:spPr>
    </xdr:pic>
    <xdr:clientData/>
  </xdr:oneCellAnchor>
  <xdr:oneCellAnchor>
    <xdr:from>
      <xdr:col>0</xdr:col>
      <xdr:colOff>1438275</xdr:colOff>
      <xdr:row>32</xdr:row>
      <xdr:rowOff>85725</xdr:rowOff>
    </xdr:from>
    <xdr:ext cx="3588093" cy="657225"/>
    <xdr:pic>
      <xdr:nvPicPr>
        <xdr:cNvPr id="4" name="图片 3"/>
        <xdr:cNvPicPr>
          <a:picLocks noChangeAspect="1"/>
        </xdr:cNvPicPr>
      </xdr:nvPicPr>
      <xdr:blipFill>
        <a:blip r:embed="rId3">
          <a:extLst>
            <a:ext uri="{28A0092B-C50C-407E-A947-70E740481C1C}">
              <a14:useLocalDpi xmlns:a14="http://schemas.microsoft.com/office/drawing/2010/main" val="0"/>
            </a:ext>
          </a:extLst>
        </a:blip>
        <a:stretch>
          <a:fillRect/>
        </a:stretch>
      </xdr:blipFill>
      <xdr:spPr>
        <a:xfrm>
          <a:off x="1438275" y="7553325"/>
          <a:ext cx="3587750" cy="657225"/>
        </a:xfrm>
        <a:prstGeom prst="rect">
          <a:avLst/>
        </a:prstGeom>
      </xdr:spPr>
    </xdr:pic>
    <xdr:clientData/>
  </xdr:oneCellAnchor>
  <xdr:oneCellAnchor>
    <xdr:from>
      <xdr:col>1</xdr:col>
      <xdr:colOff>142875</xdr:colOff>
      <xdr:row>34</xdr:row>
      <xdr:rowOff>95250</xdr:rowOff>
    </xdr:from>
    <xdr:ext cx="2362200" cy="714375"/>
    <xdr:pic>
      <xdr:nvPicPr>
        <xdr:cNvPr id="5" name="图片 4"/>
        <xdr:cNvPicPr>
          <a:picLocks noChangeAspect="1"/>
        </xdr:cNvPicPr>
      </xdr:nvPicPr>
      <xdr:blipFill>
        <a:blip r:embed="rId4">
          <a:extLst>
            <a:ext uri="{28A0092B-C50C-407E-A947-70E740481C1C}">
              <a14:useLocalDpi xmlns:a14="http://schemas.microsoft.com/office/drawing/2010/main" val="0"/>
            </a:ext>
          </a:extLst>
        </a:blip>
        <a:stretch>
          <a:fillRect/>
        </a:stretch>
      </xdr:blipFill>
      <xdr:spPr>
        <a:xfrm>
          <a:off x="1981200" y="8810625"/>
          <a:ext cx="2362200" cy="714375"/>
        </a:xfrm>
        <a:prstGeom prst="rect">
          <a:avLst/>
        </a:prstGeom>
      </xdr:spPr>
    </xdr:pic>
    <xdr:clientData/>
  </xdr:oneCellAnchor>
  <xdr:oneCellAnchor>
    <xdr:from>
      <xdr:col>1</xdr:col>
      <xdr:colOff>85725</xdr:colOff>
      <xdr:row>35</xdr:row>
      <xdr:rowOff>95251</xdr:rowOff>
    </xdr:from>
    <xdr:ext cx="2105025" cy="798458"/>
    <xdr:pic>
      <xdr:nvPicPr>
        <xdr:cNvPr id="6" name="图片 5"/>
        <xdr:cNvPicPr>
          <a:picLocks noChangeAspect="1"/>
        </xdr:cNvPicPr>
      </xdr:nvPicPr>
      <xdr:blipFill>
        <a:blip r:embed="rId5">
          <a:extLst>
            <a:ext uri="{28A0092B-C50C-407E-A947-70E740481C1C}">
              <a14:useLocalDpi xmlns:a14="http://schemas.microsoft.com/office/drawing/2010/main" val="0"/>
            </a:ext>
          </a:extLst>
        </a:blip>
        <a:stretch>
          <a:fillRect/>
        </a:stretch>
      </xdr:blipFill>
      <xdr:spPr>
        <a:xfrm>
          <a:off x="1924050" y="9753600"/>
          <a:ext cx="2105025" cy="798195"/>
        </a:xfrm>
        <a:prstGeom prst="rect">
          <a:avLst/>
        </a:prstGeom>
      </xdr:spPr>
    </xdr:pic>
    <xdr:clientData/>
  </xdr:one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1</xdr:row>
      <xdr:rowOff>0</xdr:rowOff>
    </xdr:from>
    <xdr:to>
      <xdr:col>4</xdr:col>
      <xdr:colOff>238125</xdr:colOff>
      <xdr:row>12</xdr:row>
      <xdr:rowOff>586</xdr:rowOff>
    </xdr:to>
    <xdr:pic>
      <xdr:nvPicPr>
        <xdr:cNvPr id="5" name="图片 4"/>
        <xdr:cNvPicPr>
          <a:picLocks noChangeAspect="1"/>
        </xdr:cNvPicPr>
      </xdr:nvPicPr>
      <xdr:blipFill>
        <a:blip r:embed="rId1"/>
        <a:stretch>
          <a:fillRect/>
        </a:stretch>
      </xdr:blipFill>
      <xdr:spPr>
        <a:xfrm>
          <a:off x="200025" y="171450"/>
          <a:ext cx="1952625" cy="1885950"/>
        </a:xfrm>
        <a:prstGeom prst="rect">
          <a:avLst/>
        </a:prstGeom>
      </xdr:spPr>
    </xdr:pic>
    <xdr:clientData/>
  </xdr:twoCellAnchor>
  <xdr:twoCellAnchor editAs="oneCell">
    <xdr:from>
      <xdr:col>6</xdr:col>
      <xdr:colOff>1</xdr:colOff>
      <xdr:row>1</xdr:row>
      <xdr:rowOff>0</xdr:rowOff>
    </xdr:from>
    <xdr:to>
      <xdr:col>9</xdr:col>
      <xdr:colOff>397601</xdr:colOff>
      <xdr:row>12</xdr:row>
      <xdr:rowOff>9525</xdr:rowOff>
    </xdr:to>
    <xdr:pic>
      <xdr:nvPicPr>
        <xdr:cNvPr id="6" name="图片 5"/>
        <xdr:cNvPicPr>
          <a:picLocks noChangeAspect="1"/>
        </xdr:cNvPicPr>
      </xdr:nvPicPr>
      <xdr:blipFill>
        <a:blip r:embed="rId2"/>
        <a:stretch>
          <a:fillRect/>
        </a:stretch>
      </xdr:blipFill>
      <xdr:spPr>
        <a:xfrm>
          <a:off x="3057525" y="171450"/>
          <a:ext cx="2112010" cy="1895475"/>
        </a:xfrm>
        <a:prstGeom prst="rect">
          <a:avLst/>
        </a:prstGeom>
      </xdr:spPr>
    </xdr:pic>
    <xdr:clientData/>
  </xdr:twoCellAnchor>
  <xdr:twoCellAnchor editAs="oneCell">
    <xdr:from>
      <xdr:col>11</xdr:col>
      <xdr:colOff>0</xdr:colOff>
      <xdr:row>0</xdr:row>
      <xdr:rowOff>171449</xdr:rowOff>
    </xdr:from>
    <xdr:to>
      <xdr:col>13</xdr:col>
      <xdr:colOff>511320</xdr:colOff>
      <xdr:row>11</xdr:row>
      <xdr:rowOff>123824</xdr:rowOff>
    </xdr:to>
    <xdr:pic>
      <xdr:nvPicPr>
        <xdr:cNvPr id="7" name="图片 6"/>
        <xdr:cNvPicPr>
          <a:picLocks noChangeAspect="1"/>
        </xdr:cNvPicPr>
      </xdr:nvPicPr>
      <xdr:blipFill>
        <a:blip r:embed="rId3"/>
        <a:stretch>
          <a:fillRect/>
        </a:stretch>
      </xdr:blipFill>
      <xdr:spPr>
        <a:xfrm>
          <a:off x="6172200" y="170815"/>
          <a:ext cx="2073275" cy="1838325"/>
        </a:xfrm>
        <a:prstGeom prst="rect">
          <a:avLst/>
        </a:prstGeom>
      </xdr:spPr>
    </xdr:pic>
    <xdr:clientData/>
  </xdr:twoCellAnchor>
  <xdr:twoCellAnchor editAs="oneCell">
    <xdr:from>
      <xdr:col>1</xdr:col>
      <xdr:colOff>1</xdr:colOff>
      <xdr:row>16</xdr:row>
      <xdr:rowOff>0</xdr:rowOff>
    </xdr:from>
    <xdr:to>
      <xdr:col>4</xdr:col>
      <xdr:colOff>447261</xdr:colOff>
      <xdr:row>28</xdr:row>
      <xdr:rowOff>98970</xdr:rowOff>
    </xdr:to>
    <xdr:pic>
      <xdr:nvPicPr>
        <xdr:cNvPr id="8" name="图片 7"/>
        <xdr:cNvPicPr>
          <a:picLocks noChangeAspect="1"/>
        </xdr:cNvPicPr>
      </xdr:nvPicPr>
      <xdr:blipFill>
        <a:blip r:embed="rId4"/>
        <a:stretch>
          <a:fillRect/>
        </a:stretch>
      </xdr:blipFill>
      <xdr:spPr>
        <a:xfrm>
          <a:off x="200025" y="2743200"/>
          <a:ext cx="2161540" cy="2155825"/>
        </a:xfrm>
        <a:prstGeom prst="rect">
          <a:avLst/>
        </a:prstGeom>
      </xdr:spPr>
    </xdr:pic>
    <xdr:clientData/>
  </xdr:twoCellAnchor>
  <xdr:twoCellAnchor editAs="oneCell">
    <xdr:from>
      <xdr:col>6</xdr:col>
      <xdr:colOff>0</xdr:colOff>
      <xdr:row>16</xdr:row>
      <xdr:rowOff>0</xdr:rowOff>
    </xdr:from>
    <xdr:to>
      <xdr:col>9</xdr:col>
      <xdr:colOff>383355</xdr:colOff>
      <xdr:row>28</xdr:row>
      <xdr:rowOff>16565</xdr:rowOff>
    </xdr:to>
    <xdr:pic>
      <xdr:nvPicPr>
        <xdr:cNvPr id="9" name="图片 8"/>
        <xdr:cNvPicPr>
          <a:picLocks noChangeAspect="1"/>
        </xdr:cNvPicPr>
      </xdr:nvPicPr>
      <xdr:blipFill>
        <a:blip r:embed="rId5"/>
        <a:stretch>
          <a:fillRect/>
        </a:stretch>
      </xdr:blipFill>
      <xdr:spPr>
        <a:xfrm>
          <a:off x="3057525" y="2743200"/>
          <a:ext cx="2097405" cy="2073910"/>
        </a:xfrm>
        <a:prstGeom prst="rect">
          <a:avLst/>
        </a:prstGeom>
      </xdr:spPr>
    </xdr:pic>
    <xdr:clientData/>
  </xdr:twoCellAnchor>
  <xdr:twoCellAnchor editAs="oneCell">
    <xdr:from>
      <xdr:col>15</xdr:col>
      <xdr:colOff>0</xdr:colOff>
      <xdr:row>0</xdr:row>
      <xdr:rowOff>0</xdr:rowOff>
    </xdr:from>
    <xdr:to>
      <xdr:col>16</xdr:col>
      <xdr:colOff>501489</xdr:colOff>
      <xdr:row>6</xdr:row>
      <xdr:rowOff>50386</xdr:rowOff>
    </xdr:to>
    <xdr:pic>
      <xdr:nvPicPr>
        <xdr:cNvPr id="4" name="图片 3">
          <a:hlinkClick xmlns:r="http://schemas.openxmlformats.org/officeDocument/2006/relationships" r:id="rId6"/>
        </xdr:cNvPr>
        <xdr:cNvPicPr>
          <a:picLocks noChangeAspect="1"/>
        </xdr:cNvPicPr>
      </xdr:nvPicPr>
      <xdr:blipFill>
        <a:blip r:embed="rId7"/>
        <a:stretch>
          <a:fillRect/>
        </a:stretch>
      </xdr:blipFill>
      <xdr:spPr>
        <a:xfrm>
          <a:off x="9115425" y="0"/>
          <a:ext cx="1072515" cy="1078865"/>
        </a:xfrm>
        <a:prstGeom prst="rect">
          <a:avLst/>
        </a:prstGeom>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5</xdr:col>
      <xdr:colOff>39343</xdr:colOff>
      <xdr:row>22</xdr:row>
      <xdr:rowOff>91107</xdr:rowOff>
    </xdr:from>
    <xdr:to>
      <xdr:col>15</xdr:col>
      <xdr:colOff>463826</xdr:colOff>
      <xdr:row>44</xdr:row>
      <xdr:rowOff>169792</xdr:rowOff>
    </xdr:to>
    <xdr:graphicFrame>
      <xdr:nvGraphicFramePr>
        <xdr:cNvPr id="2" name="Chart 1"/>
        <xdr:cNvGraphicFramePr/>
      </xdr:nvGraphicFramePr>
      <xdr:xfrm>
        <a:off x="4572635" y="4015105"/>
        <a:ext cx="8787765" cy="3850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9</xdr:col>
      <xdr:colOff>40105</xdr:colOff>
      <xdr:row>8</xdr:row>
      <xdr:rowOff>172206</xdr:rowOff>
    </xdr:from>
    <xdr:ext cx="5028438" cy="1632786"/>
    <xdr:pic>
      <xdr:nvPicPr>
        <xdr:cNvPr id="3" name="Picture 2" descr="Slide-0004.JPG"/>
        <xdr:cNvPicPr>
          <a:picLocks noChangeAspect="1"/>
        </xdr:cNvPicPr>
      </xdr:nvPicPr>
      <xdr:blipFill>
        <a:blip r:embed="rId2" cstate="print"/>
        <a:stretch>
          <a:fillRect/>
        </a:stretch>
      </xdr:blipFill>
      <xdr:spPr>
        <a:xfrm>
          <a:off x="7717155" y="1666875"/>
          <a:ext cx="5027930" cy="1632585"/>
        </a:xfrm>
        <a:prstGeom prst="rect">
          <a:avLst/>
        </a:prstGeom>
        <a:ln w="15875">
          <a:solidFill>
            <a:sysClr val="windowText" lastClr="000000"/>
          </a:solidFill>
        </a:ln>
      </xdr:spPr>
    </xdr:pic>
    <xdr:clientData/>
  </xdr:one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5</xdr:col>
      <xdr:colOff>242265</xdr:colOff>
      <xdr:row>2</xdr:row>
      <xdr:rowOff>43484</xdr:rowOff>
    </xdr:from>
    <xdr:to>
      <xdr:col>15</xdr:col>
      <xdr:colOff>304800</xdr:colOff>
      <xdr:row>24</xdr:row>
      <xdr:rowOff>170208</xdr:rowOff>
    </xdr:to>
    <xdr:graphicFrame>
      <xdr:nvGraphicFramePr>
        <xdr:cNvPr id="2" name="Chart 3"/>
        <xdr:cNvGraphicFramePr/>
      </xdr:nvGraphicFramePr>
      <xdr:xfrm>
        <a:off x="4518660" y="424180"/>
        <a:ext cx="8673465" cy="39179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41</xdr:row>
      <xdr:rowOff>114300</xdr:rowOff>
    </xdr:from>
    <xdr:to>
      <xdr:col>5</xdr:col>
      <xdr:colOff>1304925</xdr:colOff>
      <xdr:row>71</xdr:row>
      <xdr:rowOff>180975</xdr:rowOff>
    </xdr:to>
    <xdr:grpSp>
      <xdr:nvGrpSpPr>
        <xdr:cNvPr id="2" name="Group 8"/>
        <xdr:cNvGrpSpPr/>
      </xdr:nvGrpSpPr>
      <xdr:grpSpPr>
        <a:xfrm>
          <a:off x="4610100" y="6979920"/>
          <a:ext cx="4467225" cy="11496675"/>
          <a:chOff x="0" y="934"/>
          <a:chExt cx="594" cy="965"/>
        </a:xfrm>
      </xdr:grpSpPr>
      <xdr:pic>
        <xdr:nvPicPr>
          <xdr:cNvPr id="3" name="Picture 1" descr="０３"/>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 y="934"/>
            <a:ext cx="593" cy="4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4" descr="QQ截图未命名０１１"/>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 y="1349"/>
            <a:ext cx="590" cy="4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 name="Picture 5" descr="QQ截图未命名０４"/>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0" y="1751"/>
            <a:ext cx="591" cy="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4</xdr:col>
      <xdr:colOff>38101</xdr:colOff>
      <xdr:row>21</xdr:row>
      <xdr:rowOff>66675</xdr:rowOff>
    </xdr:from>
    <xdr:to>
      <xdr:col>4</xdr:col>
      <xdr:colOff>3124201</xdr:colOff>
      <xdr:row>21</xdr:row>
      <xdr:rowOff>333375</xdr:rowOff>
    </xdr:to>
    <xdr:sp>
      <xdr:nvSpPr>
        <xdr:cNvPr id="6" name="圆角矩形 5"/>
        <xdr:cNvSpPr/>
      </xdr:nvSpPr>
      <xdr:spPr>
        <a:xfrm>
          <a:off x="4648200" y="2501265"/>
          <a:ext cx="3086100" cy="266700"/>
        </a:xfrm>
        <a:prstGeom prst="roundRect">
          <a:avLst/>
        </a:prstGeom>
        <a:solidFill>
          <a:schemeClr val="accent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scene3d>
            <a:camera prst="orthographicFront">
              <a:rot lat="0" lon="0" rev="0"/>
            </a:camera>
            <a:lightRig rig="contrasting" dir="t">
              <a:rot lat="0" lon="0" rev="4500000"/>
            </a:lightRig>
          </a:scene3d>
          <a:sp3d contourW="6350" prstMaterial="metal">
            <a:bevelT w="127000" h="31750" prst="relaxedInset"/>
            <a:contourClr>
              <a:schemeClr val="accent1">
                <a:shade val="75000"/>
              </a:schemeClr>
            </a:contourClr>
          </a:sp3d>
        </a:bodyPr>
        <a:lstStyle/>
        <a:p>
          <a:pPr algn="ctr"/>
          <a:r>
            <a:rPr lang="en-US" altLang="zh-CN" sz="9600" b="1" cap="all" spc="0" baseline="0">
              <a:ln w="0"/>
              <a:gradFill flip="none">
                <a:gsLst>
                  <a:gs pos="0">
                    <a:schemeClr val="accent1">
                      <a:tint val="75000"/>
                      <a:shade val="75000"/>
                      <a:satMod val="170000"/>
                    </a:schemeClr>
                  </a:gs>
                  <a:gs pos="49000">
                    <a:schemeClr val="accent1">
                      <a:tint val="88000"/>
                      <a:shade val="65000"/>
                      <a:satMod val="172000"/>
                    </a:schemeClr>
                  </a:gs>
                  <a:gs pos="50000">
                    <a:schemeClr val="accent1">
                      <a:shade val="65000"/>
                      <a:satMod val="130000"/>
                    </a:schemeClr>
                  </a:gs>
                  <a:gs pos="92000">
                    <a:schemeClr val="accent1">
                      <a:shade val="50000"/>
                      <a:satMod val="120000"/>
                    </a:schemeClr>
                  </a:gs>
                  <a:gs pos="100000">
                    <a:schemeClr val="accent1">
                      <a:shade val="48000"/>
                      <a:satMod val="120000"/>
                    </a:schemeClr>
                  </a:gs>
                </a:gsLst>
                <a:lin ang="5400000"/>
              </a:gradFill>
              <a:effectLst>
                <a:reflection blurRad="12700" stA="50000" endPos="50000" dist="5000" dir="5400000" sy="-100000" rotWithShape="0"/>
              </a:effectLst>
              <a:latin typeface="+mn-ea"/>
              <a:ea typeface="+mn-ea"/>
            </a:rPr>
            <a:t>FJS</a:t>
          </a:r>
          <a:endParaRPr lang="zh-CN" altLang="en-US" sz="9600" b="1" cap="all" spc="0" baseline="0">
            <a:ln w="0"/>
            <a:gradFill flip="none">
              <a:gsLst>
                <a:gs pos="0">
                  <a:schemeClr val="accent1">
                    <a:tint val="75000"/>
                    <a:shade val="75000"/>
                    <a:satMod val="170000"/>
                  </a:schemeClr>
                </a:gs>
                <a:gs pos="49000">
                  <a:schemeClr val="accent1">
                    <a:tint val="88000"/>
                    <a:shade val="65000"/>
                    <a:satMod val="172000"/>
                  </a:schemeClr>
                </a:gs>
                <a:gs pos="50000">
                  <a:schemeClr val="accent1">
                    <a:shade val="65000"/>
                    <a:satMod val="130000"/>
                  </a:schemeClr>
                </a:gs>
                <a:gs pos="92000">
                  <a:schemeClr val="accent1">
                    <a:shade val="50000"/>
                    <a:satMod val="120000"/>
                  </a:schemeClr>
                </a:gs>
                <a:gs pos="100000">
                  <a:schemeClr val="accent1">
                    <a:shade val="48000"/>
                    <a:satMod val="120000"/>
                  </a:schemeClr>
                </a:gs>
              </a:gsLst>
              <a:lin ang="5400000"/>
            </a:gradFill>
            <a:effectLst>
              <a:reflection blurRad="12700" stA="50000" endPos="50000" dist="5000" dir="5400000" sy="-100000" rotWithShape="0"/>
            </a:effectLst>
            <a:latin typeface="+mn-ea"/>
            <a:ea typeface="+mn-ea"/>
          </a:endParaRPr>
        </a:p>
      </xdr:txBody>
    </xdr:sp>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0</xdr:col>
          <xdr:colOff>219075</xdr:colOff>
          <xdr:row>53</xdr:row>
          <xdr:rowOff>76200</xdr:rowOff>
        </xdr:from>
        <xdr:to>
          <xdr:col>6</xdr:col>
          <xdr:colOff>85725</xdr:colOff>
          <xdr:row>56</xdr:row>
          <xdr:rowOff>114300</xdr:rowOff>
        </xdr:to>
        <xdr:sp>
          <xdr:nvSpPr>
            <xdr:cNvPr id="33793" name="Object 1" hidden="1">
              <a:extLst>
                <a:ext uri="{63B3BB69-23CF-44E3-9099-C40C66FF867C}">
                  <a14:compatExt spid="_x0000_s33793"/>
                </a:ext>
              </a:extLst>
            </xdr:cNvPr>
            <xdr:cNvSpPr/>
          </xdr:nvSpPr>
          <xdr:spPr>
            <a:xfrm>
              <a:off x="219075" y="9191625"/>
              <a:ext cx="4248150" cy="5810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257175</xdr:colOff>
          <xdr:row>58</xdr:row>
          <xdr:rowOff>104775</xdr:rowOff>
        </xdr:from>
        <xdr:to>
          <xdr:col>6</xdr:col>
          <xdr:colOff>123825</xdr:colOff>
          <xdr:row>61</xdr:row>
          <xdr:rowOff>142875</xdr:rowOff>
        </xdr:to>
        <xdr:sp>
          <xdr:nvSpPr>
            <xdr:cNvPr id="33794" name="Object 2" hidden="1">
              <a:extLst>
                <a:ext uri="{63B3BB69-23CF-44E3-9099-C40C66FF867C}">
                  <a14:compatExt spid="_x0000_s33794"/>
                </a:ext>
              </a:extLst>
            </xdr:cNvPr>
            <xdr:cNvSpPr/>
          </xdr:nvSpPr>
          <xdr:spPr>
            <a:xfrm>
              <a:off x="257175" y="10125075"/>
              <a:ext cx="4248150" cy="581025"/>
            </a:xfrm>
            <a:prstGeom prst="rect">
              <a:avLst/>
            </a:prstGeom>
          </xdr:spPr>
        </xdr:sp>
        <xdr:clientData/>
      </xdr:twoCellAnchor>
    </mc:Choice>
    <mc:Fallback/>
  </mc:AlternateContent>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17370</xdr:colOff>
      <xdr:row>1</xdr:row>
      <xdr:rowOff>104775</xdr:rowOff>
    </xdr:from>
    <xdr:to>
      <xdr:col>6</xdr:col>
      <xdr:colOff>684120</xdr:colOff>
      <xdr:row>7</xdr:row>
      <xdr:rowOff>70588</xdr:rowOff>
    </xdr:to>
    <xdr:pic>
      <xdr:nvPicPr>
        <xdr:cNvPr id="2" name="图片 1"/>
        <xdr:cNvPicPr>
          <a:picLocks noChangeAspect="1"/>
        </xdr:cNvPicPr>
      </xdr:nvPicPr>
      <xdr:blipFill>
        <a:blip r:embed="rId1"/>
        <a:stretch>
          <a:fillRect/>
        </a:stretch>
      </xdr:blipFill>
      <xdr:spPr>
        <a:xfrm>
          <a:off x="312420" y="304800"/>
          <a:ext cx="3524250" cy="994410"/>
        </a:xfrm>
        <a:prstGeom prst="rect">
          <a:avLst/>
        </a:prstGeom>
      </xdr:spPr>
    </xdr:pic>
    <xdr:clientData/>
  </xdr:twoCellAnchor>
  <xdr:twoCellAnchor editAs="oneCell">
    <xdr:from>
      <xdr:col>2</xdr:col>
      <xdr:colOff>6163</xdr:colOff>
      <xdr:row>29</xdr:row>
      <xdr:rowOff>100292</xdr:rowOff>
    </xdr:from>
    <xdr:to>
      <xdr:col>4</xdr:col>
      <xdr:colOff>513428</xdr:colOff>
      <xdr:row>42</xdr:row>
      <xdr:rowOff>67235</xdr:rowOff>
    </xdr:to>
    <xdr:pic>
      <xdr:nvPicPr>
        <xdr:cNvPr id="3" name="图片 2"/>
        <xdr:cNvPicPr>
          <a:picLocks noChangeAspect="1"/>
        </xdr:cNvPicPr>
      </xdr:nvPicPr>
      <xdr:blipFill>
        <a:blip r:embed="rId2"/>
        <a:stretch>
          <a:fillRect/>
        </a:stretch>
      </xdr:blipFill>
      <xdr:spPr>
        <a:xfrm>
          <a:off x="300990" y="5290820"/>
          <a:ext cx="1993265" cy="2224405"/>
        </a:xfrm>
        <a:prstGeom prst="rect">
          <a:avLst/>
        </a:prstGeom>
      </xdr:spPr>
    </xdr:pic>
    <xdr:clientData/>
  </xdr:twoCellAnchor>
  <xdr:twoCellAnchor editAs="oneCell">
    <xdr:from>
      <xdr:col>13</xdr:col>
      <xdr:colOff>135031</xdr:colOff>
      <xdr:row>45</xdr:row>
      <xdr:rowOff>86848</xdr:rowOff>
    </xdr:from>
    <xdr:to>
      <xdr:col>13</xdr:col>
      <xdr:colOff>625334</xdr:colOff>
      <xdr:row>56</xdr:row>
      <xdr:rowOff>52668</xdr:rowOff>
    </xdr:to>
    <xdr:pic>
      <xdr:nvPicPr>
        <xdr:cNvPr id="4" name="图片 3"/>
        <xdr:cNvPicPr>
          <a:picLocks noChangeAspect="1"/>
        </xdr:cNvPicPr>
      </xdr:nvPicPr>
      <xdr:blipFill>
        <a:blip r:embed="rId3"/>
        <a:stretch>
          <a:fillRect/>
        </a:stretch>
      </xdr:blipFill>
      <xdr:spPr>
        <a:xfrm>
          <a:off x="9840595" y="8049260"/>
          <a:ext cx="490220" cy="1851660"/>
        </a:xfrm>
        <a:prstGeom prst="rect">
          <a:avLst/>
        </a:prstGeom>
      </xdr:spPr>
    </xdr:pic>
    <xdr:clientData/>
  </xdr:twoCellAnchor>
  <xdr:twoCellAnchor editAs="oneCell">
    <xdr:from>
      <xdr:col>1</xdr:col>
      <xdr:colOff>104216</xdr:colOff>
      <xdr:row>45</xdr:row>
      <xdr:rowOff>161927</xdr:rowOff>
    </xdr:from>
    <xdr:to>
      <xdr:col>6</xdr:col>
      <xdr:colOff>1372830</xdr:colOff>
      <xdr:row>56</xdr:row>
      <xdr:rowOff>134473</xdr:rowOff>
    </xdr:to>
    <xdr:pic>
      <xdr:nvPicPr>
        <xdr:cNvPr id="5" name="图片 4"/>
        <xdr:cNvPicPr>
          <a:picLocks noChangeAspect="1"/>
        </xdr:cNvPicPr>
      </xdr:nvPicPr>
      <xdr:blipFill>
        <a:blip r:embed="rId4"/>
        <a:stretch>
          <a:fillRect/>
        </a:stretch>
      </xdr:blipFill>
      <xdr:spPr>
        <a:xfrm>
          <a:off x="266065" y="8124825"/>
          <a:ext cx="4258945" cy="1858010"/>
        </a:xfrm>
        <a:prstGeom prst="rect">
          <a:avLst/>
        </a:prstGeom>
      </xdr:spPr>
    </xdr:pic>
    <xdr:clientData/>
  </xdr:twoCellAnchor>
  <xdr:twoCellAnchor editAs="oneCell">
    <xdr:from>
      <xdr:col>6</xdr:col>
      <xdr:colOff>1583390</xdr:colOff>
      <xdr:row>45</xdr:row>
      <xdr:rowOff>54347</xdr:rowOff>
    </xdr:from>
    <xdr:to>
      <xdr:col>12</xdr:col>
      <xdr:colOff>300761</xdr:colOff>
      <xdr:row>56</xdr:row>
      <xdr:rowOff>143996</xdr:rowOff>
    </xdr:to>
    <xdr:pic>
      <xdr:nvPicPr>
        <xdr:cNvPr id="7" name="图片 6"/>
        <xdr:cNvPicPr>
          <a:picLocks noChangeAspect="1"/>
        </xdr:cNvPicPr>
      </xdr:nvPicPr>
      <xdr:blipFill>
        <a:blip r:embed="rId5"/>
        <a:stretch>
          <a:fillRect/>
        </a:stretch>
      </xdr:blipFill>
      <xdr:spPr>
        <a:xfrm>
          <a:off x="4735830" y="8016875"/>
          <a:ext cx="4470400" cy="1975485"/>
        </a:xfrm>
        <a:prstGeom prst="rect">
          <a:avLst/>
        </a:prstGeom>
      </xdr:spPr>
    </xdr:pic>
    <xdr:clientData/>
  </xdr:twoCellAnchor>
  <xdr:twoCellAnchor editAs="oneCell">
    <xdr:from>
      <xdr:col>2</xdr:col>
      <xdr:colOff>33619</xdr:colOff>
      <xdr:row>68</xdr:row>
      <xdr:rowOff>33617</xdr:rowOff>
    </xdr:from>
    <xdr:to>
      <xdr:col>6</xdr:col>
      <xdr:colOff>132231</xdr:colOff>
      <xdr:row>80</xdr:row>
      <xdr:rowOff>95610</xdr:rowOff>
    </xdr:to>
    <xdr:pic>
      <xdr:nvPicPr>
        <xdr:cNvPr id="8" name="图片 7"/>
        <xdr:cNvPicPr>
          <a:picLocks noChangeAspect="1"/>
        </xdr:cNvPicPr>
      </xdr:nvPicPr>
      <xdr:blipFill>
        <a:blip r:embed="rId6"/>
        <a:stretch>
          <a:fillRect/>
        </a:stretch>
      </xdr:blipFill>
      <xdr:spPr>
        <a:xfrm>
          <a:off x="328295" y="11958320"/>
          <a:ext cx="2956560" cy="2119630"/>
        </a:xfrm>
        <a:prstGeom prst="rect">
          <a:avLst/>
        </a:prstGeom>
      </xdr:spPr>
    </xdr:pic>
    <xdr:clientData/>
  </xdr:twoCellAnchor>
  <xdr:twoCellAnchor editAs="oneCell">
    <xdr:from>
      <xdr:col>6</xdr:col>
      <xdr:colOff>593911</xdr:colOff>
      <xdr:row>69</xdr:row>
      <xdr:rowOff>0</xdr:rowOff>
    </xdr:from>
    <xdr:to>
      <xdr:col>9</xdr:col>
      <xdr:colOff>392658</xdr:colOff>
      <xdr:row>80</xdr:row>
      <xdr:rowOff>67235</xdr:rowOff>
    </xdr:to>
    <xdr:pic>
      <xdr:nvPicPr>
        <xdr:cNvPr id="9" name="图片 8"/>
        <xdr:cNvPicPr>
          <a:picLocks noChangeAspect="1"/>
        </xdr:cNvPicPr>
      </xdr:nvPicPr>
      <xdr:blipFill>
        <a:blip r:embed="rId7"/>
        <a:stretch>
          <a:fillRect/>
        </a:stretch>
      </xdr:blipFill>
      <xdr:spPr>
        <a:xfrm>
          <a:off x="3746500" y="12096750"/>
          <a:ext cx="3351530" cy="1952625"/>
        </a:xfrm>
        <a:prstGeom prst="rect">
          <a:avLst/>
        </a:prstGeom>
      </xdr:spPr>
    </xdr:pic>
    <xdr:clientData/>
  </xdr:twoCellAnchor>
  <xdr:twoCellAnchor editAs="oneCell">
    <xdr:from>
      <xdr:col>2</xdr:col>
      <xdr:colOff>0</xdr:colOff>
      <xdr:row>95</xdr:row>
      <xdr:rowOff>0</xdr:rowOff>
    </xdr:from>
    <xdr:to>
      <xdr:col>7</xdr:col>
      <xdr:colOff>297516</xdr:colOff>
      <xdr:row>108</xdr:row>
      <xdr:rowOff>6832</xdr:rowOff>
    </xdr:to>
    <xdr:pic>
      <xdr:nvPicPr>
        <xdr:cNvPr id="6" name="图片 5"/>
        <xdr:cNvPicPr>
          <a:picLocks noChangeAspect="1"/>
        </xdr:cNvPicPr>
      </xdr:nvPicPr>
      <xdr:blipFill>
        <a:blip r:embed="rId8"/>
        <a:stretch>
          <a:fillRect/>
        </a:stretch>
      </xdr:blipFill>
      <xdr:spPr>
        <a:xfrm>
          <a:off x="295275" y="16573500"/>
          <a:ext cx="4764405" cy="2235200"/>
        </a:xfrm>
        <a:prstGeom prst="rect">
          <a:avLst/>
        </a:prstGeom>
      </xdr:spPr>
    </xdr:pic>
    <xdr:clientData/>
  </xdr:twoCellAnchor>
  <xdr:twoCellAnchor editAs="oneCell">
    <xdr:from>
      <xdr:col>13</xdr:col>
      <xdr:colOff>0</xdr:colOff>
      <xdr:row>0</xdr:row>
      <xdr:rowOff>0</xdr:rowOff>
    </xdr:from>
    <xdr:to>
      <xdr:col>14</xdr:col>
      <xdr:colOff>380465</xdr:colOff>
      <xdr:row>6</xdr:row>
      <xdr:rowOff>26854</xdr:rowOff>
    </xdr:to>
    <xdr:pic>
      <xdr:nvPicPr>
        <xdr:cNvPr id="12" name="图片 11">
          <a:hlinkClick xmlns:r="http://schemas.openxmlformats.org/officeDocument/2006/relationships" r:id="rId9"/>
        </xdr:cNvPr>
        <xdr:cNvPicPr>
          <a:picLocks noChangeAspect="1"/>
        </xdr:cNvPicPr>
      </xdr:nvPicPr>
      <xdr:blipFill>
        <a:blip r:embed="rId10"/>
        <a:stretch>
          <a:fillRect/>
        </a:stretch>
      </xdr:blipFill>
      <xdr:spPr>
        <a:xfrm>
          <a:off x="9705975" y="0"/>
          <a:ext cx="1075690" cy="1083945"/>
        </a:xfrm>
        <a:prstGeom prst="rect">
          <a:avLst/>
        </a:prstGeom>
      </xdr:spPr>
    </xdr:pic>
    <xdr:clientData/>
  </xdr:twoCellAnchor>
  <xdr:twoCellAnchor editAs="oneCell">
    <xdr:from>
      <xdr:col>3</xdr:col>
      <xdr:colOff>0</xdr:colOff>
      <xdr:row>113</xdr:row>
      <xdr:rowOff>0</xdr:rowOff>
    </xdr:from>
    <xdr:to>
      <xdr:col>5</xdr:col>
      <xdr:colOff>381000</xdr:colOff>
      <xdr:row>122</xdr:row>
      <xdr:rowOff>139972</xdr:rowOff>
    </xdr:to>
    <xdr:pic>
      <xdr:nvPicPr>
        <xdr:cNvPr id="13" name="图片 12"/>
        <xdr:cNvPicPr>
          <a:picLocks noChangeAspect="1"/>
        </xdr:cNvPicPr>
      </xdr:nvPicPr>
      <xdr:blipFill>
        <a:blip r:embed="rId11"/>
        <a:stretch>
          <a:fillRect/>
        </a:stretch>
      </xdr:blipFill>
      <xdr:spPr>
        <a:xfrm>
          <a:off x="1095375" y="19678650"/>
          <a:ext cx="1752600" cy="1682750"/>
        </a:xfrm>
        <a:prstGeom prst="rect">
          <a:avLst/>
        </a:prstGeom>
      </xdr:spPr>
    </xdr:pic>
    <xdr:clientData/>
  </xdr:twoCellAnchor>
  <xdr:twoCellAnchor editAs="oneCell">
    <xdr:from>
      <xdr:col>2</xdr:col>
      <xdr:colOff>0</xdr:colOff>
      <xdr:row>128</xdr:row>
      <xdr:rowOff>1</xdr:rowOff>
    </xdr:from>
    <xdr:to>
      <xdr:col>6</xdr:col>
      <xdr:colOff>1486687</xdr:colOff>
      <xdr:row>144</xdr:row>
      <xdr:rowOff>38101</xdr:rowOff>
    </xdr:to>
    <xdr:pic>
      <xdr:nvPicPr>
        <xdr:cNvPr id="10" name="图片 9"/>
        <xdr:cNvPicPr>
          <a:picLocks noChangeAspect="1"/>
        </xdr:cNvPicPr>
      </xdr:nvPicPr>
      <xdr:blipFill>
        <a:blip r:embed="rId12"/>
        <a:stretch>
          <a:fillRect/>
        </a:stretch>
      </xdr:blipFill>
      <xdr:spPr>
        <a:xfrm>
          <a:off x="295275" y="22269450"/>
          <a:ext cx="4344035" cy="2781300"/>
        </a:xfrm>
        <a:prstGeom prst="rect">
          <a:avLst/>
        </a:prstGeom>
      </xdr:spPr>
    </xdr:pic>
    <xdr:clientData/>
  </xdr:twoCellAnchor>
  <xdr:twoCellAnchor editAs="oneCell">
    <xdr:from>
      <xdr:col>2</xdr:col>
      <xdr:colOff>0</xdr:colOff>
      <xdr:row>148</xdr:row>
      <xdr:rowOff>0</xdr:rowOff>
    </xdr:from>
    <xdr:to>
      <xdr:col>8</xdr:col>
      <xdr:colOff>639536</xdr:colOff>
      <xdr:row>166</xdr:row>
      <xdr:rowOff>163444</xdr:rowOff>
    </xdr:to>
    <xdr:pic>
      <xdr:nvPicPr>
        <xdr:cNvPr id="14" name="图片 13"/>
        <xdr:cNvPicPr>
          <a:picLocks noChangeAspect="1"/>
        </xdr:cNvPicPr>
      </xdr:nvPicPr>
      <xdr:blipFill>
        <a:blip r:embed="rId13"/>
        <a:stretch>
          <a:fillRect/>
        </a:stretch>
      </xdr:blipFill>
      <xdr:spPr>
        <a:xfrm>
          <a:off x="295275" y="25717500"/>
          <a:ext cx="6249670" cy="3249295"/>
        </a:xfrm>
        <a:prstGeom prst="rect">
          <a:avLst/>
        </a:prstGeom>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oneCellAnchor>
    <xdr:from>
      <xdr:col>6</xdr:col>
      <xdr:colOff>312420</xdr:colOff>
      <xdr:row>8</xdr:row>
      <xdr:rowOff>152400</xdr:rowOff>
    </xdr:from>
    <xdr:ext cx="3620417" cy="1150620"/>
    <xdr:pic>
      <xdr:nvPicPr>
        <xdr:cNvPr id="2" name="图片 1"/>
        <xdr:cNvPicPr>
          <a:picLocks noChangeAspect="1"/>
        </xdr:cNvPicPr>
      </xdr:nvPicPr>
      <xdr:blipFill>
        <a:blip r:embed="rId1"/>
        <a:stretch>
          <a:fillRect/>
        </a:stretch>
      </xdr:blipFill>
      <xdr:spPr>
        <a:xfrm>
          <a:off x="7360920" y="1748155"/>
          <a:ext cx="3620135" cy="1150620"/>
        </a:xfrm>
        <a:prstGeom prst="rect">
          <a:avLst/>
        </a:prstGeom>
      </xdr:spPr>
    </xdr:pic>
    <xdr:clientData/>
  </xdr:oneCellAnchor>
  <xdr:oneCellAnchor>
    <xdr:from>
      <xdr:col>6</xdr:col>
      <xdr:colOff>274320</xdr:colOff>
      <xdr:row>15</xdr:row>
      <xdr:rowOff>144780</xdr:rowOff>
    </xdr:from>
    <xdr:ext cx="988695" cy="365219"/>
    <xdr:pic>
      <xdr:nvPicPr>
        <xdr:cNvPr id="3" name="图片 2"/>
        <xdr:cNvPicPr>
          <a:picLocks noChangeAspect="1"/>
        </xdr:cNvPicPr>
      </xdr:nvPicPr>
      <xdr:blipFill>
        <a:blip r:embed="rId2"/>
        <a:stretch>
          <a:fillRect/>
        </a:stretch>
      </xdr:blipFill>
      <xdr:spPr>
        <a:xfrm>
          <a:off x="7322820" y="3074035"/>
          <a:ext cx="988695" cy="365125"/>
        </a:xfrm>
        <a:prstGeom prst="rect">
          <a:avLst/>
        </a:prstGeom>
      </xdr:spPr>
    </xdr:pic>
    <xdr:clientData/>
  </xdr:oneCellAnchor>
  <xdr:oneCellAnchor>
    <xdr:from>
      <xdr:col>9</xdr:col>
      <xdr:colOff>1363981</xdr:colOff>
      <xdr:row>8</xdr:row>
      <xdr:rowOff>137160</xdr:rowOff>
    </xdr:from>
    <xdr:ext cx="1798319" cy="1458041"/>
    <xdr:pic>
      <xdr:nvPicPr>
        <xdr:cNvPr id="4" name="图片 3"/>
        <xdr:cNvPicPr>
          <a:picLocks noChangeAspect="1"/>
        </xdr:cNvPicPr>
      </xdr:nvPicPr>
      <xdr:blipFill>
        <a:blip r:embed="rId3"/>
        <a:stretch>
          <a:fillRect/>
        </a:stretch>
      </xdr:blipFill>
      <xdr:spPr>
        <a:xfrm>
          <a:off x="11031855" y="1732915"/>
          <a:ext cx="1798320" cy="1457960"/>
        </a:xfrm>
        <a:prstGeom prst="rect">
          <a:avLst/>
        </a:prstGeom>
      </xdr:spPr>
    </xdr:pic>
    <xdr:clientData/>
  </xdr:oneCellAnchor>
  <xdr:oneCellAnchor>
    <xdr:from>
      <xdr:col>7</xdr:col>
      <xdr:colOff>868681</xdr:colOff>
      <xdr:row>15</xdr:row>
      <xdr:rowOff>167641</xdr:rowOff>
    </xdr:from>
    <xdr:ext cx="1701164" cy="379307"/>
    <xdr:pic>
      <xdr:nvPicPr>
        <xdr:cNvPr id="5" name="图片 4"/>
        <xdr:cNvPicPr>
          <a:picLocks noChangeAspect="1"/>
        </xdr:cNvPicPr>
      </xdr:nvPicPr>
      <xdr:blipFill>
        <a:blip r:embed="rId4"/>
        <a:stretch>
          <a:fillRect/>
        </a:stretch>
      </xdr:blipFill>
      <xdr:spPr>
        <a:xfrm>
          <a:off x="9001125" y="3096895"/>
          <a:ext cx="1700530" cy="379095"/>
        </a:xfrm>
        <a:prstGeom prst="rect">
          <a:avLst/>
        </a:prstGeom>
      </xdr:spPr>
    </xdr:pic>
    <xdr:clientData/>
  </xdr:oneCellAnchor>
  <xdr:oneCellAnchor>
    <xdr:from>
      <xdr:col>6</xdr:col>
      <xdr:colOff>152400</xdr:colOff>
      <xdr:row>17</xdr:row>
      <xdr:rowOff>137161</xdr:rowOff>
    </xdr:from>
    <xdr:ext cx="1720215" cy="368650"/>
    <xdr:pic>
      <xdr:nvPicPr>
        <xdr:cNvPr id="6" name="图片 5"/>
        <xdr:cNvPicPr>
          <a:picLocks noChangeAspect="1"/>
        </xdr:cNvPicPr>
      </xdr:nvPicPr>
      <xdr:blipFill>
        <a:blip r:embed="rId5"/>
        <a:stretch>
          <a:fillRect/>
        </a:stretch>
      </xdr:blipFill>
      <xdr:spPr>
        <a:xfrm>
          <a:off x="7200900" y="3447415"/>
          <a:ext cx="1720215" cy="368300"/>
        </a:xfrm>
        <a:prstGeom prst="rect">
          <a:avLst/>
        </a:prstGeom>
      </xdr:spPr>
    </xdr:pic>
    <xdr:clientData/>
  </xdr:oneCellAnchor>
  <xdr:oneCellAnchor>
    <xdr:from>
      <xdr:col>6</xdr:col>
      <xdr:colOff>160020</xdr:colOff>
      <xdr:row>19</xdr:row>
      <xdr:rowOff>144780</xdr:rowOff>
    </xdr:from>
    <xdr:ext cx="3159847" cy="388620"/>
    <xdr:pic>
      <xdr:nvPicPr>
        <xdr:cNvPr id="7" name="图片 6"/>
        <xdr:cNvPicPr>
          <a:picLocks noChangeAspect="1"/>
        </xdr:cNvPicPr>
      </xdr:nvPicPr>
      <xdr:blipFill>
        <a:blip r:embed="rId6"/>
        <a:stretch>
          <a:fillRect/>
        </a:stretch>
      </xdr:blipFill>
      <xdr:spPr>
        <a:xfrm>
          <a:off x="7208520" y="3836035"/>
          <a:ext cx="3159760" cy="388620"/>
        </a:xfrm>
        <a:prstGeom prst="rect">
          <a:avLst/>
        </a:prstGeom>
      </xdr:spPr>
    </xdr:pic>
    <xdr:clientData/>
  </xdr:oneCellAnchor>
  <xdr:oneCellAnchor>
    <xdr:from>
      <xdr:col>7</xdr:col>
      <xdr:colOff>807720</xdr:colOff>
      <xdr:row>17</xdr:row>
      <xdr:rowOff>129540</xdr:rowOff>
    </xdr:from>
    <xdr:ext cx="2383155" cy="428337"/>
    <xdr:pic>
      <xdr:nvPicPr>
        <xdr:cNvPr id="8" name="图片 7"/>
        <xdr:cNvPicPr>
          <a:picLocks noChangeAspect="1"/>
        </xdr:cNvPicPr>
      </xdr:nvPicPr>
      <xdr:blipFill>
        <a:blip r:embed="rId7"/>
        <a:stretch>
          <a:fillRect/>
        </a:stretch>
      </xdr:blipFill>
      <xdr:spPr>
        <a:xfrm>
          <a:off x="9001125" y="3439795"/>
          <a:ext cx="2383155" cy="427990"/>
        </a:xfrm>
        <a:prstGeom prst="rect">
          <a:avLst/>
        </a:prstGeom>
      </xdr:spPr>
    </xdr:pic>
    <xdr:clientData/>
  </xdr:oneCellAnchor>
  <xdr:oneCellAnchor>
    <xdr:from>
      <xdr:col>9</xdr:col>
      <xdr:colOff>1013461</xdr:colOff>
      <xdr:row>19</xdr:row>
      <xdr:rowOff>160021</xdr:rowOff>
    </xdr:from>
    <xdr:ext cx="2133600" cy="370840"/>
    <xdr:pic>
      <xdr:nvPicPr>
        <xdr:cNvPr id="9" name="图片 8"/>
        <xdr:cNvPicPr>
          <a:picLocks noChangeAspect="1"/>
        </xdr:cNvPicPr>
      </xdr:nvPicPr>
      <xdr:blipFill>
        <a:blip r:embed="rId8"/>
        <a:stretch>
          <a:fillRect/>
        </a:stretch>
      </xdr:blipFill>
      <xdr:spPr>
        <a:xfrm>
          <a:off x="10681335" y="3851275"/>
          <a:ext cx="2133600" cy="370840"/>
        </a:xfrm>
        <a:prstGeom prst="rect">
          <a:avLst/>
        </a:prstGeom>
      </xdr:spPr>
    </xdr:pic>
    <xdr:clientData/>
  </xdr:oneCellAnchor>
  <xdr:oneCellAnchor>
    <xdr:from>
      <xdr:col>1</xdr:col>
      <xdr:colOff>129540</xdr:colOff>
      <xdr:row>42</xdr:row>
      <xdr:rowOff>160020</xdr:rowOff>
    </xdr:from>
    <xdr:ext cx="2825924" cy="4051935"/>
    <xdr:pic>
      <xdr:nvPicPr>
        <xdr:cNvPr id="10" name="图片 9"/>
        <xdr:cNvPicPr>
          <a:picLocks noChangeAspect="1"/>
        </xdr:cNvPicPr>
      </xdr:nvPicPr>
      <xdr:blipFill>
        <a:blip r:embed="rId9"/>
        <a:stretch>
          <a:fillRect/>
        </a:stretch>
      </xdr:blipFill>
      <xdr:spPr>
        <a:xfrm>
          <a:off x="815340" y="8585835"/>
          <a:ext cx="2825750" cy="4051935"/>
        </a:xfrm>
        <a:prstGeom prst="rect">
          <a:avLst/>
        </a:prstGeom>
      </xdr:spPr>
    </xdr:pic>
    <xdr:clientData/>
  </xdr:oneCellAnchor>
  <xdr:oneCellAnchor>
    <xdr:from>
      <xdr:col>7</xdr:col>
      <xdr:colOff>335280</xdr:colOff>
      <xdr:row>31</xdr:row>
      <xdr:rowOff>106679</xdr:rowOff>
    </xdr:from>
    <xdr:ext cx="3383280" cy="2266740"/>
    <xdr:pic>
      <xdr:nvPicPr>
        <xdr:cNvPr id="11" name="图片 10"/>
        <xdr:cNvPicPr>
          <a:picLocks noChangeAspect="1"/>
        </xdr:cNvPicPr>
      </xdr:nvPicPr>
      <xdr:blipFill>
        <a:blip r:embed="rId10"/>
        <a:stretch>
          <a:fillRect/>
        </a:stretch>
      </xdr:blipFill>
      <xdr:spPr>
        <a:xfrm>
          <a:off x="8631555" y="6464300"/>
          <a:ext cx="3383280" cy="2266950"/>
        </a:xfrm>
        <a:prstGeom prst="rect">
          <a:avLst/>
        </a:prstGeom>
      </xdr:spPr>
    </xdr:pic>
    <xdr:clientData/>
  </xdr:oneCellAnchor>
  <xdr:oneCellAnchor>
    <xdr:from>
      <xdr:col>4</xdr:col>
      <xdr:colOff>15241</xdr:colOff>
      <xdr:row>42</xdr:row>
      <xdr:rowOff>83820</xdr:rowOff>
    </xdr:from>
    <xdr:ext cx="1935479" cy="502859"/>
    <xdr:pic>
      <xdr:nvPicPr>
        <xdr:cNvPr id="12" name="图片 11"/>
        <xdr:cNvPicPr>
          <a:picLocks noChangeAspect="1"/>
        </xdr:cNvPicPr>
      </xdr:nvPicPr>
      <xdr:blipFill>
        <a:blip r:embed="rId11"/>
        <a:stretch>
          <a:fillRect/>
        </a:stretch>
      </xdr:blipFill>
      <xdr:spPr>
        <a:xfrm>
          <a:off x="3568065" y="8509635"/>
          <a:ext cx="1935480" cy="502285"/>
        </a:xfrm>
        <a:prstGeom prst="rect">
          <a:avLst/>
        </a:prstGeom>
      </xdr:spPr>
    </xdr:pic>
    <xdr:clientData/>
  </xdr:oneCellAnchor>
  <xdr:oneCellAnchor>
    <xdr:from>
      <xdr:col>3</xdr:col>
      <xdr:colOff>807719</xdr:colOff>
      <xdr:row>46</xdr:row>
      <xdr:rowOff>45720</xdr:rowOff>
    </xdr:from>
    <xdr:ext cx="2950394" cy="746760"/>
    <xdr:pic>
      <xdr:nvPicPr>
        <xdr:cNvPr id="13" name="图片 12"/>
        <xdr:cNvPicPr>
          <a:picLocks noChangeAspect="1"/>
        </xdr:cNvPicPr>
      </xdr:nvPicPr>
      <xdr:blipFill>
        <a:blip r:embed="rId12"/>
        <a:stretch>
          <a:fillRect/>
        </a:stretch>
      </xdr:blipFill>
      <xdr:spPr>
        <a:xfrm>
          <a:off x="3455035" y="9233535"/>
          <a:ext cx="2950845" cy="746760"/>
        </a:xfrm>
        <a:prstGeom prst="rect">
          <a:avLst/>
        </a:prstGeom>
      </xdr:spPr>
    </xdr:pic>
    <xdr:clientData/>
  </xdr:oneCellAnchor>
  <xdr:oneCellAnchor>
    <xdr:from>
      <xdr:col>4</xdr:col>
      <xdr:colOff>22860</xdr:colOff>
      <xdr:row>51</xdr:row>
      <xdr:rowOff>76200</xdr:rowOff>
    </xdr:from>
    <xdr:ext cx="2111648" cy="805815"/>
    <xdr:pic>
      <xdr:nvPicPr>
        <xdr:cNvPr id="14" name="图片 13"/>
        <xdr:cNvPicPr>
          <a:picLocks noChangeAspect="1"/>
        </xdr:cNvPicPr>
      </xdr:nvPicPr>
      <xdr:blipFill>
        <a:blip r:embed="rId13"/>
        <a:stretch>
          <a:fillRect/>
        </a:stretch>
      </xdr:blipFill>
      <xdr:spPr>
        <a:xfrm>
          <a:off x="3575685" y="10216515"/>
          <a:ext cx="2111375" cy="805815"/>
        </a:xfrm>
        <a:prstGeom prst="rect">
          <a:avLst/>
        </a:prstGeom>
      </xdr:spPr>
    </xdr:pic>
    <xdr:clientData/>
  </xdr:oneCellAnchor>
  <xdr:oneCellAnchor>
    <xdr:from>
      <xdr:col>4</xdr:col>
      <xdr:colOff>22860</xdr:colOff>
      <xdr:row>56</xdr:row>
      <xdr:rowOff>144781</xdr:rowOff>
    </xdr:from>
    <xdr:ext cx="2255520" cy="1039223"/>
    <xdr:pic>
      <xdr:nvPicPr>
        <xdr:cNvPr id="15" name="图片 14"/>
        <xdr:cNvPicPr>
          <a:picLocks noChangeAspect="1"/>
        </xdr:cNvPicPr>
      </xdr:nvPicPr>
      <xdr:blipFill>
        <a:blip r:embed="rId14"/>
        <a:stretch>
          <a:fillRect/>
        </a:stretch>
      </xdr:blipFill>
      <xdr:spPr>
        <a:xfrm>
          <a:off x="3575685" y="11230610"/>
          <a:ext cx="2255520" cy="1038860"/>
        </a:xfrm>
        <a:prstGeom prst="rect">
          <a:avLst/>
        </a:prstGeom>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6162</xdr:colOff>
      <xdr:row>2</xdr:row>
      <xdr:rowOff>8965</xdr:rowOff>
    </xdr:from>
    <xdr:to>
      <xdr:col>4</xdr:col>
      <xdr:colOff>246529</xdr:colOff>
      <xdr:row>5</xdr:row>
      <xdr:rowOff>151786</xdr:rowOff>
    </xdr:to>
    <xdr:pic>
      <xdr:nvPicPr>
        <xdr:cNvPr id="2" name="图片 1"/>
        <xdr:cNvPicPr>
          <a:picLocks noChangeAspect="1"/>
        </xdr:cNvPicPr>
      </xdr:nvPicPr>
      <xdr:blipFill>
        <a:blip r:embed="rId1"/>
        <a:stretch>
          <a:fillRect/>
        </a:stretch>
      </xdr:blipFill>
      <xdr:spPr>
        <a:xfrm>
          <a:off x="415290" y="361315"/>
          <a:ext cx="2298065" cy="676275"/>
        </a:xfrm>
        <a:prstGeom prst="rect">
          <a:avLst/>
        </a:prstGeom>
      </xdr:spPr>
    </xdr:pic>
    <xdr:clientData/>
  </xdr:twoCellAnchor>
  <xdr:twoCellAnchor editAs="oneCell">
    <xdr:from>
      <xdr:col>1</xdr:col>
      <xdr:colOff>509868</xdr:colOff>
      <xdr:row>17</xdr:row>
      <xdr:rowOff>25773</xdr:rowOff>
    </xdr:from>
    <xdr:to>
      <xdr:col>3</xdr:col>
      <xdr:colOff>353794</xdr:colOff>
      <xdr:row>22</xdr:row>
      <xdr:rowOff>168087</xdr:rowOff>
    </xdr:to>
    <xdr:pic>
      <xdr:nvPicPr>
        <xdr:cNvPr id="3" name="图片 2"/>
        <xdr:cNvPicPr>
          <a:picLocks noChangeAspect="1"/>
        </xdr:cNvPicPr>
      </xdr:nvPicPr>
      <xdr:blipFill>
        <a:blip r:embed="rId2"/>
        <a:stretch>
          <a:fillRect/>
        </a:stretch>
      </xdr:blipFill>
      <xdr:spPr>
        <a:xfrm>
          <a:off x="918845" y="3025775"/>
          <a:ext cx="1216025" cy="1018540"/>
        </a:xfrm>
        <a:prstGeom prst="rect">
          <a:avLst/>
        </a:prstGeom>
      </xdr:spPr>
    </xdr:pic>
    <xdr:clientData/>
  </xdr:twoCellAnchor>
  <xdr:twoCellAnchor editAs="oneCell">
    <xdr:from>
      <xdr:col>1</xdr:col>
      <xdr:colOff>129987</xdr:colOff>
      <xdr:row>26</xdr:row>
      <xdr:rowOff>132788</xdr:rowOff>
    </xdr:from>
    <xdr:to>
      <xdr:col>4</xdr:col>
      <xdr:colOff>38065</xdr:colOff>
      <xdr:row>38</xdr:row>
      <xdr:rowOff>78441</xdr:rowOff>
    </xdr:to>
    <xdr:pic>
      <xdr:nvPicPr>
        <xdr:cNvPr id="4" name="图片 3"/>
        <xdr:cNvPicPr>
          <a:picLocks noChangeAspect="1"/>
        </xdr:cNvPicPr>
      </xdr:nvPicPr>
      <xdr:blipFill>
        <a:blip r:embed="rId3"/>
        <a:srcRect b="22580"/>
        <a:stretch>
          <a:fillRect/>
        </a:stretch>
      </xdr:blipFill>
      <xdr:spPr>
        <a:xfrm>
          <a:off x="539115" y="4714240"/>
          <a:ext cx="1965325" cy="2040890"/>
        </a:xfrm>
        <a:prstGeom prst="rect">
          <a:avLst/>
        </a:prstGeom>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oneCellAnchor>
    <xdr:from>
      <xdr:col>8</xdr:col>
      <xdr:colOff>1457325</xdr:colOff>
      <xdr:row>99</xdr:row>
      <xdr:rowOff>19050</xdr:rowOff>
    </xdr:from>
    <xdr:ext cx="800100" cy="409575"/>
    <xdr:pic>
      <xdr:nvPicPr>
        <xdr:cNvPr id="2" name="Picture 1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7705725" y="31714440"/>
          <a:ext cx="800100" cy="409575"/>
        </a:xfrm>
        <a:prstGeom prst="rect">
          <a:avLst/>
        </a:prstGeom>
        <a:noFill/>
        <a:ln>
          <a:noFill/>
        </a:ln>
        <a:effectLst/>
        <a:extLst>
          <a:ext uri="{909E8E84-426E-40DD-AFC4-6F175D3DCCD1}">
            <a14:hiddenFill xmlns:a14="http://schemas.microsoft.com/office/drawing/2010/main">
              <a:solidFill>
                <a:srgbClr xmlns:mc="http://schemas.openxmlformats.org/markup-compatibility/2006" xmlns:a14="http://schemas.microsoft.com/office/drawing/2010/main" val="000000" mc:Ignorable="a14" a14:legacySpreadsheetColorIndex="64"/>
              </a:solidFill>
            </a14:hiddenFill>
          </a:ext>
          <a:ext uri="{91240B29-F687-4F45-9708-019B960494DF}">
            <a14:hiddenLine xmlns:a14="http://schemas.microsoft.com/office/drawing/2010/main" w="1">
              <a:solidFill>
                <a:srgbClr xmlns:mc="http://schemas.openxmlformats.org/markup-compatibility/2006" xmlns:a14="http://schemas.microsoft.com/office/drawing/2010/main"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oneCellAnchor>
  <xdr:oneCellAnchor>
    <xdr:from>
      <xdr:col>8</xdr:col>
      <xdr:colOff>1962150</xdr:colOff>
      <xdr:row>19</xdr:row>
      <xdr:rowOff>38100</xdr:rowOff>
    </xdr:from>
    <xdr:ext cx="2162175" cy="504825"/>
    <xdr:pic>
      <xdr:nvPicPr>
        <xdr:cNvPr id="3" name="图片 2"/>
        <xdr:cNvPicPr>
          <a:picLocks noChangeAspect="1"/>
        </xdr:cNvPicPr>
      </xdr:nvPicPr>
      <xdr:blipFill>
        <a:blip r:embed="rId2">
          <a:extLst>
            <a:ext uri="{28A0092B-C50C-407E-A947-70E740481C1C}">
              <a14:useLocalDpi xmlns:a14="http://schemas.microsoft.com/office/drawing/2010/main" val="0"/>
            </a:ext>
          </a:extLst>
        </a:blip>
        <a:srcRect/>
        <a:stretch>
          <a:fillRect/>
        </a:stretch>
      </xdr:blipFill>
      <xdr:spPr>
        <a:xfrm>
          <a:off x="8210550" y="5753100"/>
          <a:ext cx="21621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1209675</xdr:colOff>
      <xdr:row>20</xdr:row>
      <xdr:rowOff>114300</xdr:rowOff>
    </xdr:from>
    <xdr:ext cx="1800225" cy="314325"/>
    <xdr:pic>
      <xdr:nvPicPr>
        <xdr:cNvPr id="4" name="图片 3"/>
        <xdr:cNvPicPr>
          <a:picLocks noChangeAspect="1"/>
        </xdr:cNvPicPr>
      </xdr:nvPicPr>
      <xdr:blipFill>
        <a:blip r:embed="rId3">
          <a:extLst>
            <a:ext uri="{28A0092B-C50C-407E-A947-70E740481C1C}">
              <a14:useLocalDpi xmlns:a14="http://schemas.microsoft.com/office/drawing/2010/main" val="0"/>
            </a:ext>
          </a:extLst>
        </a:blip>
        <a:srcRect/>
        <a:stretch>
          <a:fillRect/>
        </a:stretch>
      </xdr:blipFill>
      <xdr:spPr>
        <a:xfrm>
          <a:off x="7458075" y="6391275"/>
          <a:ext cx="18002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1695450</xdr:colOff>
      <xdr:row>17</xdr:row>
      <xdr:rowOff>9525</xdr:rowOff>
    </xdr:from>
    <xdr:ext cx="2114550" cy="485775"/>
    <xdr:pic>
      <xdr:nvPicPr>
        <xdr:cNvPr id="5" name="图片 4"/>
        <xdr:cNvPicPr>
          <a:picLocks noChangeAspect="1"/>
        </xdr:cNvPicPr>
      </xdr:nvPicPr>
      <xdr:blipFill>
        <a:blip r:embed="rId4" cstate="print">
          <a:extLst>
            <a:ext uri="{28A0092B-C50C-407E-A947-70E740481C1C}">
              <a14:useLocalDpi xmlns:a14="http://schemas.microsoft.com/office/drawing/2010/main" val="0"/>
            </a:ext>
          </a:extLst>
        </a:blip>
        <a:srcRect/>
        <a:stretch>
          <a:fillRect/>
        </a:stretch>
      </xdr:blipFill>
      <xdr:spPr>
        <a:xfrm>
          <a:off x="7943850" y="4781550"/>
          <a:ext cx="21145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1714500</xdr:colOff>
      <xdr:row>144</xdr:row>
      <xdr:rowOff>76200</xdr:rowOff>
    </xdr:from>
    <xdr:ext cx="2333625" cy="228600"/>
    <xdr:pic>
      <xdr:nvPicPr>
        <xdr:cNvPr id="6" name="图片 6"/>
        <xdr:cNvPicPr>
          <a:picLocks noChangeAspect="1"/>
        </xdr:cNvPicPr>
      </xdr:nvPicPr>
      <xdr:blipFill>
        <a:blip r:embed="rId5">
          <a:extLst>
            <a:ext uri="{28A0092B-C50C-407E-A947-70E740481C1C}">
              <a14:useLocalDpi xmlns:a14="http://schemas.microsoft.com/office/drawing/2010/main" val="0"/>
            </a:ext>
          </a:extLst>
        </a:blip>
        <a:srcRect/>
        <a:stretch>
          <a:fillRect/>
        </a:stretch>
      </xdr:blipFill>
      <xdr:spPr>
        <a:xfrm>
          <a:off x="7962900" y="49152810"/>
          <a:ext cx="23336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1371600</xdr:colOff>
      <xdr:row>23</xdr:row>
      <xdr:rowOff>57150</xdr:rowOff>
    </xdr:from>
    <xdr:ext cx="1438275" cy="571500"/>
    <xdr:pic>
      <xdr:nvPicPr>
        <xdr:cNvPr id="7" name="图片 3"/>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620000" y="7667625"/>
          <a:ext cx="14382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1219200</xdr:colOff>
      <xdr:row>25</xdr:row>
      <xdr:rowOff>66675</xdr:rowOff>
    </xdr:from>
    <xdr:ext cx="1076325" cy="342900"/>
    <xdr:pic>
      <xdr:nvPicPr>
        <xdr:cNvPr id="8" name="图片 5"/>
        <xdr:cNvPicPr>
          <a:picLocks noChangeAspect="1"/>
        </xdr:cNvPicPr>
      </xdr:nvPicPr>
      <xdr:blipFill>
        <a:blip r:embed="rId7">
          <a:extLst>
            <a:ext uri="{28A0092B-C50C-407E-A947-70E740481C1C}">
              <a14:useLocalDpi xmlns:a14="http://schemas.microsoft.com/office/drawing/2010/main" val="0"/>
            </a:ext>
          </a:extLst>
        </a:blip>
        <a:srcRect/>
        <a:stretch>
          <a:fillRect/>
        </a:stretch>
      </xdr:blipFill>
      <xdr:spPr>
        <a:xfrm>
          <a:off x="7467600" y="8753475"/>
          <a:ext cx="10763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1181100</xdr:colOff>
      <xdr:row>24</xdr:row>
      <xdr:rowOff>28575</xdr:rowOff>
    </xdr:from>
    <xdr:ext cx="1181100" cy="371475"/>
    <xdr:pic>
      <xdr:nvPicPr>
        <xdr:cNvPr id="9" name="图片 6"/>
        <xdr:cNvPicPr>
          <a:picLocks noChangeAspect="1"/>
        </xdr:cNvPicPr>
      </xdr:nvPicPr>
      <xdr:blipFill>
        <a:blip r:embed="rId8">
          <a:extLst>
            <a:ext uri="{28A0092B-C50C-407E-A947-70E740481C1C}">
              <a14:useLocalDpi xmlns:a14="http://schemas.microsoft.com/office/drawing/2010/main" val="0"/>
            </a:ext>
          </a:extLst>
        </a:blip>
        <a:srcRect/>
        <a:stretch>
          <a:fillRect/>
        </a:stretch>
      </xdr:blipFill>
      <xdr:spPr>
        <a:xfrm>
          <a:off x="7429500" y="8305800"/>
          <a:ext cx="11811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1219200</xdr:colOff>
      <xdr:row>26</xdr:row>
      <xdr:rowOff>38100</xdr:rowOff>
    </xdr:from>
    <xdr:ext cx="2266950" cy="390525"/>
    <xdr:pic>
      <xdr:nvPicPr>
        <xdr:cNvPr id="10" name="图片 7"/>
        <xdr:cNvPicPr>
          <a:picLocks noChangeAspect="1"/>
        </xdr:cNvPicPr>
      </xdr:nvPicPr>
      <xdr:blipFill>
        <a:blip r:embed="rId9">
          <a:extLst>
            <a:ext uri="{28A0092B-C50C-407E-A947-70E740481C1C}">
              <a14:useLocalDpi xmlns:a14="http://schemas.microsoft.com/office/drawing/2010/main" val="0"/>
            </a:ext>
          </a:extLst>
        </a:blip>
        <a:srcRect/>
        <a:stretch>
          <a:fillRect/>
        </a:stretch>
      </xdr:blipFill>
      <xdr:spPr>
        <a:xfrm>
          <a:off x="7467600" y="9144000"/>
          <a:ext cx="22669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1981200</xdr:colOff>
      <xdr:row>52</xdr:row>
      <xdr:rowOff>9525</xdr:rowOff>
    </xdr:from>
    <xdr:ext cx="1314450" cy="228600"/>
    <xdr:pic>
      <xdr:nvPicPr>
        <xdr:cNvPr id="11" name="图片 1"/>
        <xdr:cNvPicPr>
          <a:picLocks noChangeAspect="1"/>
        </xdr:cNvPicPr>
      </xdr:nvPicPr>
      <xdr:blipFill>
        <a:blip r:embed="rId10">
          <a:extLst>
            <a:ext uri="{28A0092B-C50C-407E-A947-70E740481C1C}">
              <a14:useLocalDpi xmlns:a14="http://schemas.microsoft.com/office/drawing/2010/main" val="0"/>
            </a:ext>
          </a:extLst>
        </a:blip>
        <a:srcRect/>
        <a:stretch>
          <a:fillRect/>
        </a:stretch>
      </xdr:blipFill>
      <xdr:spPr>
        <a:xfrm>
          <a:off x="8229600" y="17116425"/>
          <a:ext cx="13144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1362075</xdr:colOff>
      <xdr:row>53</xdr:row>
      <xdr:rowOff>19050</xdr:rowOff>
    </xdr:from>
    <xdr:ext cx="1524000" cy="228600"/>
    <xdr:pic>
      <xdr:nvPicPr>
        <xdr:cNvPr id="12" name="图片 2"/>
        <xdr:cNvPicPr>
          <a:picLocks noChangeAspect="1"/>
        </xdr:cNvPicPr>
      </xdr:nvPicPr>
      <xdr:blipFill>
        <a:blip r:embed="rId11">
          <a:extLst>
            <a:ext uri="{28A0092B-C50C-407E-A947-70E740481C1C}">
              <a14:useLocalDpi xmlns:a14="http://schemas.microsoft.com/office/drawing/2010/main" val="0"/>
            </a:ext>
          </a:extLst>
        </a:blip>
        <a:srcRect/>
        <a:stretch>
          <a:fillRect/>
        </a:stretch>
      </xdr:blipFill>
      <xdr:spPr>
        <a:xfrm>
          <a:off x="7610475" y="17383125"/>
          <a:ext cx="15240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1381125</xdr:colOff>
      <xdr:row>55</xdr:row>
      <xdr:rowOff>38100</xdr:rowOff>
    </xdr:from>
    <xdr:ext cx="1257300" cy="219075"/>
    <xdr:pic>
      <xdr:nvPicPr>
        <xdr:cNvPr id="13" name="图片 3"/>
        <xdr:cNvPicPr>
          <a:picLocks noChangeAspect="1"/>
        </xdr:cNvPicPr>
      </xdr:nvPicPr>
      <xdr:blipFill>
        <a:blip r:embed="rId12">
          <a:extLst>
            <a:ext uri="{28A0092B-C50C-407E-A947-70E740481C1C}">
              <a14:useLocalDpi xmlns:a14="http://schemas.microsoft.com/office/drawing/2010/main" val="0"/>
            </a:ext>
          </a:extLst>
        </a:blip>
        <a:srcRect/>
        <a:stretch>
          <a:fillRect/>
        </a:stretch>
      </xdr:blipFill>
      <xdr:spPr>
        <a:xfrm>
          <a:off x="7629525" y="17916525"/>
          <a:ext cx="1257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1952625</xdr:colOff>
      <xdr:row>28</xdr:row>
      <xdr:rowOff>28575</xdr:rowOff>
    </xdr:from>
    <xdr:ext cx="1962150" cy="390525"/>
    <xdr:pic>
      <xdr:nvPicPr>
        <xdr:cNvPr id="14" name="图片 5"/>
        <xdr:cNvPicPr>
          <a:picLocks noChangeAspect="1"/>
        </xdr:cNvPicPr>
      </xdr:nvPicPr>
      <xdr:blipFill>
        <a:blip r:embed="rId13">
          <a:extLst>
            <a:ext uri="{28A0092B-C50C-407E-A947-70E740481C1C}">
              <a14:useLocalDpi xmlns:a14="http://schemas.microsoft.com/office/drawing/2010/main" val="0"/>
            </a:ext>
          </a:extLst>
        </a:blip>
        <a:srcRect/>
        <a:stretch>
          <a:fillRect/>
        </a:stretch>
      </xdr:blipFill>
      <xdr:spPr>
        <a:xfrm>
          <a:off x="8201025" y="9944100"/>
          <a:ext cx="19621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1171575</xdr:colOff>
      <xdr:row>68</xdr:row>
      <xdr:rowOff>38100</xdr:rowOff>
    </xdr:from>
    <xdr:ext cx="866775" cy="257175"/>
    <xdr:pic>
      <xdr:nvPicPr>
        <xdr:cNvPr id="15" name="图片 9"/>
        <xdr:cNvPicPr>
          <a:picLocks noChangeAspect="1"/>
        </xdr:cNvPicPr>
      </xdr:nvPicPr>
      <xdr:blipFill>
        <a:blip r:embed="rId14">
          <a:extLst>
            <a:ext uri="{28A0092B-C50C-407E-A947-70E740481C1C}">
              <a14:useLocalDpi xmlns:a14="http://schemas.microsoft.com/office/drawing/2010/main" val="0"/>
            </a:ext>
          </a:extLst>
        </a:blip>
        <a:srcRect/>
        <a:stretch>
          <a:fillRect/>
        </a:stretch>
      </xdr:blipFill>
      <xdr:spPr>
        <a:xfrm>
          <a:off x="7419975" y="22117050"/>
          <a:ext cx="8667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2628900</xdr:colOff>
      <xdr:row>22</xdr:row>
      <xdr:rowOff>38100</xdr:rowOff>
    </xdr:from>
    <xdr:ext cx="609600" cy="371475"/>
    <xdr:pic>
      <xdr:nvPicPr>
        <xdr:cNvPr id="16" name="图片 11"/>
        <xdr:cNvPicPr>
          <a:picLocks noChangeAspect="1"/>
        </xdr:cNvPicPr>
      </xdr:nvPicPr>
      <xdr:blipFill>
        <a:blip r:embed="rId15">
          <a:extLst>
            <a:ext uri="{28A0092B-C50C-407E-A947-70E740481C1C}">
              <a14:useLocalDpi xmlns:a14="http://schemas.microsoft.com/office/drawing/2010/main" val="0"/>
            </a:ext>
          </a:extLst>
        </a:blip>
        <a:srcRect/>
        <a:stretch>
          <a:fillRect/>
        </a:stretch>
      </xdr:blipFill>
      <xdr:spPr>
        <a:xfrm>
          <a:off x="8877300" y="7191375"/>
          <a:ext cx="6096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1047750</xdr:colOff>
      <xdr:row>71</xdr:row>
      <xdr:rowOff>57150</xdr:rowOff>
    </xdr:from>
    <xdr:ext cx="2362200" cy="342900"/>
    <xdr:pic>
      <xdr:nvPicPr>
        <xdr:cNvPr id="17" name="图片 2"/>
        <xdr:cNvPicPr>
          <a:picLocks noChangeAspect="1"/>
        </xdr:cNvPicPr>
      </xdr:nvPicPr>
      <xdr:blipFill>
        <a:blip r:embed="rId16">
          <a:extLst>
            <a:ext uri="{28A0092B-C50C-407E-A947-70E740481C1C}">
              <a14:useLocalDpi xmlns:a14="http://schemas.microsoft.com/office/drawing/2010/main" val="0"/>
            </a:ext>
          </a:extLst>
        </a:blip>
        <a:srcRect/>
        <a:stretch>
          <a:fillRect/>
        </a:stretch>
      </xdr:blipFill>
      <xdr:spPr>
        <a:xfrm>
          <a:off x="7296150" y="23107650"/>
          <a:ext cx="23622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809625</xdr:colOff>
      <xdr:row>88</xdr:row>
      <xdr:rowOff>19050</xdr:rowOff>
    </xdr:from>
    <xdr:ext cx="809625" cy="295275"/>
    <xdr:pic>
      <xdr:nvPicPr>
        <xdr:cNvPr id="18" name="图片 1"/>
        <xdr:cNvPicPr>
          <a:picLocks noChangeAspect="1"/>
        </xdr:cNvPicPr>
      </xdr:nvPicPr>
      <xdr:blipFill>
        <a:blip r:embed="rId17">
          <a:extLst>
            <a:ext uri="{28A0092B-C50C-407E-A947-70E740481C1C}">
              <a14:useLocalDpi xmlns:a14="http://schemas.microsoft.com/office/drawing/2010/main" val="0"/>
            </a:ext>
          </a:extLst>
        </a:blip>
        <a:srcRect/>
        <a:stretch>
          <a:fillRect/>
        </a:stretch>
      </xdr:blipFill>
      <xdr:spPr>
        <a:xfrm>
          <a:off x="7058025" y="28094940"/>
          <a:ext cx="8096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933450</xdr:colOff>
      <xdr:row>93</xdr:row>
      <xdr:rowOff>152400</xdr:rowOff>
    </xdr:from>
    <xdr:ext cx="1190625" cy="352425"/>
    <xdr:pic>
      <xdr:nvPicPr>
        <xdr:cNvPr id="19" name="图片 3"/>
        <xdr:cNvPicPr>
          <a:picLocks noChangeAspect="1"/>
        </xdr:cNvPicPr>
      </xdr:nvPicPr>
      <xdr:blipFill>
        <a:blip r:embed="rId18">
          <a:extLst>
            <a:ext uri="{28A0092B-C50C-407E-A947-70E740481C1C}">
              <a14:useLocalDpi xmlns:a14="http://schemas.microsoft.com/office/drawing/2010/main" val="0"/>
            </a:ext>
          </a:extLst>
        </a:blip>
        <a:srcRect/>
        <a:stretch>
          <a:fillRect/>
        </a:stretch>
      </xdr:blipFill>
      <xdr:spPr>
        <a:xfrm>
          <a:off x="7181850" y="29780865"/>
          <a:ext cx="11906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876300</xdr:colOff>
      <xdr:row>91</xdr:row>
      <xdr:rowOff>114300</xdr:rowOff>
    </xdr:from>
    <xdr:ext cx="2295525" cy="457200"/>
    <xdr:pic>
      <xdr:nvPicPr>
        <xdr:cNvPr id="20" name="图片 4"/>
        <xdr:cNvPicPr>
          <a:picLocks noChangeAspect="1"/>
        </xdr:cNvPicPr>
      </xdr:nvPicPr>
      <xdr:blipFill>
        <a:blip r:embed="rId19">
          <a:extLst>
            <a:ext uri="{28A0092B-C50C-407E-A947-70E740481C1C}">
              <a14:useLocalDpi xmlns:a14="http://schemas.microsoft.com/office/drawing/2010/main" val="0"/>
            </a:ext>
          </a:extLst>
        </a:blip>
        <a:srcRect/>
        <a:stretch>
          <a:fillRect/>
        </a:stretch>
      </xdr:blipFill>
      <xdr:spPr>
        <a:xfrm>
          <a:off x="7124700" y="29123640"/>
          <a:ext cx="22955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1685925</xdr:colOff>
      <xdr:row>98</xdr:row>
      <xdr:rowOff>28575</xdr:rowOff>
    </xdr:from>
    <xdr:ext cx="1543050" cy="409575"/>
    <xdr:pic>
      <xdr:nvPicPr>
        <xdr:cNvPr id="21" name="图片 5"/>
        <xdr:cNvPicPr>
          <a:picLocks noChangeAspect="1"/>
        </xdr:cNvPicPr>
      </xdr:nvPicPr>
      <xdr:blipFill>
        <a:blip r:embed="rId20">
          <a:extLst>
            <a:ext uri="{28A0092B-C50C-407E-A947-70E740481C1C}">
              <a14:useLocalDpi xmlns:a14="http://schemas.microsoft.com/office/drawing/2010/main" val="0"/>
            </a:ext>
          </a:extLst>
        </a:blip>
        <a:srcRect/>
        <a:stretch>
          <a:fillRect/>
        </a:stretch>
      </xdr:blipFill>
      <xdr:spPr>
        <a:xfrm>
          <a:off x="7934325" y="31228665"/>
          <a:ext cx="154305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3419475</xdr:colOff>
      <xdr:row>101</xdr:row>
      <xdr:rowOff>66675</xdr:rowOff>
    </xdr:from>
    <xdr:ext cx="819150" cy="333375"/>
    <xdr:pic>
      <xdr:nvPicPr>
        <xdr:cNvPr id="22" name="图片 4"/>
        <xdr:cNvPicPr>
          <a:picLocks noChangeAspect="1"/>
        </xdr:cNvPicPr>
      </xdr:nvPicPr>
      <xdr:blipFill>
        <a:blip r:embed="rId21">
          <a:extLst>
            <a:ext uri="{28A0092B-C50C-407E-A947-70E740481C1C}">
              <a14:useLocalDpi xmlns:a14="http://schemas.microsoft.com/office/drawing/2010/main" val="0"/>
            </a:ext>
          </a:extLst>
        </a:blip>
        <a:srcRect/>
        <a:stretch>
          <a:fillRect/>
        </a:stretch>
      </xdr:blipFill>
      <xdr:spPr>
        <a:xfrm>
          <a:off x="9667875" y="32743140"/>
          <a:ext cx="8191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3409950</xdr:colOff>
      <xdr:row>102</xdr:row>
      <xdr:rowOff>114300</xdr:rowOff>
    </xdr:from>
    <xdr:ext cx="1104900" cy="238125"/>
    <xdr:pic>
      <xdr:nvPicPr>
        <xdr:cNvPr id="23" name="图片 5"/>
        <xdr:cNvPicPr>
          <a:picLocks noChangeAspect="1"/>
        </xdr:cNvPicPr>
      </xdr:nvPicPr>
      <xdr:blipFill>
        <a:blip r:embed="rId22">
          <a:extLst>
            <a:ext uri="{28A0092B-C50C-407E-A947-70E740481C1C}">
              <a14:useLocalDpi xmlns:a14="http://schemas.microsoft.com/office/drawing/2010/main" val="0"/>
            </a:ext>
          </a:extLst>
        </a:blip>
        <a:srcRect/>
        <a:stretch>
          <a:fillRect/>
        </a:stretch>
      </xdr:blipFill>
      <xdr:spPr>
        <a:xfrm>
          <a:off x="9658350" y="33238440"/>
          <a:ext cx="11049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847725</xdr:colOff>
      <xdr:row>89</xdr:row>
      <xdr:rowOff>76200</xdr:rowOff>
    </xdr:from>
    <xdr:ext cx="1085850" cy="447675"/>
    <xdr:pic>
      <xdr:nvPicPr>
        <xdr:cNvPr id="24" name="图片 6"/>
        <xdr:cNvPicPr>
          <a:picLocks noChangeAspect="1"/>
        </xdr:cNvPicPr>
      </xdr:nvPicPr>
      <xdr:blipFill>
        <a:blip r:embed="rId23">
          <a:extLst>
            <a:ext uri="{28A0092B-C50C-407E-A947-70E740481C1C}">
              <a14:useLocalDpi xmlns:a14="http://schemas.microsoft.com/office/drawing/2010/main" val="0"/>
            </a:ext>
          </a:extLst>
        </a:blip>
        <a:srcRect/>
        <a:stretch>
          <a:fillRect/>
        </a:stretch>
      </xdr:blipFill>
      <xdr:spPr>
        <a:xfrm>
          <a:off x="7096125" y="28494990"/>
          <a:ext cx="10858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800100</xdr:colOff>
      <xdr:row>100</xdr:row>
      <xdr:rowOff>57150</xdr:rowOff>
    </xdr:from>
    <xdr:ext cx="2276475" cy="419100"/>
    <xdr:pic>
      <xdr:nvPicPr>
        <xdr:cNvPr id="25" name="图片 7"/>
        <xdr:cNvPicPr>
          <a:picLocks noChangeAspect="1"/>
        </xdr:cNvPicPr>
      </xdr:nvPicPr>
      <xdr:blipFill>
        <a:blip r:embed="rId24">
          <a:extLst>
            <a:ext uri="{28A0092B-C50C-407E-A947-70E740481C1C}">
              <a14:useLocalDpi xmlns:a14="http://schemas.microsoft.com/office/drawing/2010/main" val="0"/>
            </a:ext>
          </a:extLst>
        </a:blip>
        <a:srcRect/>
        <a:stretch>
          <a:fillRect/>
        </a:stretch>
      </xdr:blipFill>
      <xdr:spPr>
        <a:xfrm>
          <a:off x="7048500" y="32228790"/>
          <a:ext cx="227647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1047750</xdr:colOff>
      <xdr:row>104</xdr:row>
      <xdr:rowOff>19050</xdr:rowOff>
    </xdr:from>
    <xdr:ext cx="1143000" cy="304800"/>
    <xdr:pic>
      <xdr:nvPicPr>
        <xdr:cNvPr id="26" name="图片 8"/>
        <xdr:cNvPicPr>
          <a:picLocks noChangeAspect="1"/>
        </xdr:cNvPicPr>
      </xdr:nvPicPr>
      <xdr:blipFill>
        <a:blip r:embed="rId25">
          <a:extLst>
            <a:ext uri="{28A0092B-C50C-407E-A947-70E740481C1C}">
              <a14:useLocalDpi xmlns:a14="http://schemas.microsoft.com/office/drawing/2010/main" val="0"/>
            </a:ext>
          </a:extLst>
        </a:blip>
        <a:srcRect/>
        <a:stretch>
          <a:fillRect/>
        </a:stretch>
      </xdr:blipFill>
      <xdr:spPr>
        <a:xfrm>
          <a:off x="7296150" y="34057590"/>
          <a:ext cx="11430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1085850</xdr:colOff>
      <xdr:row>120</xdr:row>
      <xdr:rowOff>19050</xdr:rowOff>
    </xdr:from>
    <xdr:ext cx="1733550" cy="419100"/>
    <xdr:pic>
      <xdr:nvPicPr>
        <xdr:cNvPr id="27" name="图片 2"/>
        <xdr:cNvPicPr>
          <a:picLocks noChangeAspect="1"/>
        </xdr:cNvPicPr>
      </xdr:nvPicPr>
      <xdr:blipFill>
        <a:blip r:embed="rId26">
          <a:extLst>
            <a:ext uri="{28A0092B-C50C-407E-A947-70E740481C1C}">
              <a14:useLocalDpi xmlns:a14="http://schemas.microsoft.com/office/drawing/2010/main" val="0"/>
            </a:ext>
          </a:extLst>
        </a:blip>
        <a:srcRect/>
        <a:stretch>
          <a:fillRect/>
        </a:stretch>
      </xdr:blipFill>
      <xdr:spPr>
        <a:xfrm>
          <a:off x="7334250" y="39751635"/>
          <a:ext cx="17335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1190625</xdr:colOff>
      <xdr:row>121</xdr:row>
      <xdr:rowOff>19050</xdr:rowOff>
    </xdr:from>
    <xdr:ext cx="2809875" cy="409575"/>
    <xdr:pic>
      <xdr:nvPicPr>
        <xdr:cNvPr id="28" name="图片 3"/>
        <xdr:cNvPicPr>
          <a:picLocks noChangeAspect="1"/>
        </xdr:cNvPicPr>
      </xdr:nvPicPr>
      <xdr:blipFill>
        <a:blip r:embed="rId27">
          <a:extLst>
            <a:ext uri="{28A0092B-C50C-407E-A947-70E740481C1C}">
              <a14:useLocalDpi xmlns:a14="http://schemas.microsoft.com/office/drawing/2010/main" val="0"/>
            </a:ext>
          </a:extLst>
        </a:blip>
        <a:srcRect/>
        <a:stretch>
          <a:fillRect/>
        </a:stretch>
      </xdr:blipFill>
      <xdr:spPr>
        <a:xfrm>
          <a:off x="7439025" y="40246935"/>
          <a:ext cx="28098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1543050</xdr:colOff>
      <xdr:row>160</xdr:row>
      <xdr:rowOff>19050</xdr:rowOff>
    </xdr:from>
    <xdr:ext cx="1343025" cy="342900"/>
    <xdr:pic>
      <xdr:nvPicPr>
        <xdr:cNvPr id="29" name="图片 5"/>
        <xdr:cNvPicPr>
          <a:picLocks noChangeAspect="1"/>
        </xdr:cNvPicPr>
      </xdr:nvPicPr>
      <xdr:blipFill>
        <a:blip r:embed="rId28">
          <a:extLst>
            <a:ext uri="{28A0092B-C50C-407E-A947-70E740481C1C}">
              <a14:useLocalDpi xmlns:a14="http://schemas.microsoft.com/office/drawing/2010/main" val="0"/>
            </a:ext>
          </a:extLst>
        </a:blip>
        <a:srcRect/>
        <a:stretch>
          <a:fillRect/>
        </a:stretch>
      </xdr:blipFill>
      <xdr:spPr>
        <a:xfrm>
          <a:off x="7791450" y="56048910"/>
          <a:ext cx="13430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1981200</xdr:colOff>
      <xdr:row>149</xdr:row>
      <xdr:rowOff>38100</xdr:rowOff>
    </xdr:from>
    <xdr:ext cx="1762125" cy="371475"/>
    <xdr:pic>
      <xdr:nvPicPr>
        <xdr:cNvPr id="30" name="图片 6"/>
        <xdr:cNvPicPr>
          <a:picLocks noChangeAspect="1"/>
        </xdr:cNvPicPr>
      </xdr:nvPicPr>
      <xdr:blipFill>
        <a:blip r:embed="rId29">
          <a:extLst>
            <a:ext uri="{28A0092B-C50C-407E-A947-70E740481C1C}">
              <a14:useLocalDpi xmlns:a14="http://schemas.microsoft.com/office/drawing/2010/main" val="0"/>
            </a:ext>
          </a:extLst>
        </a:blip>
        <a:srcRect/>
        <a:stretch>
          <a:fillRect/>
        </a:stretch>
      </xdr:blipFill>
      <xdr:spPr>
        <a:xfrm>
          <a:off x="8229600" y="50876835"/>
          <a:ext cx="176212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1962150</xdr:colOff>
      <xdr:row>154</xdr:row>
      <xdr:rowOff>76200</xdr:rowOff>
    </xdr:from>
    <xdr:ext cx="1752600" cy="371475"/>
    <xdr:pic>
      <xdr:nvPicPr>
        <xdr:cNvPr id="31" name="图片 7"/>
        <xdr:cNvPicPr>
          <a:picLocks noChangeAspect="1"/>
        </xdr:cNvPicPr>
      </xdr:nvPicPr>
      <xdr:blipFill>
        <a:blip r:embed="rId30">
          <a:extLst>
            <a:ext uri="{28A0092B-C50C-407E-A947-70E740481C1C}">
              <a14:useLocalDpi xmlns:a14="http://schemas.microsoft.com/office/drawing/2010/main" val="0"/>
            </a:ext>
          </a:extLst>
        </a:blip>
        <a:srcRect/>
        <a:stretch>
          <a:fillRect/>
        </a:stretch>
      </xdr:blipFill>
      <xdr:spPr>
        <a:xfrm>
          <a:off x="8210550" y="53458110"/>
          <a:ext cx="17526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2819400</xdr:colOff>
      <xdr:row>109</xdr:row>
      <xdr:rowOff>19050</xdr:rowOff>
    </xdr:from>
    <xdr:ext cx="657225" cy="295275"/>
    <xdr:pic>
      <xdr:nvPicPr>
        <xdr:cNvPr id="32" name="图片 6"/>
        <xdr:cNvPicPr>
          <a:picLocks noChangeAspect="1"/>
        </xdr:cNvPicPr>
      </xdr:nvPicPr>
      <xdr:blipFill>
        <a:blip r:embed="rId31">
          <a:extLst>
            <a:ext uri="{28A0092B-C50C-407E-A947-70E740481C1C}">
              <a14:useLocalDpi xmlns:a14="http://schemas.microsoft.com/office/drawing/2010/main" val="0"/>
            </a:ext>
          </a:extLst>
        </a:blip>
        <a:srcRect/>
        <a:stretch>
          <a:fillRect/>
        </a:stretch>
      </xdr:blipFill>
      <xdr:spPr>
        <a:xfrm>
          <a:off x="9067800" y="35760660"/>
          <a:ext cx="6572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3209925</xdr:colOff>
      <xdr:row>107</xdr:row>
      <xdr:rowOff>38100</xdr:rowOff>
    </xdr:from>
    <xdr:ext cx="1562100" cy="352425"/>
    <xdr:pic>
      <xdr:nvPicPr>
        <xdr:cNvPr id="33" name="图片 7"/>
        <xdr:cNvPicPr>
          <a:picLocks noChangeAspect="1"/>
        </xdr:cNvPicPr>
      </xdr:nvPicPr>
      <xdr:blipFill>
        <a:blip r:embed="rId32">
          <a:extLst>
            <a:ext uri="{28A0092B-C50C-407E-A947-70E740481C1C}">
              <a14:useLocalDpi xmlns:a14="http://schemas.microsoft.com/office/drawing/2010/main" val="0"/>
            </a:ext>
          </a:extLst>
        </a:blip>
        <a:srcRect/>
        <a:stretch>
          <a:fillRect/>
        </a:stretch>
      </xdr:blipFill>
      <xdr:spPr>
        <a:xfrm>
          <a:off x="9458325" y="34903410"/>
          <a:ext cx="15621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828675</xdr:colOff>
      <xdr:row>116</xdr:row>
      <xdr:rowOff>57150</xdr:rowOff>
    </xdr:from>
    <xdr:ext cx="742950" cy="276225"/>
    <xdr:pic>
      <xdr:nvPicPr>
        <xdr:cNvPr id="34" name="图片 8"/>
        <xdr:cNvPicPr>
          <a:picLocks noChangeAspect="1"/>
        </xdr:cNvPicPr>
      </xdr:nvPicPr>
      <xdr:blipFill>
        <a:blip r:embed="rId33">
          <a:extLst>
            <a:ext uri="{28A0092B-C50C-407E-A947-70E740481C1C}">
              <a14:useLocalDpi xmlns:a14="http://schemas.microsoft.com/office/drawing/2010/main" val="0"/>
            </a:ext>
          </a:extLst>
        </a:blip>
        <a:srcRect/>
        <a:stretch>
          <a:fillRect/>
        </a:stretch>
      </xdr:blipFill>
      <xdr:spPr>
        <a:xfrm>
          <a:off x="7077075" y="38294310"/>
          <a:ext cx="74295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1952625</xdr:colOff>
      <xdr:row>118</xdr:row>
      <xdr:rowOff>28575</xdr:rowOff>
    </xdr:from>
    <xdr:ext cx="1514475" cy="314325"/>
    <xdr:pic>
      <xdr:nvPicPr>
        <xdr:cNvPr id="35" name="图片 9"/>
        <xdr:cNvPicPr>
          <a:picLocks noChangeAspect="1"/>
        </xdr:cNvPicPr>
      </xdr:nvPicPr>
      <xdr:blipFill>
        <a:blip r:embed="rId34">
          <a:extLst>
            <a:ext uri="{28A0092B-C50C-407E-A947-70E740481C1C}">
              <a14:useLocalDpi xmlns:a14="http://schemas.microsoft.com/office/drawing/2010/main" val="0"/>
            </a:ext>
          </a:extLst>
        </a:blip>
        <a:srcRect/>
        <a:stretch>
          <a:fillRect/>
        </a:stretch>
      </xdr:blipFill>
      <xdr:spPr>
        <a:xfrm>
          <a:off x="8201025" y="38989635"/>
          <a:ext cx="15144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3181350</xdr:colOff>
      <xdr:row>108</xdr:row>
      <xdr:rowOff>66675</xdr:rowOff>
    </xdr:from>
    <xdr:ext cx="1609725" cy="333375"/>
    <xdr:pic>
      <xdr:nvPicPr>
        <xdr:cNvPr id="36" name="图片 10"/>
        <xdr:cNvPicPr>
          <a:picLocks noChangeAspect="1"/>
        </xdr:cNvPicPr>
      </xdr:nvPicPr>
      <xdr:blipFill>
        <a:blip r:embed="rId35">
          <a:extLst>
            <a:ext uri="{28A0092B-C50C-407E-A947-70E740481C1C}">
              <a14:useLocalDpi xmlns:a14="http://schemas.microsoft.com/office/drawing/2010/main" val="0"/>
            </a:ext>
          </a:extLst>
        </a:blip>
        <a:srcRect/>
        <a:stretch>
          <a:fillRect/>
        </a:stretch>
      </xdr:blipFill>
      <xdr:spPr>
        <a:xfrm>
          <a:off x="9429750" y="35370135"/>
          <a:ext cx="16097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2828925</xdr:colOff>
      <xdr:row>110</xdr:row>
      <xdr:rowOff>19050</xdr:rowOff>
    </xdr:from>
    <xdr:ext cx="657225" cy="295275"/>
    <xdr:pic>
      <xdr:nvPicPr>
        <xdr:cNvPr id="37" name="图片 47"/>
        <xdr:cNvPicPr>
          <a:picLocks noChangeAspect="1"/>
        </xdr:cNvPicPr>
      </xdr:nvPicPr>
      <xdr:blipFill>
        <a:blip r:embed="rId31">
          <a:extLst>
            <a:ext uri="{28A0092B-C50C-407E-A947-70E740481C1C}">
              <a14:useLocalDpi xmlns:a14="http://schemas.microsoft.com/office/drawing/2010/main" val="0"/>
            </a:ext>
          </a:extLst>
        </a:blip>
        <a:srcRect/>
        <a:stretch>
          <a:fillRect/>
        </a:stretch>
      </xdr:blipFill>
      <xdr:spPr>
        <a:xfrm>
          <a:off x="9077325" y="36084510"/>
          <a:ext cx="6572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2800350</xdr:colOff>
      <xdr:row>124</xdr:row>
      <xdr:rowOff>9525</xdr:rowOff>
    </xdr:from>
    <xdr:ext cx="657225" cy="295275"/>
    <xdr:pic>
      <xdr:nvPicPr>
        <xdr:cNvPr id="38" name="图片 48"/>
        <xdr:cNvPicPr>
          <a:picLocks noChangeAspect="1"/>
        </xdr:cNvPicPr>
      </xdr:nvPicPr>
      <xdr:blipFill>
        <a:blip r:embed="rId31">
          <a:extLst>
            <a:ext uri="{28A0092B-C50C-407E-A947-70E740481C1C}">
              <a14:useLocalDpi xmlns:a14="http://schemas.microsoft.com/office/drawing/2010/main" val="0"/>
            </a:ext>
          </a:extLst>
        </a:blip>
        <a:srcRect/>
        <a:stretch>
          <a:fillRect/>
        </a:stretch>
      </xdr:blipFill>
      <xdr:spPr>
        <a:xfrm>
          <a:off x="9048750" y="41599485"/>
          <a:ext cx="6572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2800350</xdr:colOff>
      <xdr:row>125</xdr:row>
      <xdr:rowOff>9525</xdr:rowOff>
    </xdr:from>
    <xdr:ext cx="657225" cy="295275"/>
    <xdr:pic>
      <xdr:nvPicPr>
        <xdr:cNvPr id="39" name="图片 53"/>
        <xdr:cNvPicPr>
          <a:picLocks noChangeAspect="1"/>
        </xdr:cNvPicPr>
      </xdr:nvPicPr>
      <xdr:blipFill>
        <a:blip r:embed="rId31">
          <a:extLst>
            <a:ext uri="{28A0092B-C50C-407E-A947-70E740481C1C}">
              <a14:useLocalDpi xmlns:a14="http://schemas.microsoft.com/office/drawing/2010/main" val="0"/>
            </a:ext>
          </a:extLst>
        </a:blip>
        <a:srcRect/>
        <a:stretch>
          <a:fillRect/>
        </a:stretch>
      </xdr:blipFill>
      <xdr:spPr>
        <a:xfrm>
          <a:off x="9048750" y="41923335"/>
          <a:ext cx="6572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3200400</xdr:colOff>
      <xdr:row>122</xdr:row>
      <xdr:rowOff>47625</xdr:rowOff>
    </xdr:from>
    <xdr:ext cx="1590675" cy="342900"/>
    <xdr:pic>
      <xdr:nvPicPr>
        <xdr:cNvPr id="40" name="图片 11"/>
        <xdr:cNvPicPr>
          <a:picLocks noChangeAspect="1"/>
        </xdr:cNvPicPr>
      </xdr:nvPicPr>
      <xdr:blipFill>
        <a:blip r:embed="rId36">
          <a:extLst>
            <a:ext uri="{28A0092B-C50C-407E-A947-70E740481C1C}">
              <a14:useLocalDpi xmlns:a14="http://schemas.microsoft.com/office/drawing/2010/main" val="0"/>
            </a:ext>
          </a:extLst>
        </a:blip>
        <a:srcRect/>
        <a:stretch>
          <a:fillRect/>
        </a:stretch>
      </xdr:blipFill>
      <xdr:spPr>
        <a:xfrm>
          <a:off x="9448800" y="40761285"/>
          <a:ext cx="159067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3209925</xdr:colOff>
      <xdr:row>123</xdr:row>
      <xdr:rowOff>66675</xdr:rowOff>
    </xdr:from>
    <xdr:ext cx="1562100" cy="323850"/>
    <xdr:pic>
      <xdr:nvPicPr>
        <xdr:cNvPr id="41" name="图片 12"/>
        <xdr:cNvPicPr>
          <a:picLocks noChangeAspect="1"/>
        </xdr:cNvPicPr>
      </xdr:nvPicPr>
      <xdr:blipFill>
        <a:blip r:embed="rId37">
          <a:extLst>
            <a:ext uri="{28A0092B-C50C-407E-A947-70E740481C1C}">
              <a14:useLocalDpi xmlns:a14="http://schemas.microsoft.com/office/drawing/2010/main" val="0"/>
            </a:ext>
          </a:extLst>
        </a:blip>
        <a:srcRect/>
        <a:stretch>
          <a:fillRect/>
        </a:stretch>
      </xdr:blipFill>
      <xdr:spPr>
        <a:xfrm>
          <a:off x="9458325" y="41218485"/>
          <a:ext cx="15621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800100</xdr:colOff>
      <xdr:row>131</xdr:row>
      <xdr:rowOff>47625</xdr:rowOff>
    </xdr:from>
    <xdr:ext cx="828675" cy="295275"/>
    <xdr:pic>
      <xdr:nvPicPr>
        <xdr:cNvPr id="42" name="图片 13"/>
        <xdr:cNvPicPr>
          <a:picLocks noChangeAspect="1"/>
        </xdr:cNvPicPr>
      </xdr:nvPicPr>
      <xdr:blipFill>
        <a:blip r:embed="rId38">
          <a:extLst>
            <a:ext uri="{28A0092B-C50C-407E-A947-70E740481C1C}">
              <a14:useLocalDpi xmlns:a14="http://schemas.microsoft.com/office/drawing/2010/main" val="0"/>
            </a:ext>
          </a:extLst>
        </a:blip>
        <a:srcRect/>
        <a:stretch>
          <a:fillRect/>
        </a:stretch>
      </xdr:blipFill>
      <xdr:spPr>
        <a:xfrm>
          <a:off x="7048500" y="44133135"/>
          <a:ext cx="8286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1914525</xdr:colOff>
      <xdr:row>132</xdr:row>
      <xdr:rowOff>47625</xdr:rowOff>
    </xdr:from>
    <xdr:ext cx="1438275" cy="304800"/>
    <xdr:pic>
      <xdr:nvPicPr>
        <xdr:cNvPr id="43" name="图片 14"/>
        <xdr:cNvPicPr>
          <a:picLocks noChangeAspect="1"/>
        </xdr:cNvPicPr>
      </xdr:nvPicPr>
      <xdr:blipFill>
        <a:blip r:embed="rId39">
          <a:extLst>
            <a:ext uri="{28A0092B-C50C-407E-A947-70E740481C1C}">
              <a14:useLocalDpi xmlns:a14="http://schemas.microsoft.com/office/drawing/2010/main" val="0"/>
            </a:ext>
          </a:extLst>
        </a:blip>
        <a:srcRect/>
        <a:stretch>
          <a:fillRect/>
        </a:stretch>
      </xdr:blipFill>
      <xdr:spPr>
        <a:xfrm>
          <a:off x="8162925" y="44495085"/>
          <a:ext cx="14382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828675</xdr:colOff>
      <xdr:row>138</xdr:row>
      <xdr:rowOff>57150</xdr:rowOff>
    </xdr:from>
    <xdr:ext cx="742950" cy="276225"/>
    <xdr:pic>
      <xdr:nvPicPr>
        <xdr:cNvPr id="44" name="图片 8"/>
        <xdr:cNvPicPr>
          <a:picLocks noChangeAspect="1"/>
        </xdr:cNvPicPr>
      </xdr:nvPicPr>
      <xdr:blipFill>
        <a:blip r:embed="rId33">
          <a:extLst>
            <a:ext uri="{28A0092B-C50C-407E-A947-70E740481C1C}">
              <a14:useLocalDpi xmlns:a14="http://schemas.microsoft.com/office/drawing/2010/main" val="0"/>
            </a:ext>
          </a:extLst>
        </a:blip>
        <a:srcRect/>
        <a:stretch>
          <a:fillRect/>
        </a:stretch>
      </xdr:blipFill>
      <xdr:spPr>
        <a:xfrm>
          <a:off x="7077075" y="46876335"/>
          <a:ext cx="74295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1943100</xdr:colOff>
      <xdr:row>29</xdr:row>
      <xdr:rowOff>57150</xdr:rowOff>
    </xdr:from>
    <xdr:ext cx="1714500" cy="304800"/>
    <xdr:pic>
      <xdr:nvPicPr>
        <xdr:cNvPr id="45" name="图片 3"/>
        <xdr:cNvPicPr>
          <a:picLocks noChangeAspect="1"/>
        </xdr:cNvPicPr>
      </xdr:nvPicPr>
      <xdr:blipFill>
        <a:blip r:embed="rId40">
          <a:extLst>
            <a:ext uri="{28A0092B-C50C-407E-A947-70E740481C1C}">
              <a14:useLocalDpi xmlns:a14="http://schemas.microsoft.com/office/drawing/2010/main" val="0"/>
            </a:ext>
          </a:extLst>
        </a:blip>
        <a:srcRect/>
        <a:stretch>
          <a:fillRect/>
        </a:stretch>
      </xdr:blipFill>
      <xdr:spPr>
        <a:xfrm>
          <a:off x="8191500" y="10410825"/>
          <a:ext cx="17145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1600200</xdr:colOff>
      <xdr:row>72</xdr:row>
      <xdr:rowOff>28575</xdr:rowOff>
    </xdr:from>
    <xdr:ext cx="790575" cy="295275"/>
    <xdr:pic>
      <xdr:nvPicPr>
        <xdr:cNvPr id="46" name="图片 3"/>
        <xdr:cNvPicPr>
          <a:picLocks noChangeAspect="1"/>
        </xdr:cNvPicPr>
      </xdr:nvPicPr>
      <xdr:blipFill>
        <a:blip r:embed="rId41">
          <a:extLst>
            <a:ext uri="{28A0092B-C50C-407E-A947-70E740481C1C}">
              <a14:useLocalDpi xmlns:a14="http://schemas.microsoft.com/office/drawing/2010/main" val="0"/>
            </a:ext>
          </a:extLst>
        </a:blip>
        <a:srcRect/>
        <a:stretch>
          <a:fillRect/>
        </a:stretch>
      </xdr:blipFill>
      <xdr:spPr>
        <a:xfrm>
          <a:off x="7848600" y="23488650"/>
          <a:ext cx="790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1466850</xdr:colOff>
      <xdr:row>177</xdr:row>
      <xdr:rowOff>28575</xdr:rowOff>
    </xdr:from>
    <xdr:ext cx="1162050" cy="371475"/>
    <xdr:pic>
      <xdr:nvPicPr>
        <xdr:cNvPr id="47" name="图片 2"/>
        <xdr:cNvPicPr>
          <a:picLocks noChangeAspect="1"/>
        </xdr:cNvPicPr>
      </xdr:nvPicPr>
      <xdr:blipFill>
        <a:blip r:embed="rId42">
          <a:extLst>
            <a:ext uri="{28A0092B-C50C-407E-A947-70E740481C1C}">
              <a14:useLocalDpi xmlns:a14="http://schemas.microsoft.com/office/drawing/2010/main" val="0"/>
            </a:ext>
          </a:extLst>
        </a:blip>
        <a:srcRect/>
        <a:stretch>
          <a:fillRect/>
        </a:stretch>
      </xdr:blipFill>
      <xdr:spPr>
        <a:xfrm>
          <a:off x="7715250" y="62373510"/>
          <a:ext cx="116205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1457325</xdr:colOff>
      <xdr:row>178</xdr:row>
      <xdr:rowOff>38100</xdr:rowOff>
    </xdr:from>
    <xdr:ext cx="1943100" cy="352425"/>
    <xdr:pic>
      <xdr:nvPicPr>
        <xdr:cNvPr id="48" name="图片 4"/>
        <xdr:cNvPicPr>
          <a:picLocks noChangeAspect="1"/>
        </xdr:cNvPicPr>
      </xdr:nvPicPr>
      <xdr:blipFill>
        <a:blip r:embed="rId43">
          <a:extLst>
            <a:ext uri="{28A0092B-C50C-407E-A947-70E740481C1C}">
              <a14:useLocalDpi xmlns:a14="http://schemas.microsoft.com/office/drawing/2010/main" val="0"/>
            </a:ext>
          </a:extLst>
        </a:blip>
        <a:srcRect/>
        <a:stretch>
          <a:fillRect/>
        </a:stretch>
      </xdr:blipFill>
      <xdr:spPr>
        <a:xfrm>
          <a:off x="7705725" y="62792610"/>
          <a:ext cx="19431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1514475</xdr:colOff>
      <xdr:row>171</xdr:row>
      <xdr:rowOff>9525</xdr:rowOff>
    </xdr:from>
    <xdr:ext cx="1276350" cy="333375"/>
    <xdr:pic>
      <xdr:nvPicPr>
        <xdr:cNvPr id="49" name="图片 5"/>
        <xdr:cNvPicPr>
          <a:picLocks noChangeAspect="1"/>
        </xdr:cNvPicPr>
      </xdr:nvPicPr>
      <xdr:blipFill>
        <a:blip r:embed="rId44">
          <a:extLst>
            <a:ext uri="{28A0092B-C50C-407E-A947-70E740481C1C}">
              <a14:useLocalDpi xmlns:a14="http://schemas.microsoft.com/office/drawing/2010/main" val="0"/>
            </a:ext>
          </a:extLst>
        </a:blip>
        <a:srcRect/>
        <a:stretch>
          <a:fillRect/>
        </a:stretch>
      </xdr:blipFill>
      <xdr:spPr>
        <a:xfrm>
          <a:off x="7762875" y="59887485"/>
          <a:ext cx="12763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1905000</xdr:colOff>
      <xdr:row>172</xdr:row>
      <xdr:rowOff>47625</xdr:rowOff>
    </xdr:from>
    <xdr:ext cx="2543175" cy="523875"/>
    <xdr:pic>
      <xdr:nvPicPr>
        <xdr:cNvPr id="50" name="图片 6"/>
        <xdr:cNvPicPr>
          <a:picLocks noChangeAspect="1"/>
        </xdr:cNvPicPr>
      </xdr:nvPicPr>
      <xdr:blipFill>
        <a:blip r:embed="rId45">
          <a:extLst>
            <a:ext uri="{28A0092B-C50C-407E-A947-70E740481C1C}">
              <a14:useLocalDpi xmlns:a14="http://schemas.microsoft.com/office/drawing/2010/main" val="0"/>
            </a:ext>
          </a:extLst>
        </a:blip>
        <a:srcRect/>
        <a:stretch>
          <a:fillRect/>
        </a:stretch>
      </xdr:blipFill>
      <xdr:spPr>
        <a:xfrm>
          <a:off x="8153400" y="60325635"/>
          <a:ext cx="25431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1476375</xdr:colOff>
      <xdr:row>174</xdr:row>
      <xdr:rowOff>19050</xdr:rowOff>
    </xdr:from>
    <xdr:ext cx="2371725" cy="285750"/>
    <xdr:pic>
      <xdr:nvPicPr>
        <xdr:cNvPr id="51" name="图片 8"/>
        <xdr:cNvPicPr>
          <a:picLocks noChangeAspect="1"/>
        </xdr:cNvPicPr>
      </xdr:nvPicPr>
      <xdr:blipFill>
        <a:blip r:embed="rId46">
          <a:extLst>
            <a:ext uri="{28A0092B-C50C-407E-A947-70E740481C1C}">
              <a14:useLocalDpi xmlns:a14="http://schemas.microsoft.com/office/drawing/2010/main" val="0"/>
            </a:ext>
          </a:extLst>
        </a:blip>
        <a:srcRect/>
        <a:stretch>
          <a:fillRect/>
        </a:stretch>
      </xdr:blipFill>
      <xdr:spPr>
        <a:xfrm>
          <a:off x="7724775" y="61230510"/>
          <a:ext cx="23717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2162175</xdr:colOff>
      <xdr:row>175</xdr:row>
      <xdr:rowOff>19050</xdr:rowOff>
    </xdr:from>
    <xdr:ext cx="2095500" cy="295275"/>
    <xdr:pic>
      <xdr:nvPicPr>
        <xdr:cNvPr id="52" name="图片 9"/>
        <xdr:cNvPicPr>
          <a:picLocks noChangeAspect="1"/>
        </xdr:cNvPicPr>
      </xdr:nvPicPr>
      <xdr:blipFill>
        <a:blip r:embed="rId47">
          <a:extLst>
            <a:ext uri="{28A0092B-C50C-407E-A947-70E740481C1C}">
              <a14:useLocalDpi xmlns:a14="http://schemas.microsoft.com/office/drawing/2010/main" val="0"/>
            </a:ext>
          </a:extLst>
        </a:blip>
        <a:srcRect/>
        <a:stretch>
          <a:fillRect/>
        </a:stretch>
      </xdr:blipFill>
      <xdr:spPr>
        <a:xfrm>
          <a:off x="8410575" y="61582935"/>
          <a:ext cx="20955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1133475</xdr:colOff>
      <xdr:row>181</xdr:row>
      <xdr:rowOff>28575</xdr:rowOff>
    </xdr:from>
    <xdr:ext cx="2305050" cy="304800"/>
    <xdr:pic>
      <xdr:nvPicPr>
        <xdr:cNvPr id="53" name="图片 10"/>
        <xdr:cNvPicPr>
          <a:picLocks noChangeAspect="1"/>
        </xdr:cNvPicPr>
      </xdr:nvPicPr>
      <xdr:blipFill>
        <a:blip r:embed="rId48">
          <a:extLst>
            <a:ext uri="{28A0092B-C50C-407E-A947-70E740481C1C}">
              <a14:useLocalDpi xmlns:a14="http://schemas.microsoft.com/office/drawing/2010/main" val="0"/>
            </a:ext>
          </a:extLst>
        </a:blip>
        <a:srcRect/>
        <a:stretch>
          <a:fillRect/>
        </a:stretch>
      </xdr:blipFill>
      <xdr:spPr>
        <a:xfrm>
          <a:off x="7381875" y="63773685"/>
          <a:ext cx="23050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1371600</xdr:colOff>
      <xdr:row>176</xdr:row>
      <xdr:rowOff>38100</xdr:rowOff>
    </xdr:from>
    <xdr:ext cx="1209675" cy="381000"/>
    <xdr:pic>
      <xdr:nvPicPr>
        <xdr:cNvPr id="54" name="图片 1"/>
        <xdr:cNvPicPr>
          <a:picLocks noChangeAspect="1"/>
        </xdr:cNvPicPr>
      </xdr:nvPicPr>
      <xdr:blipFill>
        <a:blip r:embed="rId49">
          <a:extLst>
            <a:ext uri="{28A0092B-C50C-407E-A947-70E740481C1C}">
              <a14:useLocalDpi xmlns:a14="http://schemas.microsoft.com/office/drawing/2010/main" val="0"/>
            </a:ext>
          </a:extLst>
        </a:blip>
        <a:srcRect/>
        <a:stretch>
          <a:fillRect/>
        </a:stretch>
      </xdr:blipFill>
      <xdr:spPr>
        <a:xfrm>
          <a:off x="7620000" y="61925835"/>
          <a:ext cx="12096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1447800</xdr:colOff>
      <xdr:row>173</xdr:row>
      <xdr:rowOff>28575</xdr:rowOff>
    </xdr:from>
    <xdr:ext cx="3000375" cy="295275"/>
    <xdr:pic>
      <xdr:nvPicPr>
        <xdr:cNvPr id="55" name="图片 2"/>
        <xdr:cNvPicPr>
          <a:picLocks noChangeAspect="1"/>
        </xdr:cNvPicPr>
      </xdr:nvPicPr>
      <xdr:blipFill>
        <a:blip r:embed="rId50">
          <a:extLst>
            <a:ext uri="{28A0092B-C50C-407E-A947-70E740481C1C}">
              <a14:useLocalDpi xmlns:a14="http://schemas.microsoft.com/office/drawing/2010/main" val="0"/>
            </a:ext>
          </a:extLst>
        </a:blip>
        <a:srcRect/>
        <a:stretch>
          <a:fillRect/>
        </a:stretch>
      </xdr:blipFill>
      <xdr:spPr>
        <a:xfrm>
          <a:off x="7696200" y="60887610"/>
          <a:ext cx="30003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657225</xdr:colOff>
      <xdr:row>0</xdr:row>
      <xdr:rowOff>114300</xdr:rowOff>
    </xdr:from>
    <xdr:to>
      <xdr:col>14</xdr:col>
      <xdr:colOff>352425</xdr:colOff>
      <xdr:row>4</xdr:row>
      <xdr:rowOff>190500</xdr:rowOff>
    </xdr:to>
    <xdr:pic>
      <xdr:nvPicPr>
        <xdr:cNvPr id="2" name="Picture 9" descr="aculab5"/>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6353175" y="114300"/>
          <a:ext cx="31242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38100</xdr:colOff>
      <xdr:row>25</xdr:row>
      <xdr:rowOff>219075</xdr:rowOff>
    </xdr:from>
    <xdr:to>
      <xdr:col>14</xdr:col>
      <xdr:colOff>19050</xdr:colOff>
      <xdr:row>27</xdr:row>
      <xdr:rowOff>209550</xdr:rowOff>
    </xdr:to>
    <xdr:pic>
      <xdr:nvPicPr>
        <xdr:cNvPr id="3" name="Picture 10"/>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8477250" y="5114925"/>
          <a:ext cx="6667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absolute">
        <xdr:from>
          <xdr:col>4</xdr:col>
          <xdr:colOff>438150</xdr:colOff>
          <xdr:row>13</xdr:row>
          <xdr:rowOff>85725</xdr:rowOff>
        </xdr:from>
        <xdr:to>
          <xdr:col>6</xdr:col>
          <xdr:colOff>304800</xdr:colOff>
          <xdr:row>16</xdr:row>
          <xdr:rowOff>85725</xdr:rowOff>
        </xdr:to>
        <xdr:sp>
          <xdr:nvSpPr>
            <xdr:cNvPr id="36871" name="Object 7" hidden="1">
              <a:extLst>
                <a:ext uri="{63B3BB69-23CF-44E3-9099-C40C66FF867C}">
                  <a14:compatExt spid="_x0000_s36871"/>
                </a:ext>
              </a:extLst>
            </xdr:cNvPr>
            <xdr:cNvSpPr/>
          </xdr:nvSpPr>
          <xdr:spPr>
            <a:xfrm>
              <a:off x="2847975" y="2438400"/>
              <a:ext cx="1095375" cy="6572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xdr:col>
          <xdr:colOff>180975</xdr:colOff>
          <xdr:row>10</xdr:row>
          <xdr:rowOff>152400</xdr:rowOff>
        </xdr:from>
        <xdr:to>
          <xdr:col>5</xdr:col>
          <xdr:colOff>161925</xdr:colOff>
          <xdr:row>16</xdr:row>
          <xdr:rowOff>85725</xdr:rowOff>
        </xdr:to>
        <xdr:sp>
          <xdr:nvSpPr>
            <xdr:cNvPr id="36872" name="Object 8" hidden="1">
              <a:extLst>
                <a:ext uri="{63B3BB69-23CF-44E3-9099-C40C66FF867C}">
                  <a14:compatExt spid="_x0000_s36872"/>
                </a:ext>
              </a:extLst>
            </xdr:cNvPr>
            <xdr:cNvSpPr/>
          </xdr:nvSpPr>
          <xdr:spPr>
            <a:xfrm>
              <a:off x="866775" y="2162175"/>
              <a:ext cx="2247900" cy="9334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xdr:col>
          <xdr:colOff>190500</xdr:colOff>
          <xdr:row>0</xdr:row>
          <xdr:rowOff>209550</xdr:rowOff>
        </xdr:from>
        <xdr:to>
          <xdr:col>8</xdr:col>
          <xdr:colOff>447675</xdr:colOff>
          <xdr:row>10</xdr:row>
          <xdr:rowOff>9525</xdr:rowOff>
        </xdr:to>
        <xdr:sp>
          <xdr:nvSpPr>
            <xdr:cNvPr id="36873" name="Object 9" hidden="1">
              <a:extLst>
                <a:ext uri="{63B3BB69-23CF-44E3-9099-C40C66FF867C}">
                  <a14:compatExt spid="_x0000_s36873"/>
                </a:ext>
              </a:extLst>
            </xdr:cNvPr>
            <xdr:cNvSpPr/>
          </xdr:nvSpPr>
          <xdr:spPr>
            <a:xfrm>
              <a:off x="876300" y="209550"/>
              <a:ext cx="4581525" cy="18097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5</xdr:col>
          <xdr:colOff>514350</xdr:colOff>
          <xdr:row>0</xdr:row>
          <xdr:rowOff>209550</xdr:rowOff>
        </xdr:from>
        <xdr:to>
          <xdr:col>8</xdr:col>
          <xdr:colOff>447675</xdr:colOff>
          <xdr:row>16</xdr:row>
          <xdr:rowOff>76200</xdr:rowOff>
        </xdr:to>
        <xdr:sp>
          <xdr:nvSpPr>
            <xdr:cNvPr id="36874" name="Object 10" hidden="1">
              <a:extLst>
                <a:ext uri="{63B3BB69-23CF-44E3-9099-C40C66FF867C}">
                  <a14:compatExt spid="_x0000_s36874"/>
                </a:ext>
              </a:extLst>
            </xdr:cNvPr>
            <xdr:cNvSpPr/>
          </xdr:nvSpPr>
          <xdr:spPr>
            <a:xfrm>
              <a:off x="3467100" y="209550"/>
              <a:ext cx="1990725" cy="28765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xdr:col>
          <xdr:colOff>180975</xdr:colOff>
          <xdr:row>1</xdr:row>
          <xdr:rowOff>0</xdr:rowOff>
        </xdr:from>
        <xdr:to>
          <xdr:col>2</xdr:col>
          <xdr:colOff>142875</xdr:colOff>
          <xdr:row>16</xdr:row>
          <xdr:rowOff>76200</xdr:rowOff>
        </xdr:to>
        <xdr:sp>
          <xdr:nvSpPr>
            <xdr:cNvPr id="36875" name="Object 11" hidden="1">
              <a:extLst>
                <a:ext uri="{63B3BB69-23CF-44E3-9099-C40C66FF867C}">
                  <a14:compatExt spid="_x0000_s36875"/>
                </a:ext>
              </a:extLst>
            </xdr:cNvPr>
            <xdr:cNvSpPr/>
          </xdr:nvSpPr>
          <xdr:spPr>
            <a:xfrm>
              <a:off x="866775" y="228600"/>
              <a:ext cx="647700" cy="28575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2</xdr:col>
          <xdr:colOff>523875</xdr:colOff>
          <xdr:row>0</xdr:row>
          <xdr:rowOff>219075</xdr:rowOff>
        </xdr:from>
        <xdr:to>
          <xdr:col>5</xdr:col>
          <xdr:colOff>171450</xdr:colOff>
          <xdr:row>16</xdr:row>
          <xdr:rowOff>57150</xdr:rowOff>
        </xdr:to>
        <xdr:sp>
          <xdr:nvSpPr>
            <xdr:cNvPr id="36876" name="Object 12" hidden="1">
              <a:extLst>
                <a:ext uri="{63B3BB69-23CF-44E3-9099-C40C66FF867C}">
                  <a14:compatExt spid="_x0000_s36876"/>
                </a:ext>
              </a:extLst>
            </xdr:cNvPr>
            <xdr:cNvSpPr/>
          </xdr:nvSpPr>
          <xdr:spPr>
            <a:xfrm>
              <a:off x="1895475" y="219075"/>
              <a:ext cx="1228725" cy="2847975"/>
            </a:xfrm>
            <a:prstGeom prst="rect">
              <a:avLst/>
            </a:prstGeom>
          </xdr:spPr>
        </xdr:sp>
        <xdr:clientData/>
      </xdr:twoCellAnchor>
    </mc:Choice>
    <mc:Fallback/>
  </mc:AlternateContent>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15</xdr:col>
      <xdr:colOff>0</xdr:colOff>
      <xdr:row>20</xdr:row>
      <xdr:rowOff>114300</xdr:rowOff>
    </xdr:from>
    <xdr:to>
      <xdr:col>17</xdr:col>
      <xdr:colOff>495300</xdr:colOff>
      <xdr:row>21</xdr:row>
      <xdr:rowOff>95250</xdr:rowOff>
    </xdr:to>
    <xdr:sp>
      <xdr:nvSpPr>
        <xdr:cNvPr id="2" name="Text Box 89"/>
        <xdr:cNvSpPr txBox="1">
          <a:spLocks noChangeArrowheads="1"/>
        </xdr:cNvSpPr>
      </xdr:nvSpPr>
      <xdr:spPr>
        <a:xfrm>
          <a:off x="7600950" y="3248025"/>
          <a:ext cx="1543050" cy="171450"/>
        </a:xfrm>
        <a:prstGeom prst="rect">
          <a:avLst/>
        </a:prstGeom>
        <a:solidFill>
          <a:srgbClr val="FFFFFF"/>
        </a:solidFill>
        <a:ln w="9525">
          <a:solidFill>
            <a:srgbClr xmlns:mc="http://schemas.openxmlformats.org/markup-compatibility/2006" xmlns:a14="http://schemas.microsoft.com/office/drawing/2010/main" val="FF0000" mc:Ignorable="a14" a14:legacySpreadsheetColorIndex="10"/>
          </a:solidFill>
          <a:miter lim="800000"/>
        </a:ln>
      </xdr:spPr>
      <xdr:txBody>
        <a:bodyPr vertOverflow="clip" wrap="square" lIns="27432" tIns="18288" rIns="27432" bIns="0" anchor="t" upright="1"/>
        <a:lstStyle/>
        <a:p>
          <a:pPr algn="ctr" rtl="0">
            <a:defRPr sz="1000"/>
          </a:pPr>
          <a:r>
            <a:rPr lang="zh-CN" altLang="en-US" sz="1000" b="1" i="0" u="none" strike="noStrike" baseline="0">
              <a:solidFill>
                <a:srgbClr val="000000"/>
              </a:solidFill>
              <a:latin typeface="宋体" panose="02010600030101010101" pitchFamily="7" charset="-122"/>
              <a:ea typeface="宋体" panose="02010600030101010101" pitchFamily="7" charset="-122"/>
            </a:rPr>
            <a:t>仅供参考，不做依据</a:t>
          </a:r>
          <a:endParaRPr lang="zh-CN" altLang="en-US" sz="1000" b="1"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xdr:twoCellAnchor>
    <xdr:from>
      <xdr:col>7</xdr:col>
      <xdr:colOff>419100</xdr:colOff>
      <xdr:row>46</xdr:row>
      <xdr:rowOff>133350</xdr:rowOff>
    </xdr:from>
    <xdr:to>
      <xdr:col>19</xdr:col>
      <xdr:colOff>9525</xdr:colOff>
      <xdr:row>78</xdr:row>
      <xdr:rowOff>28575</xdr:rowOff>
    </xdr:to>
    <xdr:grpSp>
      <xdr:nvGrpSpPr>
        <xdr:cNvPr id="3" name="Group 91"/>
        <xdr:cNvGrpSpPr/>
      </xdr:nvGrpSpPr>
      <xdr:grpSpPr>
        <a:xfrm>
          <a:off x="3829050" y="6867525"/>
          <a:ext cx="5619750" cy="5819775"/>
          <a:chOff x="396" y="721"/>
          <a:chExt cx="590" cy="624"/>
        </a:xfrm>
      </xdr:grpSpPr>
      <xdr:grpSp>
        <xdr:nvGrpSpPr>
          <xdr:cNvPr id="4" name="Group 87"/>
          <xdr:cNvGrpSpPr/>
        </xdr:nvGrpSpPr>
        <xdr:grpSpPr>
          <a:xfrm>
            <a:off x="396" y="721"/>
            <a:ext cx="590" cy="624"/>
            <a:chOff x="396" y="721"/>
            <a:chExt cx="590" cy="624"/>
          </a:xfrm>
        </xdr:grpSpPr>
        <xdr:sp>
          <xdr:nvSpPr>
            <xdr:cNvPr id="6" name="Line 24"/>
            <xdr:cNvSpPr>
              <a:spLocks noChangeShapeType="1"/>
            </xdr:cNvSpPr>
          </xdr:nvSpPr>
          <xdr:spPr>
            <a:xfrm>
              <a:off x="435" y="1232"/>
              <a:ext cx="0" cy="68"/>
            </a:xfrm>
            <a:prstGeom prst="lin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noFill/>
                </a14:hiddenFill>
              </a:ext>
            </a:extLst>
          </xdr:spPr>
        </xdr:sp>
        <xdr:sp>
          <xdr:nvSpPr>
            <xdr:cNvPr id="7" name="Line 25"/>
            <xdr:cNvSpPr>
              <a:spLocks noChangeShapeType="1"/>
            </xdr:cNvSpPr>
          </xdr:nvSpPr>
          <xdr:spPr>
            <a:xfrm>
              <a:off x="929" y="1214"/>
              <a:ext cx="0" cy="85"/>
            </a:xfrm>
            <a:prstGeom prst="lin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noFill/>
                </a14:hiddenFill>
              </a:ext>
            </a:extLst>
          </xdr:spPr>
        </xdr:sp>
        <xdr:sp>
          <xdr:nvSpPr>
            <xdr:cNvPr id="8" name="Rectangle 26"/>
            <xdr:cNvSpPr>
              <a:spLocks noChangeArrowheads="1"/>
            </xdr:cNvSpPr>
          </xdr:nvSpPr>
          <xdr:spPr>
            <a:xfrm>
              <a:off x="917" y="1291"/>
              <a:ext cx="21" cy="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7432" rIns="27432" bIns="0" anchor="t" upright="1"/>
            <a:lstStyle/>
            <a:p>
              <a:pPr algn="ctr" rtl="0">
                <a:defRPr sz="1000"/>
              </a:pPr>
              <a:r>
                <a:rPr lang="zh-CN" altLang="en-US" sz="800" b="0" i="0" u="none" strike="noStrike" baseline="0">
                  <a:solidFill>
                    <a:srgbClr val="000000"/>
                  </a:solidFill>
                  <a:latin typeface="Arial Narrow" panose="020B0606020202030204"/>
                </a:rPr>
                <a:t>400</a:t>
              </a:r>
              <a:endParaRPr lang="zh-CN" altLang="en-US" sz="800" b="0" i="0" u="none" strike="noStrike" baseline="0">
                <a:solidFill>
                  <a:srgbClr val="000000"/>
                </a:solidFill>
                <a:latin typeface="Arial Narrow" panose="020B0606020202030204"/>
              </a:endParaRPr>
            </a:p>
          </xdr:txBody>
        </xdr:sp>
        <xdr:sp>
          <xdr:nvSpPr>
            <xdr:cNvPr id="9" name="Rectangle 27"/>
            <xdr:cNvSpPr>
              <a:spLocks noChangeArrowheads="1"/>
            </xdr:cNvSpPr>
          </xdr:nvSpPr>
          <xdr:spPr>
            <a:xfrm>
              <a:off x="435" y="1176"/>
              <a:ext cx="494" cy="1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ln>
          </xdr:spPr>
        </xdr:sp>
        <xdr:sp>
          <xdr:nvSpPr>
            <xdr:cNvPr id="10" name="Rectangle 28"/>
            <xdr:cNvSpPr>
              <a:spLocks noChangeArrowheads="1"/>
            </xdr:cNvSpPr>
          </xdr:nvSpPr>
          <xdr:spPr>
            <a:xfrm>
              <a:off x="435" y="1064"/>
              <a:ext cx="494" cy="1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ln>
          </xdr:spPr>
        </xdr:sp>
        <xdr:sp>
          <xdr:nvSpPr>
            <xdr:cNvPr id="11" name="Rectangle 29"/>
            <xdr:cNvSpPr>
              <a:spLocks noChangeArrowheads="1"/>
            </xdr:cNvSpPr>
          </xdr:nvSpPr>
          <xdr:spPr>
            <a:xfrm>
              <a:off x="435" y="952"/>
              <a:ext cx="494" cy="1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ln>
          </xdr:spPr>
        </xdr:sp>
        <xdr:sp>
          <xdr:nvSpPr>
            <xdr:cNvPr id="12" name="Rectangle 30"/>
            <xdr:cNvSpPr>
              <a:spLocks noChangeArrowheads="1"/>
            </xdr:cNvSpPr>
          </xdr:nvSpPr>
          <xdr:spPr>
            <a:xfrm>
              <a:off x="435" y="841"/>
              <a:ext cx="494" cy="11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ln>
          </xdr:spPr>
        </xdr:sp>
        <xdr:sp>
          <xdr:nvSpPr>
            <xdr:cNvPr id="13" name="Rectangle 31"/>
            <xdr:cNvSpPr>
              <a:spLocks noChangeArrowheads="1"/>
            </xdr:cNvSpPr>
          </xdr:nvSpPr>
          <xdr:spPr>
            <a:xfrm>
              <a:off x="435" y="730"/>
              <a:ext cx="494" cy="11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ln>
          </xdr:spPr>
        </xdr:sp>
        <xdr:sp>
          <xdr:nvSpPr>
            <xdr:cNvPr id="14" name="Rectangle 32"/>
            <xdr:cNvSpPr>
              <a:spLocks noChangeArrowheads="1"/>
            </xdr:cNvSpPr>
          </xdr:nvSpPr>
          <xdr:spPr>
            <a:xfrm>
              <a:off x="425" y="1291"/>
              <a:ext cx="22" cy="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7432" rIns="27432" bIns="0" anchor="t" upright="1"/>
            <a:lstStyle/>
            <a:p>
              <a:pPr algn="ctr" rtl="0">
                <a:defRPr sz="1000"/>
              </a:pPr>
              <a:r>
                <a:rPr lang="zh-CN" altLang="en-US" sz="800" b="0" i="0" u="none" strike="noStrike" baseline="0">
                  <a:solidFill>
                    <a:srgbClr val="000000"/>
                  </a:solidFill>
                  <a:latin typeface="Arial Narrow" panose="020B0606020202030204"/>
                </a:rPr>
                <a:t>80</a:t>
              </a:r>
              <a:endParaRPr lang="zh-CN" altLang="en-US" sz="800" b="0" i="0" u="none" strike="noStrike" baseline="0">
                <a:solidFill>
                  <a:srgbClr val="000000"/>
                </a:solidFill>
                <a:latin typeface="Arial Narrow" panose="020B0606020202030204"/>
              </a:endParaRPr>
            </a:p>
          </xdr:txBody>
        </xdr:sp>
        <xdr:sp>
          <xdr:nvSpPr>
            <xdr:cNvPr id="15" name="Rectangle 33"/>
            <xdr:cNvSpPr>
              <a:spLocks noChangeArrowheads="1"/>
            </xdr:cNvSpPr>
          </xdr:nvSpPr>
          <xdr:spPr>
            <a:xfrm>
              <a:off x="410" y="1279"/>
              <a:ext cx="20" cy="1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7432" rIns="0" bIns="0" anchor="t" upright="1"/>
            <a:lstStyle/>
            <a:p>
              <a:pPr algn="l" rtl="0">
                <a:defRPr sz="1000"/>
              </a:pPr>
              <a:r>
                <a:rPr lang="zh-CN" altLang="en-US" sz="800" b="0" i="0" u="none" strike="noStrike" baseline="0">
                  <a:solidFill>
                    <a:srgbClr val="000000"/>
                  </a:solidFill>
                  <a:latin typeface="Arial Narrow" panose="020B0606020202030204"/>
                </a:rPr>
                <a:t>10</a:t>
              </a:r>
              <a:endParaRPr lang="zh-CN" altLang="en-US" sz="800" b="0" i="0" u="none" strike="noStrike" baseline="0">
                <a:solidFill>
                  <a:srgbClr val="000000"/>
                </a:solidFill>
                <a:latin typeface="Arial Narrow" panose="020B0606020202030204"/>
              </a:endParaRPr>
            </a:p>
          </xdr:txBody>
        </xdr:sp>
        <xdr:sp>
          <xdr:nvSpPr>
            <xdr:cNvPr id="16" name="Rectangle 34"/>
            <xdr:cNvSpPr>
              <a:spLocks noChangeArrowheads="1"/>
            </xdr:cNvSpPr>
          </xdr:nvSpPr>
          <xdr:spPr>
            <a:xfrm>
              <a:off x="409" y="1165"/>
              <a:ext cx="22" cy="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7432" rIns="0" bIns="0" anchor="t" upright="1"/>
            <a:lstStyle/>
            <a:p>
              <a:pPr algn="l" rtl="0">
                <a:defRPr sz="1000"/>
              </a:pPr>
              <a:r>
                <a:rPr lang="zh-CN" altLang="en-US" sz="800" b="0" i="0" u="none" strike="noStrike" baseline="0">
                  <a:solidFill>
                    <a:srgbClr val="000000"/>
                  </a:solidFill>
                  <a:latin typeface="Arial Narrow" panose="020B0606020202030204"/>
                </a:rPr>
                <a:t>10</a:t>
              </a:r>
              <a:r>
                <a:rPr lang="zh-CN" altLang="en-US" sz="1000" b="0" i="0" u="none" strike="noStrike" baseline="30000">
                  <a:solidFill>
                    <a:srgbClr val="000000"/>
                  </a:solidFill>
                  <a:latin typeface="Arial Narrow" panose="020B0606020202030204"/>
                </a:rPr>
                <a:t>2</a:t>
              </a:r>
              <a:endParaRPr lang="zh-CN" altLang="en-US" sz="1000" b="0" i="0" u="none" strike="noStrike" baseline="30000">
                <a:solidFill>
                  <a:srgbClr val="000000"/>
                </a:solidFill>
                <a:latin typeface="Arial Narrow" panose="020B0606020202030204"/>
              </a:endParaRPr>
            </a:p>
          </xdr:txBody>
        </xdr:sp>
        <xdr:sp>
          <xdr:nvSpPr>
            <xdr:cNvPr id="17" name="Rectangle 35"/>
            <xdr:cNvSpPr>
              <a:spLocks noChangeArrowheads="1"/>
            </xdr:cNvSpPr>
          </xdr:nvSpPr>
          <xdr:spPr>
            <a:xfrm>
              <a:off x="409" y="1054"/>
              <a:ext cx="20" cy="1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7432" rIns="0" bIns="0" anchor="t" upright="1"/>
            <a:lstStyle/>
            <a:p>
              <a:pPr algn="l" rtl="0">
                <a:defRPr sz="1000"/>
              </a:pPr>
              <a:r>
                <a:rPr lang="zh-CN" altLang="en-US" sz="800" b="0" i="0" u="none" strike="noStrike" baseline="0">
                  <a:solidFill>
                    <a:srgbClr val="000000"/>
                  </a:solidFill>
                  <a:latin typeface="Arial Narrow" panose="020B0606020202030204"/>
                </a:rPr>
                <a:t>10</a:t>
              </a:r>
              <a:r>
                <a:rPr lang="zh-CN" altLang="en-US" sz="1000" b="0" i="0" u="none" strike="noStrike" baseline="30000">
                  <a:solidFill>
                    <a:srgbClr val="000000"/>
                  </a:solidFill>
                  <a:latin typeface="Arial Narrow" panose="020B0606020202030204"/>
                </a:rPr>
                <a:t>3</a:t>
              </a:r>
              <a:endParaRPr lang="zh-CN" altLang="en-US" sz="1000" b="0" i="0" u="none" strike="noStrike" baseline="30000">
                <a:solidFill>
                  <a:srgbClr val="000000"/>
                </a:solidFill>
                <a:latin typeface="Arial Narrow" panose="020B0606020202030204"/>
              </a:endParaRPr>
            </a:p>
          </xdr:txBody>
        </xdr:sp>
        <xdr:sp>
          <xdr:nvSpPr>
            <xdr:cNvPr id="18" name="Rectangle 36"/>
            <xdr:cNvSpPr>
              <a:spLocks noChangeArrowheads="1"/>
            </xdr:cNvSpPr>
          </xdr:nvSpPr>
          <xdr:spPr>
            <a:xfrm>
              <a:off x="409" y="943"/>
              <a:ext cx="21" cy="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7432" rIns="0" bIns="0" anchor="t" upright="1"/>
            <a:lstStyle/>
            <a:p>
              <a:pPr algn="l" rtl="0">
                <a:defRPr sz="1000"/>
              </a:pPr>
              <a:r>
                <a:rPr lang="zh-CN" altLang="en-US" sz="800" b="0" i="0" u="none" strike="noStrike" baseline="0">
                  <a:solidFill>
                    <a:srgbClr val="000000"/>
                  </a:solidFill>
                  <a:latin typeface="Arial Narrow" panose="020B0606020202030204"/>
                </a:rPr>
                <a:t>10</a:t>
              </a:r>
              <a:r>
                <a:rPr lang="zh-CN" altLang="en-US" sz="800" b="0" i="0" u="none" strike="noStrike" baseline="30000">
                  <a:solidFill>
                    <a:srgbClr val="000000"/>
                  </a:solidFill>
                  <a:latin typeface="Arial Narrow" panose="020B0606020202030204"/>
                </a:rPr>
                <a:t>4</a:t>
              </a:r>
              <a:endParaRPr lang="zh-CN" altLang="en-US" sz="800" b="0" i="0" u="none" strike="noStrike" baseline="30000">
                <a:solidFill>
                  <a:srgbClr val="000000"/>
                </a:solidFill>
                <a:latin typeface="Arial Narrow" panose="020B0606020202030204"/>
              </a:endParaRPr>
            </a:p>
          </xdr:txBody>
        </xdr:sp>
        <xdr:sp>
          <xdr:nvSpPr>
            <xdr:cNvPr id="19" name="Rectangle 37"/>
            <xdr:cNvSpPr>
              <a:spLocks noChangeArrowheads="1"/>
            </xdr:cNvSpPr>
          </xdr:nvSpPr>
          <xdr:spPr>
            <a:xfrm>
              <a:off x="409" y="829"/>
              <a:ext cx="22" cy="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7432" rIns="0" bIns="0" anchor="t" upright="1"/>
            <a:lstStyle/>
            <a:p>
              <a:pPr algn="l" rtl="0">
                <a:defRPr sz="1000"/>
              </a:pPr>
              <a:r>
                <a:rPr lang="zh-CN" altLang="en-US" sz="800" b="0" i="0" u="none" strike="noStrike" baseline="0">
                  <a:solidFill>
                    <a:srgbClr val="000000"/>
                  </a:solidFill>
                  <a:latin typeface="Arial Narrow" panose="020B0606020202030204"/>
                </a:rPr>
                <a:t>10</a:t>
              </a:r>
              <a:r>
                <a:rPr lang="zh-CN" altLang="en-US" sz="1000" b="0" i="0" u="none" strike="noStrike" baseline="30000">
                  <a:solidFill>
                    <a:srgbClr val="000000"/>
                  </a:solidFill>
                  <a:latin typeface="Arial Narrow" panose="020B0606020202030204"/>
                </a:rPr>
                <a:t>5</a:t>
              </a:r>
              <a:endParaRPr lang="zh-CN" altLang="en-US" sz="1000" b="0" i="0" u="none" strike="noStrike" baseline="30000">
                <a:solidFill>
                  <a:srgbClr val="000000"/>
                </a:solidFill>
                <a:latin typeface="Arial Narrow" panose="020B0606020202030204"/>
              </a:endParaRPr>
            </a:p>
          </xdr:txBody>
        </xdr:sp>
        <xdr:sp>
          <xdr:nvSpPr>
            <xdr:cNvPr id="20" name="Rectangle 38"/>
            <xdr:cNvSpPr>
              <a:spLocks noChangeArrowheads="1"/>
            </xdr:cNvSpPr>
          </xdr:nvSpPr>
          <xdr:spPr>
            <a:xfrm>
              <a:off x="410" y="721"/>
              <a:ext cx="22" cy="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7432" rIns="0" bIns="0" anchor="t" upright="1"/>
            <a:lstStyle/>
            <a:p>
              <a:pPr algn="l" rtl="0">
                <a:defRPr sz="1000"/>
              </a:pPr>
              <a:r>
                <a:rPr lang="zh-CN" altLang="en-US" sz="800" b="0" i="0" u="none" strike="noStrike" baseline="0">
                  <a:solidFill>
                    <a:srgbClr val="000000"/>
                  </a:solidFill>
                  <a:latin typeface="Arial Narrow" panose="020B0606020202030204"/>
                </a:rPr>
                <a:t>10</a:t>
              </a:r>
              <a:r>
                <a:rPr lang="zh-CN" altLang="en-US" sz="1000" b="0" i="0" u="none" strike="noStrike" baseline="30000">
                  <a:solidFill>
                    <a:srgbClr val="000000"/>
                  </a:solidFill>
                  <a:latin typeface="Arial Narrow" panose="020B0606020202030204"/>
                </a:rPr>
                <a:t>6</a:t>
              </a:r>
              <a:endParaRPr lang="zh-CN" altLang="en-US" sz="1000" b="0" i="0" u="none" strike="noStrike" baseline="30000">
                <a:solidFill>
                  <a:srgbClr val="000000"/>
                </a:solidFill>
                <a:latin typeface="Arial Narrow" panose="020B0606020202030204"/>
              </a:endParaRPr>
            </a:p>
          </xdr:txBody>
        </xdr:sp>
        <xdr:sp>
          <xdr:nvSpPr>
            <xdr:cNvPr id="21" name="Line 39"/>
            <xdr:cNvSpPr>
              <a:spLocks noChangeShapeType="1"/>
            </xdr:cNvSpPr>
          </xdr:nvSpPr>
          <xdr:spPr>
            <a:xfrm>
              <a:off x="600" y="748"/>
              <a:ext cx="230" cy="493"/>
            </a:xfrm>
            <a:prstGeom prst="lin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noFill/>
                </a14:hiddenFill>
              </a:ext>
            </a:extLst>
          </xdr:spPr>
        </xdr:sp>
        <xdr:sp>
          <xdr:nvSpPr>
            <xdr:cNvPr id="22" name="Line 40"/>
            <xdr:cNvSpPr>
              <a:spLocks noChangeShapeType="1"/>
            </xdr:cNvSpPr>
          </xdr:nvSpPr>
          <xdr:spPr>
            <a:xfrm>
              <a:off x="503" y="730"/>
              <a:ext cx="0" cy="569"/>
            </a:xfrm>
            <a:prstGeom prst="lin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noFill/>
                </a14:hiddenFill>
              </a:ext>
            </a:extLst>
          </xdr:spPr>
        </xdr:sp>
        <xdr:sp>
          <xdr:nvSpPr>
            <xdr:cNvPr id="23" name="Line 41"/>
            <xdr:cNvSpPr>
              <a:spLocks noChangeShapeType="1"/>
            </xdr:cNvSpPr>
          </xdr:nvSpPr>
          <xdr:spPr>
            <a:xfrm>
              <a:off x="561" y="730"/>
              <a:ext cx="0" cy="573"/>
            </a:xfrm>
            <a:prstGeom prst="lin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noFill/>
                </a14:hiddenFill>
              </a:ext>
            </a:extLst>
          </xdr:spPr>
        </xdr:sp>
        <xdr:sp>
          <xdr:nvSpPr>
            <xdr:cNvPr id="24" name="Rectangle 42"/>
            <xdr:cNvSpPr>
              <a:spLocks noChangeArrowheads="1"/>
            </xdr:cNvSpPr>
          </xdr:nvSpPr>
          <xdr:spPr>
            <a:xfrm>
              <a:off x="550" y="1292"/>
              <a:ext cx="21" cy="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7432" rIns="27432" bIns="0" anchor="t" upright="1"/>
            <a:lstStyle/>
            <a:p>
              <a:pPr algn="ctr" rtl="0">
                <a:defRPr sz="1000"/>
              </a:pPr>
              <a:r>
                <a:rPr lang="zh-CN" altLang="en-US" sz="800" b="0" i="0" u="none" strike="noStrike" baseline="0">
                  <a:solidFill>
                    <a:srgbClr val="000000"/>
                  </a:solidFill>
                  <a:latin typeface="Arial Narrow" panose="020B0606020202030204"/>
                </a:rPr>
                <a:t>120</a:t>
              </a:r>
              <a:endParaRPr lang="zh-CN" altLang="en-US" sz="800" b="0" i="0" u="none" strike="noStrike" baseline="0">
                <a:solidFill>
                  <a:srgbClr val="000000"/>
                </a:solidFill>
                <a:latin typeface="Arial Narrow" panose="020B0606020202030204"/>
              </a:endParaRPr>
            </a:p>
          </xdr:txBody>
        </xdr:sp>
        <xdr:sp>
          <xdr:nvSpPr>
            <xdr:cNvPr id="25" name="Line 43"/>
            <xdr:cNvSpPr>
              <a:spLocks noChangeShapeType="1"/>
            </xdr:cNvSpPr>
          </xdr:nvSpPr>
          <xdr:spPr>
            <a:xfrm>
              <a:off x="611" y="730"/>
              <a:ext cx="0" cy="570"/>
            </a:xfrm>
            <a:prstGeom prst="lin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noFill/>
                </a14:hiddenFill>
              </a:ext>
            </a:extLst>
          </xdr:spPr>
        </xdr:sp>
        <xdr:sp>
          <xdr:nvSpPr>
            <xdr:cNvPr id="26" name="Line 44"/>
            <xdr:cNvSpPr>
              <a:spLocks noChangeShapeType="1"/>
            </xdr:cNvSpPr>
          </xdr:nvSpPr>
          <xdr:spPr>
            <a:xfrm>
              <a:off x="649" y="730"/>
              <a:ext cx="0" cy="570"/>
            </a:xfrm>
            <a:prstGeom prst="lin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noFill/>
                </a14:hiddenFill>
              </a:ext>
            </a:extLst>
          </xdr:spPr>
        </xdr:sp>
        <xdr:sp>
          <xdr:nvSpPr>
            <xdr:cNvPr id="27" name="Line 45"/>
            <xdr:cNvSpPr>
              <a:spLocks noChangeShapeType="1"/>
            </xdr:cNvSpPr>
          </xdr:nvSpPr>
          <xdr:spPr>
            <a:xfrm>
              <a:off x="718" y="730"/>
              <a:ext cx="0" cy="570"/>
            </a:xfrm>
            <a:prstGeom prst="line">
              <a:avLst/>
            </a:prstGeom>
            <a:noFill/>
            <a:ln w="9525">
              <a:solidFill>
                <a:srgbClr xmlns:mc="http://schemas.openxmlformats.org/markup-compatibility/2006" xmlns:a14="http://schemas.microsoft.com/office/drawing/2010/main" val="000000" mc:Ignorable="a14" a14:legacySpreadsheetColorIndex="64"/>
              </a:solidFill>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xdr:nvSpPr>
            <xdr:cNvPr id="28" name="Line 46"/>
            <xdr:cNvSpPr>
              <a:spLocks noChangeShapeType="1"/>
            </xdr:cNvSpPr>
          </xdr:nvSpPr>
          <xdr:spPr>
            <a:xfrm>
              <a:off x="783" y="730"/>
              <a:ext cx="0" cy="570"/>
            </a:xfrm>
            <a:prstGeom prst="lin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noFill/>
                </a14:hiddenFill>
              </a:ext>
            </a:extLst>
          </xdr:spPr>
        </xdr:sp>
        <xdr:sp>
          <xdr:nvSpPr>
            <xdr:cNvPr id="29" name="Line 47"/>
            <xdr:cNvSpPr>
              <a:spLocks noChangeShapeType="1"/>
            </xdr:cNvSpPr>
          </xdr:nvSpPr>
          <xdr:spPr>
            <a:xfrm>
              <a:off x="745" y="730"/>
              <a:ext cx="0" cy="570"/>
            </a:xfrm>
            <a:prstGeom prst="lin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noFill/>
                </a14:hiddenFill>
              </a:ext>
            </a:extLst>
          </xdr:spPr>
        </xdr:sp>
        <xdr:sp>
          <xdr:nvSpPr>
            <xdr:cNvPr id="30" name="Line 48"/>
            <xdr:cNvSpPr>
              <a:spLocks noChangeShapeType="1"/>
            </xdr:cNvSpPr>
          </xdr:nvSpPr>
          <xdr:spPr>
            <a:xfrm>
              <a:off x="680" y="730"/>
              <a:ext cx="0" cy="570"/>
            </a:xfrm>
            <a:prstGeom prst="line">
              <a:avLst/>
            </a:prstGeom>
            <a:noFill/>
            <a:ln w="9525">
              <a:solidFill>
                <a:srgbClr xmlns:mc="http://schemas.openxmlformats.org/markup-compatibility/2006" xmlns:a14="http://schemas.microsoft.com/office/drawing/2010/main" val="000000" mc:Ignorable="a14" a14:legacySpreadsheetColorIndex="64"/>
              </a:solidFill>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xdr:nvSpPr>
            <xdr:cNvPr id="31" name="Line 49"/>
            <xdr:cNvSpPr>
              <a:spLocks noChangeShapeType="1"/>
            </xdr:cNvSpPr>
          </xdr:nvSpPr>
          <xdr:spPr>
            <a:xfrm>
              <a:off x="837" y="730"/>
              <a:ext cx="0" cy="570"/>
            </a:xfrm>
            <a:prstGeom prst="lin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noFill/>
                </a14:hiddenFill>
              </a:ext>
            </a:extLst>
          </xdr:spPr>
        </xdr:sp>
        <xdr:sp>
          <xdr:nvSpPr>
            <xdr:cNvPr id="32" name="Rectangle 50"/>
            <xdr:cNvSpPr>
              <a:spLocks noChangeArrowheads="1"/>
            </xdr:cNvSpPr>
          </xdr:nvSpPr>
          <xdr:spPr>
            <a:xfrm>
              <a:off x="493" y="1292"/>
              <a:ext cx="22" cy="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7432" rIns="27432" bIns="0" anchor="t" upright="1"/>
            <a:lstStyle/>
            <a:p>
              <a:pPr algn="ctr" rtl="0">
                <a:defRPr sz="1000"/>
              </a:pPr>
              <a:r>
                <a:rPr lang="zh-CN" altLang="en-US" sz="800" b="0" i="0" u="none" strike="noStrike" baseline="0">
                  <a:solidFill>
                    <a:srgbClr val="000000"/>
                  </a:solidFill>
                  <a:latin typeface="Arial Narrow" panose="020B0606020202030204"/>
                </a:rPr>
                <a:t>100</a:t>
              </a:r>
              <a:endParaRPr lang="zh-CN" altLang="en-US" sz="800" b="0" i="0" u="none" strike="noStrike" baseline="0">
                <a:solidFill>
                  <a:srgbClr val="000000"/>
                </a:solidFill>
                <a:latin typeface="Arial Narrow" panose="020B0606020202030204"/>
              </a:endParaRPr>
            </a:p>
          </xdr:txBody>
        </xdr:sp>
        <xdr:sp>
          <xdr:nvSpPr>
            <xdr:cNvPr id="33" name="Rectangle 51"/>
            <xdr:cNvSpPr>
              <a:spLocks noChangeArrowheads="1"/>
            </xdr:cNvSpPr>
          </xdr:nvSpPr>
          <xdr:spPr>
            <a:xfrm>
              <a:off x="600" y="1292"/>
              <a:ext cx="21" cy="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7432" rIns="27432" bIns="0" anchor="t" upright="1"/>
            <a:lstStyle/>
            <a:p>
              <a:pPr algn="ctr" rtl="0">
                <a:defRPr sz="1000"/>
              </a:pPr>
              <a:r>
                <a:rPr lang="zh-CN" altLang="en-US" sz="800" b="0" i="0" u="none" strike="noStrike" baseline="0">
                  <a:solidFill>
                    <a:srgbClr val="000000"/>
                  </a:solidFill>
                  <a:latin typeface="Arial Narrow" panose="020B0606020202030204"/>
                </a:rPr>
                <a:t>140</a:t>
              </a:r>
              <a:endParaRPr lang="zh-CN" altLang="en-US" sz="800" b="0" i="0" u="none" strike="noStrike" baseline="0">
                <a:solidFill>
                  <a:srgbClr val="000000"/>
                </a:solidFill>
                <a:latin typeface="Arial Narrow" panose="020B0606020202030204"/>
              </a:endParaRPr>
            </a:p>
          </xdr:txBody>
        </xdr:sp>
        <xdr:sp>
          <xdr:nvSpPr>
            <xdr:cNvPr id="34" name="Rectangle 52"/>
            <xdr:cNvSpPr>
              <a:spLocks noChangeArrowheads="1"/>
            </xdr:cNvSpPr>
          </xdr:nvSpPr>
          <xdr:spPr>
            <a:xfrm>
              <a:off x="639" y="1292"/>
              <a:ext cx="22" cy="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7432" rIns="27432" bIns="0" anchor="t" upright="1"/>
            <a:lstStyle/>
            <a:p>
              <a:pPr algn="ctr" rtl="0">
                <a:defRPr sz="1000"/>
              </a:pPr>
              <a:r>
                <a:rPr lang="zh-CN" altLang="en-US" sz="800" b="0" i="0" u="none" strike="noStrike" baseline="0">
                  <a:solidFill>
                    <a:srgbClr val="000000"/>
                  </a:solidFill>
                  <a:latin typeface="Arial Narrow" panose="020B0606020202030204"/>
                </a:rPr>
                <a:t>160</a:t>
              </a:r>
              <a:endParaRPr lang="zh-CN" altLang="en-US" sz="800" b="0" i="0" u="none" strike="noStrike" baseline="0">
                <a:solidFill>
                  <a:srgbClr val="000000"/>
                </a:solidFill>
                <a:latin typeface="Arial Narrow" panose="020B0606020202030204"/>
              </a:endParaRPr>
            </a:p>
          </xdr:txBody>
        </xdr:sp>
        <xdr:sp>
          <xdr:nvSpPr>
            <xdr:cNvPr id="35" name="Rectangle 53"/>
            <xdr:cNvSpPr>
              <a:spLocks noChangeArrowheads="1"/>
            </xdr:cNvSpPr>
          </xdr:nvSpPr>
          <xdr:spPr>
            <a:xfrm>
              <a:off x="670" y="1292"/>
              <a:ext cx="21" cy="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7432" rIns="27432" bIns="0" anchor="t" upright="1"/>
            <a:lstStyle/>
            <a:p>
              <a:pPr algn="ctr" rtl="0">
                <a:defRPr sz="1000"/>
              </a:pPr>
              <a:r>
                <a:rPr lang="zh-CN" altLang="en-US" sz="800" b="0" i="0" u="none" strike="noStrike" baseline="0">
                  <a:solidFill>
                    <a:srgbClr val="000000"/>
                  </a:solidFill>
                  <a:latin typeface="Arial Narrow" panose="020B0606020202030204"/>
                </a:rPr>
                <a:t>180</a:t>
              </a:r>
              <a:endParaRPr lang="zh-CN" altLang="en-US" sz="800" b="0" i="0" u="none" strike="noStrike" baseline="0">
                <a:solidFill>
                  <a:srgbClr val="000000"/>
                </a:solidFill>
                <a:latin typeface="Arial Narrow" panose="020B0606020202030204"/>
              </a:endParaRPr>
            </a:p>
          </xdr:txBody>
        </xdr:sp>
        <xdr:sp>
          <xdr:nvSpPr>
            <xdr:cNvPr id="36" name="Rectangle 54"/>
            <xdr:cNvSpPr>
              <a:spLocks noChangeArrowheads="1"/>
            </xdr:cNvSpPr>
          </xdr:nvSpPr>
          <xdr:spPr>
            <a:xfrm>
              <a:off x="708" y="1292"/>
              <a:ext cx="22" cy="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7432" rIns="27432" bIns="0" anchor="t" upright="1"/>
            <a:lstStyle/>
            <a:p>
              <a:pPr algn="ctr" rtl="0">
                <a:defRPr sz="1000"/>
              </a:pPr>
              <a:r>
                <a:rPr lang="zh-CN" altLang="en-US" sz="800" b="0" i="0" u="none" strike="noStrike" baseline="0">
                  <a:solidFill>
                    <a:srgbClr val="000000"/>
                  </a:solidFill>
                  <a:latin typeface="Arial Narrow" panose="020B0606020202030204"/>
                </a:rPr>
                <a:t>200</a:t>
              </a:r>
              <a:endParaRPr lang="zh-CN" altLang="en-US" sz="800" b="0" i="0" u="none" strike="noStrike" baseline="0">
                <a:solidFill>
                  <a:srgbClr val="000000"/>
                </a:solidFill>
                <a:latin typeface="Arial Narrow" panose="020B0606020202030204"/>
              </a:endParaRPr>
            </a:p>
          </xdr:txBody>
        </xdr:sp>
        <xdr:sp>
          <xdr:nvSpPr>
            <xdr:cNvPr id="37" name="Rectangle 55"/>
            <xdr:cNvSpPr>
              <a:spLocks noChangeArrowheads="1"/>
            </xdr:cNvSpPr>
          </xdr:nvSpPr>
          <xdr:spPr>
            <a:xfrm>
              <a:off x="736" y="1292"/>
              <a:ext cx="21" cy="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7432" rIns="27432" bIns="0" anchor="t" upright="1"/>
            <a:lstStyle/>
            <a:p>
              <a:pPr algn="ctr" rtl="0">
                <a:defRPr sz="1000"/>
              </a:pPr>
              <a:r>
                <a:rPr lang="zh-CN" altLang="en-US" sz="800" b="0" i="0" u="none" strike="noStrike" baseline="0">
                  <a:solidFill>
                    <a:srgbClr val="000000"/>
                  </a:solidFill>
                  <a:latin typeface="Arial Narrow" panose="020B0606020202030204"/>
                </a:rPr>
                <a:t>220</a:t>
              </a:r>
              <a:endParaRPr lang="zh-CN" altLang="en-US" sz="800" b="0" i="0" u="none" strike="noStrike" baseline="0">
                <a:solidFill>
                  <a:srgbClr val="000000"/>
                </a:solidFill>
                <a:latin typeface="Arial Narrow" panose="020B0606020202030204"/>
              </a:endParaRPr>
            </a:p>
          </xdr:txBody>
        </xdr:sp>
        <xdr:sp>
          <xdr:nvSpPr>
            <xdr:cNvPr id="38" name="Rectangle 56"/>
            <xdr:cNvSpPr>
              <a:spLocks noChangeArrowheads="1"/>
            </xdr:cNvSpPr>
          </xdr:nvSpPr>
          <xdr:spPr>
            <a:xfrm>
              <a:off x="774" y="1292"/>
              <a:ext cx="21" cy="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7432" rIns="27432" bIns="0" anchor="t" upright="1"/>
            <a:lstStyle/>
            <a:p>
              <a:pPr algn="ctr" rtl="0">
                <a:defRPr sz="1000"/>
              </a:pPr>
              <a:r>
                <a:rPr lang="zh-CN" altLang="en-US" sz="800" b="0" i="0" u="none" strike="noStrike" baseline="0">
                  <a:solidFill>
                    <a:srgbClr val="000000"/>
                  </a:solidFill>
                  <a:latin typeface="Arial Narrow" panose="020B0606020202030204"/>
                </a:rPr>
                <a:t>250</a:t>
              </a:r>
              <a:endParaRPr lang="zh-CN" altLang="en-US" sz="800" b="0" i="0" u="none" strike="noStrike" baseline="0">
                <a:solidFill>
                  <a:srgbClr val="000000"/>
                </a:solidFill>
                <a:latin typeface="Arial Narrow" panose="020B0606020202030204"/>
              </a:endParaRPr>
            </a:p>
          </xdr:txBody>
        </xdr:sp>
        <xdr:sp>
          <xdr:nvSpPr>
            <xdr:cNvPr id="39" name="Rectangle 57"/>
            <xdr:cNvSpPr>
              <a:spLocks noChangeArrowheads="1"/>
            </xdr:cNvSpPr>
          </xdr:nvSpPr>
          <xdr:spPr>
            <a:xfrm>
              <a:off x="828" y="1292"/>
              <a:ext cx="21" cy="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7432" rIns="27432" bIns="0" anchor="t" upright="1"/>
            <a:lstStyle/>
            <a:p>
              <a:pPr algn="ctr" rtl="0">
                <a:defRPr sz="1000"/>
              </a:pPr>
              <a:r>
                <a:rPr lang="zh-CN" altLang="en-US" sz="800" b="0" i="0" u="none" strike="noStrike" baseline="0">
                  <a:solidFill>
                    <a:srgbClr val="000000"/>
                  </a:solidFill>
                  <a:latin typeface="Arial Narrow" panose="020B0606020202030204"/>
                </a:rPr>
                <a:t>300</a:t>
              </a:r>
              <a:endParaRPr lang="zh-CN" altLang="en-US" sz="800" b="0" i="0" u="none" strike="noStrike" baseline="0">
                <a:solidFill>
                  <a:srgbClr val="000000"/>
                </a:solidFill>
                <a:latin typeface="Arial Narrow" panose="020B0606020202030204"/>
              </a:endParaRPr>
            </a:p>
          </xdr:txBody>
        </xdr:sp>
        <xdr:sp>
          <xdr:nvSpPr>
            <xdr:cNvPr id="40" name="Rectangle 58"/>
            <xdr:cNvSpPr>
              <a:spLocks noChangeArrowheads="1"/>
            </xdr:cNvSpPr>
          </xdr:nvSpPr>
          <xdr:spPr>
            <a:xfrm>
              <a:off x="503" y="910"/>
              <a:ext cx="22" cy="1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7432" rIns="27432" bIns="0" anchor="t" upright="1"/>
            <a:lstStyle/>
            <a:p>
              <a:pPr algn="ctr" rtl="0">
                <a:defRPr sz="1000"/>
              </a:pPr>
              <a:r>
                <a:rPr lang="zh-CN" altLang="en-US" sz="1100" b="0" i="0" u="none" strike="noStrike" baseline="0">
                  <a:solidFill>
                    <a:srgbClr val="000000"/>
                  </a:solidFill>
                  <a:latin typeface="Times New Roman" panose="02020603050405020304" pitchFamily="12"/>
                  <a:cs typeface="Times New Roman" panose="02020603050405020304" pitchFamily="12"/>
                </a:rPr>
                <a:t>A</a:t>
              </a:r>
              <a:endParaRPr lang="zh-CN" altLang="en-US" sz="1100" b="0" i="0" u="none" strike="noStrike" baseline="0">
                <a:solidFill>
                  <a:srgbClr val="000000"/>
                </a:solidFill>
                <a:latin typeface="Times New Roman" panose="02020603050405020304" pitchFamily="12"/>
                <a:cs typeface="Times New Roman" panose="02020603050405020304" pitchFamily="12"/>
              </a:endParaRPr>
            </a:p>
          </xdr:txBody>
        </xdr:sp>
        <xdr:sp>
          <xdr:nvSpPr>
            <xdr:cNvPr id="41" name="Line 59"/>
            <xdr:cNvSpPr>
              <a:spLocks noChangeShapeType="1"/>
            </xdr:cNvSpPr>
          </xdr:nvSpPr>
          <xdr:spPr>
            <a:xfrm>
              <a:off x="435" y="836"/>
              <a:ext cx="333" cy="430"/>
            </a:xfrm>
            <a:prstGeom prst="lin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noFill/>
                </a14:hiddenFill>
              </a:ext>
            </a:extLst>
          </xdr:spPr>
        </xdr:sp>
        <xdr:sp>
          <xdr:nvSpPr>
            <xdr:cNvPr id="42" name="Rectangle 60"/>
            <xdr:cNvSpPr>
              <a:spLocks noChangeArrowheads="1"/>
            </xdr:cNvSpPr>
          </xdr:nvSpPr>
          <xdr:spPr>
            <a:xfrm>
              <a:off x="552" y="910"/>
              <a:ext cx="21" cy="1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7432" rIns="27432" bIns="0" anchor="t" upright="1"/>
            <a:lstStyle/>
            <a:p>
              <a:pPr algn="ctr" rtl="0">
                <a:defRPr sz="1000"/>
              </a:pPr>
              <a:r>
                <a:rPr lang="zh-CN" altLang="en-US" sz="1100" b="0" i="0" u="none" strike="noStrike" baseline="0">
                  <a:solidFill>
                    <a:srgbClr val="000000"/>
                  </a:solidFill>
                  <a:latin typeface="Times New Roman" panose="02020603050405020304" pitchFamily="12"/>
                  <a:cs typeface="Times New Roman" panose="02020603050405020304" pitchFamily="12"/>
                </a:rPr>
                <a:t>E</a:t>
              </a:r>
              <a:endParaRPr lang="zh-CN" altLang="en-US" sz="1100" b="0" i="0" u="none" strike="noStrike" baseline="0">
                <a:solidFill>
                  <a:srgbClr val="000000"/>
                </a:solidFill>
                <a:latin typeface="Times New Roman" panose="02020603050405020304" pitchFamily="12"/>
                <a:cs typeface="Times New Roman" panose="02020603050405020304" pitchFamily="12"/>
              </a:endParaRPr>
            </a:p>
          </xdr:txBody>
        </xdr:sp>
        <xdr:sp>
          <xdr:nvSpPr>
            <xdr:cNvPr id="43" name="Line 61"/>
            <xdr:cNvSpPr>
              <a:spLocks noChangeShapeType="1"/>
            </xdr:cNvSpPr>
          </xdr:nvSpPr>
          <xdr:spPr>
            <a:xfrm>
              <a:off x="473" y="813"/>
              <a:ext cx="325" cy="453"/>
            </a:xfrm>
            <a:prstGeom prst="lin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noFill/>
                </a14:hiddenFill>
              </a:ext>
            </a:extLst>
          </xdr:spPr>
        </xdr:sp>
        <xdr:sp>
          <xdr:nvSpPr>
            <xdr:cNvPr id="44" name="Rectangle 62"/>
            <xdr:cNvSpPr>
              <a:spLocks noChangeArrowheads="1"/>
            </xdr:cNvSpPr>
          </xdr:nvSpPr>
          <xdr:spPr>
            <a:xfrm>
              <a:off x="591" y="909"/>
              <a:ext cx="21" cy="1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7432" rIns="27432" bIns="0" anchor="t" upright="1"/>
            <a:lstStyle/>
            <a:p>
              <a:pPr algn="ctr" rtl="0">
                <a:defRPr sz="1000"/>
              </a:pPr>
              <a:r>
                <a:rPr lang="zh-CN" altLang="en-US" sz="1100" b="0" i="0" u="none" strike="noStrike" baseline="0">
                  <a:solidFill>
                    <a:srgbClr val="000000"/>
                  </a:solidFill>
                  <a:latin typeface="Times New Roman" panose="02020603050405020304" pitchFamily="12"/>
                  <a:cs typeface="Times New Roman" panose="02020603050405020304" pitchFamily="12"/>
                </a:rPr>
                <a:t>B</a:t>
              </a:r>
              <a:endParaRPr lang="zh-CN" altLang="en-US" sz="1100" b="0" i="0" u="none" strike="noStrike" baseline="0">
                <a:solidFill>
                  <a:srgbClr val="000000"/>
                </a:solidFill>
                <a:latin typeface="Times New Roman" panose="02020603050405020304" pitchFamily="12"/>
                <a:cs typeface="Times New Roman" panose="02020603050405020304" pitchFamily="12"/>
              </a:endParaRPr>
            </a:p>
          </xdr:txBody>
        </xdr:sp>
        <xdr:sp>
          <xdr:nvSpPr>
            <xdr:cNvPr id="45" name="Line 63"/>
            <xdr:cNvSpPr>
              <a:spLocks noChangeShapeType="1"/>
            </xdr:cNvSpPr>
          </xdr:nvSpPr>
          <xdr:spPr>
            <a:xfrm>
              <a:off x="508" y="800"/>
              <a:ext cx="310" cy="459"/>
            </a:xfrm>
            <a:prstGeom prst="lin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noFill/>
                </a14:hiddenFill>
              </a:ext>
            </a:extLst>
          </xdr:spPr>
        </xdr:sp>
        <xdr:sp>
          <xdr:nvSpPr>
            <xdr:cNvPr id="46" name="Rectangle 64"/>
            <xdr:cNvSpPr>
              <a:spLocks noChangeArrowheads="1"/>
            </xdr:cNvSpPr>
          </xdr:nvSpPr>
          <xdr:spPr>
            <a:xfrm>
              <a:off x="637" y="909"/>
              <a:ext cx="22" cy="1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7432" rIns="27432" bIns="0" anchor="t" upright="1"/>
            <a:lstStyle/>
            <a:p>
              <a:pPr algn="ctr" rtl="0">
                <a:defRPr sz="1000"/>
              </a:pPr>
              <a:r>
                <a:rPr lang="zh-CN" altLang="en-US" sz="1100" b="0" i="0" u="none" strike="noStrike" baseline="0">
                  <a:solidFill>
                    <a:srgbClr val="000000"/>
                  </a:solidFill>
                  <a:latin typeface="Times New Roman" panose="02020603050405020304" pitchFamily="12"/>
                  <a:cs typeface="Times New Roman" panose="02020603050405020304" pitchFamily="12"/>
                </a:rPr>
                <a:t>F</a:t>
              </a:r>
              <a:endParaRPr lang="zh-CN" altLang="en-US" sz="1100" b="0" i="0" u="none" strike="noStrike" baseline="0">
                <a:solidFill>
                  <a:srgbClr val="000000"/>
                </a:solidFill>
                <a:latin typeface="Times New Roman" panose="02020603050405020304" pitchFamily="12"/>
                <a:cs typeface="Times New Roman" panose="02020603050405020304" pitchFamily="12"/>
              </a:endParaRPr>
            </a:p>
          </xdr:txBody>
        </xdr:sp>
        <xdr:sp>
          <xdr:nvSpPr>
            <xdr:cNvPr id="47" name="Line 65"/>
            <xdr:cNvSpPr>
              <a:spLocks noChangeShapeType="1"/>
            </xdr:cNvSpPr>
          </xdr:nvSpPr>
          <xdr:spPr>
            <a:xfrm>
              <a:off x="553" y="777"/>
              <a:ext cx="269" cy="469"/>
            </a:xfrm>
            <a:prstGeom prst="lin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noFill/>
                </a14:hiddenFill>
              </a:ext>
            </a:extLst>
          </xdr:spPr>
        </xdr:sp>
        <xdr:sp>
          <xdr:nvSpPr>
            <xdr:cNvPr id="48" name="Rectangle 66"/>
            <xdr:cNvSpPr>
              <a:spLocks noChangeArrowheads="1"/>
            </xdr:cNvSpPr>
          </xdr:nvSpPr>
          <xdr:spPr>
            <a:xfrm>
              <a:off x="684" y="910"/>
              <a:ext cx="21" cy="1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7432" rIns="27432" bIns="0" anchor="t" upright="1"/>
            <a:lstStyle/>
            <a:p>
              <a:pPr algn="ctr" rtl="0">
                <a:defRPr sz="1000"/>
              </a:pPr>
              <a:r>
                <a:rPr lang="zh-CN" altLang="en-US" sz="1100" b="0" i="0" u="none" strike="noStrike" baseline="0">
                  <a:solidFill>
                    <a:srgbClr val="000000"/>
                  </a:solidFill>
                  <a:latin typeface="Times New Roman" panose="02020603050405020304" pitchFamily="12"/>
                  <a:cs typeface="Times New Roman" panose="02020603050405020304" pitchFamily="12"/>
                </a:rPr>
                <a:t>H</a:t>
              </a:r>
              <a:endParaRPr lang="zh-CN" altLang="en-US" sz="1100" b="0" i="0" u="none" strike="noStrike" baseline="0">
                <a:solidFill>
                  <a:srgbClr val="000000"/>
                </a:solidFill>
                <a:latin typeface="Times New Roman" panose="02020603050405020304" pitchFamily="12"/>
                <a:cs typeface="Times New Roman" panose="02020603050405020304" pitchFamily="12"/>
              </a:endParaRPr>
            </a:p>
          </xdr:txBody>
        </xdr:sp>
        <xdr:sp>
          <xdr:nvSpPr>
            <xdr:cNvPr id="49" name="Rectangle 67"/>
            <xdr:cNvSpPr>
              <a:spLocks noChangeArrowheads="1"/>
            </xdr:cNvSpPr>
          </xdr:nvSpPr>
          <xdr:spPr>
            <a:xfrm>
              <a:off x="748" y="910"/>
              <a:ext cx="21" cy="1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7432" rIns="27432" bIns="0" anchor="t" upright="1"/>
            <a:lstStyle/>
            <a:p>
              <a:pPr algn="ctr" rtl="0">
                <a:defRPr sz="1000"/>
              </a:pPr>
              <a:r>
                <a:rPr lang="zh-CN" altLang="en-US" sz="1100" b="0" i="0" u="none" strike="noStrike" baseline="0">
                  <a:solidFill>
                    <a:srgbClr val="000000"/>
                  </a:solidFill>
                  <a:latin typeface="Times New Roman" panose="02020603050405020304" pitchFamily="12"/>
                  <a:cs typeface="Times New Roman" panose="02020603050405020304" pitchFamily="12"/>
                </a:rPr>
                <a:t>C</a:t>
              </a:r>
              <a:endParaRPr lang="zh-CN" altLang="en-US" sz="1100" b="0" i="0" u="none" strike="noStrike" baseline="0">
                <a:solidFill>
                  <a:srgbClr val="000000"/>
                </a:solidFill>
                <a:latin typeface="Times New Roman" panose="02020603050405020304" pitchFamily="12"/>
                <a:cs typeface="Times New Roman" panose="02020603050405020304" pitchFamily="12"/>
              </a:endParaRPr>
            </a:p>
          </xdr:txBody>
        </xdr:sp>
        <xdr:sp>
          <xdr:nvSpPr>
            <xdr:cNvPr id="50" name="Line 68"/>
            <xdr:cNvSpPr>
              <a:spLocks noChangeShapeType="1"/>
            </xdr:cNvSpPr>
          </xdr:nvSpPr>
          <xdr:spPr>
            <a:xfrm>
              <a:off x="652" y="730"/>
              <a:ext cx="232" cy="477"/>
            </a:xfrm>
            <a:prstGeom prst="lin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noFill/>
                </a14:hiddenFill>
              </a:ext>
            </a:extLst>
          </xdr:spPr>
        </xdr:sp>
        <xdr:sp>
          <xdr:nvSpPr>
            <xdr:cNvPr id="51" name="Rectangle 69"/>
            <xdr:cNvSpPr>
              <a:spLocks noChangeArrowheads="1"/>
            </xdr:cNvSpPr>
          </xdr:nvSpPr>
          <xdr:spPr>
            <a:xfrm>
              <a:off x="779" y="1307"/>
              <a:ext cx="121" cy="1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18288" rIns="27432" bIns="0" anchor="t" upright="1"/>
            <a:lstStyle/>
            <a:p>
              <a:pPr algn="ctr"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工作表面温度</a:t>
              </a:r>
              <a:r>
                <a:rPr lang="zh-CN" altLang="en-US" sz="900" b="0" i="0" u="none" strike="noStrike" baseline="0">
                  <a:solidFill>
                    <a:srgbClr val="000000"/>
                  </a:solidFill>
                  <a:latin typeface="Times New Roman" panose="02020603050405020304" pitchFamily="12"/>
                  <a:ea typeface="宋体" panose="02010600030101010101" pitchFamily="7" charset="-122"/>
                  <a:cs typeface="Times New Roman" panose="02020603050405020304" pitchFamily="12"/>
                </a:rPr>
                <a:t>  -  </a:t>
              </a:r>
              <a:r>
                <a:rPr lang="zh-CN" altLang="en-US" sz="900" b="0" i="0" u="none" strike="noStrike" baseline="0">
                  <a:solidFill>
                    <a:srgbClr val="000000"/>
                  </a:solidFill>
                  <a:latin typeface="宋体" panose="02010600030101010101" pitchFamily="7" charset="-122"/>
                  <a:ea typeface="宋体" panose="02010600030101010101" pitchFamily="7" charset="-122"/>
                  <a:cs typeface="Times New Roman" panose="02020603050405020304" pitchFamily="12"/>
                </a:rPr>
                <a:t>℃</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sp>
          <xdr:nvSpPr>
            <xdr:cNvPr id="52" name="Rectangle 70"/>
            <xdr:cNvSpPr>
              <a:spLocks noChangeArrowheads="1"/>
            </xdr:cNvSpPr>
          </xdr:nvSpPr>
          <xdr:spPr>
            <a:xfrm>
              <a:off x="396" y="983"/>
              <a:ext cx="19" cy="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vert="vert270" wrap="square" lIns="27432" tIns="18288" rIns="27432" bIns="18288" anchor="ctr" upright="1"/>
            <a:lstStyle/>
            <a:p>
              <a:pPr algn="ctr" rtl="0">
                <a:defRPr sz="1000"/>
              </a:pPr>
              <a:r>
                <a:rPr lang="zh-CN" altLang="en-US" sz="1000" b="0" i="0" u="none" strike="noStrike" baseline="0">
                  <a:solidFill>
                    <a:srgbClr val="000000"/>
                  </a:solidFill>
                  <a:latin typeface="宋体" panose="02010600030101010101" pitchFamily="7" charset="-122"/>
                  <a:ea typeface="宋体" panose="02010600030101010101" pitchFamily="7" charset="-122"/>
                </a:rPr>
                <a:t>寿命</a:t>
              </a:r>
              <a:r>
                <a:rPr lang="zh-CN" altLang="en-US" sz="1000" b="0" i="0" u="none" strike="noStrike" baseline="0">
                  <a:solidFill>
                    <a:srgbClr val="000000"/>
                  </a:solidFill>
                  <a:latin typeface="Times New Roman" panose="02020603050405020304" pitchFamily="12"/>
                  <a:ea typeface="宋体" panose="02010600030101010101" pitchFamily="7" charset="-122"/>
                  <a:cs typeface="Times New Roman" panose="02020603050405020304" pitchFamily="12"/>
                </a:rPr>
                <a:t>- h</a:t>
              </a:r>
              <a:endParaRPr lang="zh-CN" altLang="en-US" sz="1000" b="0" i="0" u="none" strike="noStrike" baseline="0">
                <a:solidFill>
                  <a:srgbClr val="000000"/>
                </a:solidFill>
                <a:latin typeface="Times New Roman" panose="02020603050405020304" pitchFamily="12"/>
                <a:cs typeface="Times New Roman" panose="02020603050405020304" pitchFamily="12"/>
              </a:endParaRPr>
            </a:p>
          </xdr:txBody>
        </xdr:sp>
        <xdr:sp>
          <xdr:nvSpPr>
            <xdr:cNvPr id="53" name="Line 71"/>
            <xdr:cNvSpPr>
              <a:spLocks noChangeShapeType="1"/>
            </xdr:cNvSpPr>
          </xdr:nvSpPr>
          <xdr:spPr>
            <a:xfrm>
              <a:off x="923" y="978"/>
              <a:ext cx="27" cy="0"/>
            </a:xfrm>
            <a:prstGeom prst="lin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noFill/>
                </a14:hiddenFill>
              </a:ext>
            </a:extLst>
          </xdr:spPr>
        </xdr:sp>
        <xdr:sp>
          <xdr:nvSpPr>
            <xdr:cNvPr id="54" name="Line 72"/>
            <xdr:cNvSpPr>
              <a:spLocks noChangeShapeType="1"/>
            </xdr:cNvSpPr>
          </xdr:nvSpPr>
          <xdr:spPr>
            <a:xfrm>
              <a:off x="925" y="866"/>
              <a:ext cx="16" cy="0"/>
            </a:xfrm>
            <a:prstGeom prst="lin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noFill/>
                </a14:hiddenFill>
              </a:ext>
            </a:extLst>
          </xdr:spPr>
        </xdr:sp>
        <xdr:sp>
          <xdr:nvSpPr>
            <xdr:cNvPr id="55" name="Line 73"/>
            <xdr:cNvSpPr>
              <a:spLocks noChangeShapeType="1"/>
            </xdr:cNvSpPr>
          </xdr:nvSpPr>
          <xdr:spPr>
            <a:xfrm>
              <a:off x="925" y="755"/>
              <a:ext cx="18" cy="0"/>
            </a:xfrm>
            <a:prstGeom prst="lin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noFill/>
                </a14:hiddenFill>
              </a:ext>
            </a:extLst>
          </xdr:spPr>
        </xdr:sp>
        <xdr:sp>
          <xdr:nvSpPr>
            <xdr:cNvPr id="56" name="Line 74"/>
            <xdr:cNvSpPr>
              <a:spLocks noChangeShapeType="1"/>
            </xdr:cNvSpPr>
          </xdr:nvSpPr>
          <xdr:spPr>
            <a:xfrm>
              <a:off x="924" y="1113"/>
              <a:ext cx="17" cy="0"/>
            </a:xfrm>
            <a:prstGeom prst="lin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noFill/>
                </a14:hiddenFill>
              </a:ext>
            </a:extLst>
          </xdr:spPr>
        </xdr:sp>
        <xdr:sp>
          <xdr:nvSpPr>
            <xdr:cNvPr id="57" name="Rectangle 75"/>
            <xdr:cNvSpPr>
              <a:spLocks noChangeArrowheads="1"/>
            </xdr:cNvSpPr>
          </xdr:nvSpPr>
          <xdr:spPr>
            <a:xfrm>
              <a:off x="936" y="1105"/>
              <a:ext cx="44" cy="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2860" rIns="27432" bIns="0" anchor="t" upright="1"/>
            <a:lstStyle/>
            <a:p>
              <a:pPr algn="ctr" rtl="0">
                <a:defRPr sz="1000"/>
              </a:pPr>
              <a:r>
                <a:rPr lang="zh-CN" altLang="en-US" sz="900" b="0" i="0" u="none" strike="noStrike" baseline="0">
                  <a:solidFill>
                    <a:srgbClr val="000000"/>
                  </a:solidFill>
                  <a:latin typeface="Times New Roman" panose="02020603050405020304" pitchFamily="12"/>
                  <a:cs typeface="Times New Roman" panose="02020603050405020304" pitchFamily="12"/>
                </a:rPr>
                <a:t>~1</a:t>
              </a:r>
              <a:r>
                <a:rPr lang="zh-CN" altLang="en-US" sz="900" b="0" i="0" u="none" strike="noStrike" baseline="0">
                  <a:solidFill>
                    <a:srgbClr val="000000"/>
                  </a:solidFill>
                  <a:latin typeface="宋体" panose="02010600030101010101" pitchFamily="7" charset="-122"/>
                  <a:ea typeface="宋体" panose="02010600030101010101" pitchFamily="7" charset="-122"/>
                  <a:cs typeface="Times New Roman" panose="02020603050405020304" pitchFamily="12"/>
                </a:rPr>
                <a:t>个月</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sp>
          <xdr:nvSpPr>
            <xdr:cNvPr id="58" name="Line 76"/>
            <xdr:cNvSpPr>
              <a:spLocks noChangeShapeType="1"/>
            </xdr:cNvSpPr>
          </xdr:nvSpPr>
          <xdr:spPr>
            <a:xfrm>
              <a:off x="923" y="1001"/>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noFill/>
                </a14:hiddenFill>
              </a:ext>
            </a:extLst>
          </xdr:spPr>
        </xdr:sp>
        <xdr:sp>
          <xdr:nvSpPr>
            <xdr:cNvPr id="59" name="Rectangle 77"/>
            <xdr:cNvSpPr>
              <a:spLocks noChangeArrowheads="1"/>
            </xdr:cNvSpPr>
          </xdr:nvSpPr>
          <xdr:spPr>
            <a:xfrm>
              <a:off x="936" y="994"/>
              <a:ext cx="48" cy="1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2860" rIns="27432" bIns="0" anchor="t" upright="1"/>
            <a:lstStyle/>
            <a:p>
              <a:pPr algn="ctr" rtl="0">
                <a:defRPr sz="1000"/>
              </a:pPr>
              <a:r>
                <a:rPr lang="zh-CN" altLang="en-US" sz="900" b="0" i="0" u="none" strike="noStrike" baseline="0">
                  <a:solidFill>
                    <a:srgbClr val="000000"/>
                  </a:solidFill>
                  <a:latin typeface="Times New Roman" panose="02020603050405020304" pitchFamily="12"/>
                  <a:cs typeface="Times New Roman" panose="02020603050405020304" pitchFamily="12"/>
                </a:rPr>
                <a:t>~10</a:t>
              </a:r>
              <a:r>
                <a:rPr lang="zh-CN" altLang="en-US" sz="900" b="0" i="0" u="none" strike="noStrike" baseline="0">
                  <a:solidFill>
                    <a:srgbClr val="000000"/>
                  </a:solidFill>
                  <a:latin typeface="宋体" panose="02010600030101010101" pitchFamily="7" charset="-122"/>
                  <a:ea typeface="宋体" panose="02010600030101010101" pitchFamily="7" charset="-122"/>
                  <a:cs typeface="Times New Roman" panose="02020603050405020304" pitchFamily="12"/>
                </a:rPr>
                <a:t>个月</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sp>
          <xdr:nvSpPr>
            <xdr:cNvPr id="60" name="Rectangle 78"/>
            <xdr:cNvSpPr>
              <a:spLocks noChangeArrowheads="1"/>
            </xdr:cNvSpPr>
          </xdr:nvSpPr>
          <xdr:spPr>
            <a:xfrm>
              <a:off x="936" y="969"/>
              <a:ext cx="43" cy="1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2860" rIns="0" bIns="0" anchor="t" upright="1"/>
            <a:lstStyle/>
            <a:p>
              <a:pPr algn="l" rtl="0">
                <a:defRPr sz="1000"/>
              </a:pPr>
              <a:r>
                <a:rPr lang="zh-CN" altLang="en-US" sz="900" b="0" i="0" u="none" strike="noStrike" baseline="0">
                  <a:solidFill>
                    <a:srgbClr val="000000"/>
                  </a:solidFill>
                  <a:latin typeface="Times New Roman" panose="02020603050405020304" pitchFamily="12"/>
                  <a:cs typeface="Times New Roman" panose="02020603050405020304" pitchFamily="12"/>
                </a:rPr>
                <a:t>~1</a:t>
              </a:r>
              <a:r>
                <a:rPr lang="zh-CN" altLang="en-US" sz="900" b="0" i="0" u="none" strike="noStrike" baseline="0">
                  <a:solidFill>
                    <a:srgbClr val="000000"/>
                  </a:solidFill>
                  <a:latin typeface="宋体" panose="02010600030101010101" pitchFamily="7" charset="-122"/>
                  <a:ea typeface="宋体" panose="02010600030101010101" pitchFamily="7" charset="-122"/>
                  <a:cs typeface="Times New Roman" panose="02020603050405020304" pitchFamily="12"/>
                </a:rPr>
                <a:t>年</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sp>
          <xdr:nvSpPr>
            <xdr:cNvPr id="61" name="Rectangle 79"/>
            <xdr:cNvSpPr>
              <a:spLocks noChangeArrowheads="1"/>
            </xdr:cNvSpPr>
          </xdr:nvSpPr>
          <xdr:spPr>
            <a:xfrm>
              <a:off x="936" y="857"/>
              <a:ext cx="43" cy="1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2860" rIns="0" bIns="0" anchor="t" upright="1"/>
            <a:lstStyle/>
            <a:p>
              <a:pPr algn="l" rtl="0">
                <a:defRPr sz="1000"/>
              </a:pPr>
              <a:r>
                <a:rPr lang="zh-CN" altLang="en-US" sz="900" b="0" i="0" u="none" strike="noStrike" baseline="0">
                  <a:solidFill>
                    <a:srgbClr val="000000"/>
                  </a:solidFill>
                  <a:latin typeface="Times New Roman" panose="02020603050405020304" pitchFamily="12"/>
                  <a:cs typeface="Times New Roman" panose="02020603050405020304" pitchFamily="12"/>
                </a:rPr>
                <a:t>~10</a:t>
              </a:r>
              <a:r>
                <a:rPr lang="zh-CN" altLang="en-US" sz="900" b="0" i="0" u="none" strike="noStrike" baseline="0">
                  <a:solidFill>
                    <a:srgbClr val="000000"/>
                  </a:solidFill>
                  <a:latin typeface="宋体" panose="02010600030101010101" pitchFamily="7" charset="-122"/>
                  <a:ea typeface="宋体" panose="02010600030101010101" pitchFamily="7" charset="-122"/>
                  <a:cs typeface="Times New Roman" panose="02020603050405020304" pitchFamily="12"/>
                </a:rPr>
                <a:t>年</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sp>
          <xdr:nvSpPr>
            <xdr:cNvPr id="62" name="Rectangle 80"/>
            <xdr:cNvSpPr>
              <a:spLocks noChangeArrowheads="1"/>
            </xdr:cNvSpPr>
          </xdr:nvSpPr>
          <xdr:spPr>
            <a:xfrm>
              <a:off x="936" y="747"/>
              <a:ext cx="50" cy="1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22860" rIns="0" bIns="0" anchor="t" upright="1"/>
            <a:lstStyle/>
            <a:p>
              <a:pPr algn="l" rtl="0">
                <a:defRPr sz="1000"/>
              </a:pPr>
              <a:r>
                <a:rPr lang="zh-CN" altLang="en-US" sz="900" b="0" i="0" u="none" strike="noStrike" baseline="0">
                  <a:solidFill>
                    <a:srgbClr val="000000"/>
                  </a:solidFill>
                  <a:latin typeface="Times New Roman" panose="02020603050405020304" pitchFamily="12"/>
                  <a:cs typeface="Times New Roman" panose="02020603050405020304" pitchFamily="12"/>
                </a:rPr>
                <a:t>~100</a:t>
              </a:r>
              <a:r>
                <a:rPr lang="zh-CN" altLang="en-US" sz="900" b="0" i="0" u="none" strike="noStrike" baseline="0">
                  <a:solidFill>
                    <a:srgbClr val="000000"/>
                  </a:solidFill>
                  <a:latin typeface="宋体" panose="02010600030101010101" pitchFamily="7" charset="-122"/>
                  <a:ea typeface="宋体" panose="02010600030101010101" pitchFamily="7" charset="-122"/>
                  <a:cs typeface="Times New Roman" panose="02020603050405020304" pitchFamily="12"/>
                </a:rPr>
                <a:t>年</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sp>
          <xdr:nvSpPr>
            <xdr:cNvPr id="63" name="Rectangle 81"/>
            <xdr:cNvSpPr>
              <a:spLocks noChangeArrowheads="1"/>
            </xdr:cNvSpPr>
          </xdr:nvSpPr>
          <xdr:spPr>
            <a:xfrm>
              <a:off x="422" y="1321"/>
              <a:ext cx="346" cy="2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ln>
          </xdr:spPr>
          <xdr:txBody>
            <a:bodyPr vertOverflow="clip" wrap="square" lIns="27432" tIns="18288" rIns="0" bIns="0" anchor="t" upright="1"/>
            <a:lstStyle/>
            <a:p>
              <a:pPr algn="l" rtl="0">
                <a:defRPr sz="1000"/>
              </a:pPr>
              <a:r>
                <a:rPr lang="zh-CN" altLang="en-US" sz="1100" b="0" i="0" u="none" strike="noStrike" baseline="0">
                  <a:solidFill>
                    <a:srgbClr val="000000"/>
                  </a:solidFill>
                  <a:latin typeface="宋体" panose="02010600030101010101" pitchFamily="7" charset="-122"/>
                  <a:ea typeface="宋体" panose="02010600030101010101" pitchFamily="7" charset="-122"/>
                </a:rPr>
                <a:t>漆包线的寿命和工作表面温度的关系（参考曲线）</a:t>
              </a:r>
              <a:endParaRPr lang="zh-CN" altLang="en-US" sz="1100" b="0" i="0" u="none" strike="noStrike" baseline="0">
                <a:solidFill>
                  <a:srgbClr val="000000"/>
                </a:solidFill>
                <a:latin typeface="宋体" panose="02010600030101010101" pitchFamily="7" charset="-122"/>
                <a:ea typeface="宋体" panose="02010600030101010101" pitchFamily="7" charset="-122"/>
              </a:endParaRPr>
            </a:p>
          </xdr:txBody>
        </xdr:sp>
        <xdr:sp>
          <xdr:nvSpPr>
            <xdr:cNvPr id="64" name="Rectangle 85"/>
            <xdr:cNvSpPr>
              <a:spLocks noChangeArrowheads="1"/>
            </xdr:cNvSpPr>
          </xdr:nvSpPr>
          <xdr:spPr>
            <a:xfrm>
              <a:off x="771" y="884"/>
              <a:ext cx="61" cy="3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27432" tIns="18288" rIns="27432" bIns="0" anchor="t" upright="1"/>
            <a:lstStyle/>
            <a:p>
              <a:pPr algn="ctr" rtl="0">
                <a:lnSpc>
                  <a:spcPts val="1000"/>
                </a:lnSpc>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漆包线的耐热级别</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grpSp>
      <xdr:sp>
        <xdr:nvSpPr>
          <xdr:cNvPr id="5" name="Text Box 90"/>
          <xdr:cNvSpPr txBox="1">
            <a:spLocks noChangeArrowheads="1"/>
          </xdr:cNvSpPr>
        </xdr:nvSpPr>
        <xdr:spPr>
          <a:xfrm>
            <a:off x="714" y="769"/>
            <a:ext cx="162" cy="28"/>
          </a:xfrm>
          <a:prstGeom prst="rect">
            <a:avLst/>
          </a:prstGeom>
          <a:solidFill>
            <a:srgbClr val="FFFFFF"/>
          </a:solidFill>
          <a:ln w="9525">
            <a:solidFill>
              <a:srgbClr xmlns:mc="http://schemas.openxmlformats.org/markup-compatibility/2006" xmlns:a14="http://schemas.microsoft.com/office/drawing/2010/main" val="FF0000" mc:Ignorable="a14" a14:legacySpreadsheetColorIndex="10"/>
            </a:solidFill>
            <a:miter lim="800000"/>
          </a:ln>
        </xdr:spPr>
        <xdr:txBody>
          <a:bodyPr vertOverflow="clip" wrap="square" lIns="27432" tIns="18288" rIns="27432" bIns="18288" anchor="ctr" upright="1"/>
          <a:lstStyle/>
          <a:p>
            <a:pPr algn="ctr" rtl="0">
              <a:defRPr sz="1000"/>
            </a:pPr>
            <a:r>
              <a:rPr lang="zh-CN" altLang="en-US" sz="1000" b="1" i="0" u="none" strike="noStrike" baseline="0">
                <a:solidFill>
                  <a:srgbClr val="FF0000"/>
                </a:solidFill>
                <a:latin typeface="宋体" panose="02010600030101010101" pitchFamily="7" charset="-122"/>
                <a:ea typeface="宋体" panose="02010600030101010101" pitchFamily="7" charset="-122"/>
              </a:rPr>
              <a:t>仅供参考，不做依据</a:t>
            </a:r>
            <a:endParaRPr lang="zh-CN" altLang="en-US" sz="1000" b="1" i="0" u="none" strike="noStrike" baseline="0">
              <a:solidFill>
                <a:srgbClr val="FF0000"/>
              </a:solidFill>
              <a:latin typeface="宋体" panose="02010600030101010101" pitchFamily="7" charset="-122"/>
              <a:ea typeface="宋体" panose="02010600030101010101" pitchFamily="7" charset="-122"/>
            </a:endParaRPr>
          </a:p>
        </xdr:txBody>
      </xdr:sp>
    </xdr:grpSp>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oneCellAnchor>
    <xdr:from>
      <xdr:col>4</xdr:col>
      <xdr:colOff>446314</xdr:colOff>
      <xdr:row>54</xdr:row>
      <xdr:rowOff>92529</xdr:rowOff>
    </xdr:from>
    <xdr:ext cx="2894150" cy="1938767"/>
    <xdr:pic>
      <xdr:nvPicPr>
        <xdr:cNvPr id="2" name="Picture 2"/>
        <xdr:cNvPicPr>
          <a:picLocks noChangeAspect="1"/>
        </xdr:cNvPicPr>
      </xdr:nvPicPr>
      <xdr:blipFill>
        <a:blip r:embed="rId1"/>
        <a:stretch>
          <a:fillRect/>
        </a:stretch>
      </xdr:blipFill>
      <xdr:spPr>
        <a:xfrm>
          <a:off x="5436870" y="9398000"/>
          <a:ext cx="2894330" cy="1938655"/>
        </a:xfrm>
        <a:prstGeom prst="rect">
          <a:avLst/>
        </a:prstGeom>
      </xdr:spPr>
    </xdr:pic>
    <xdr:clientData/>
  </xdr:oneCellAnchor>
  <xdr:oneCellAnchor>
    <xdr:from>
      <xdr:col>8</xdr:col>
      <xdr:colOff>28575</xdr:colOff>
      <xdr:row>51</xdr:row>
      <xdr:rowOff>133351</xdr:rowOff>
    </xdr:from>
    <xdr:ext cx="4597920" cy="3309504"/>
    <xdr:pic>
      <xdr:nvPicPr>
        <xdr:cNvPr id="3" name="图片 2"/>
        <xdr:cNvPicPr>
          <a:picLocks noChangeAspect="1"/>
        </xdr:cNvPicPr>
      </xdr:nvPicPr>
      <xdr:blipFill>
        <a:blip r:embed="rId2"/>
        <a:stretch>
          <a:fillRect/>
        </a:stretch>
      </xdr:blipFill>
      <xdr:spPr>
        <a:xfrm>
          <a:off x="8943975" y="8915400"/>
          <a:ext cx="4597400" cy="3308985"/>
        </a:xfrm>
        <a:prstGeom prst="rect">
          <a:avLst/>
        </a:prstGeom>
      </xdr:spPr>
    </xdr:pic>
    <xdr:clientData/>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145676</xdr:colOff>
      <xdr:row>39</xdr:row>
      <xdr:rowOff>100854</xdr:rowOff>
    </xdr:from>
    <xdr:to>
      <xdr:col>2</xdr:col>
      <xdr:colOff>274127</xdr:colOff>
      <xdr:row>43</xdr:row>
      <xdr:rowOff>95168</xdr:rowOff>
    </xdr:to>
    <xdr:pic>
      <xdr:nvPicPr>
        <xdr:cNvPr id="2" name="图片 1"/>
        <xdr:cNvPicPr>
          <a:picLocks noChangeAspect="1"/>
        </xdr:cNvPicPr>
      </xdr:nvPicPr>
      <xdr:blipFill>
        <a:blip r:embed="rId1"/>
        <a:stretch>
          <a:fillRect/>
        </a:stretch>
      </xdr:blipFill>
      <xdr:spPr>
        <a:xfrm>
          <a:off x="221615" y="7682230"/>
          <a:ext cx="3338195" cy="680085"/>
        </a:xfrm>
        <a:prstGeom prst="rect">
          <a:avLst/>
        </a:prstGeom>
      </xdr:spPr>
    </xdr:pic>
    <xdr:clientData/>
  </xdr:twoCellAnchor>
  <xdr:twoCellAnchor editAs="oneCell">
    <xdr:from>
      <xdr:col>6</xdr:col>
      <xdr:colOff>246529</xdr:colOff>
      <xdr:row>39</xdr:row>
      <xdr:rowOff>78442</xdr:rowOff>
    </xdr:from>
    <xdr:to>
      <xdr:col>8</xdr:col>
      <xdr:colOff>436033</xdr:colOff>
      <xdr:row>44</xdr:row>
      <xdr:rowOff>44823</xdr:rowOff>
    </xdr:to>
    <xdr:pic>
      <xdr:nvPicPr>
        <xdr:cNvPr id="3" name="图片 2"/>
        <xdr:cNvPicPr>
          <a:picLocks noChangeAspect="1"/>
        </xdr:cNvPicPr>
      </xdr:nvPicPr>
      <xdr:blipFill>
        <a:blip r:embed="rId2"/>
        <a:stretch>
          <a:fillRect/>
        </a:stretch>
      </xdr:blipFill>
      <xdr:spPr>
        <a:xfrm>
          <a:off x="8818880" y="7660005"/>
          <a:ext cx="2437130" cy="823595"/>
        </a:xfrm>
        <a:prstGeom prst="rect">
          <a:avLst/>
        </a:prstGeom>
      </xdr:spPr>
    </xdr:pic>
    <xdr:clientData/>
  </xdr:twoCellAnchor>
  <xdr:twoCellAnchor editAs="oneCell">
    <xdr:from>
      <xdr:col>8</xdr:col>
      <xdr:colOff>78442</xdr:colOff>
      <xdr:row>1</xdr:row>
      <xdr:rowOff>190500</xdr:rowOff>
    </xdr:from>
    <xdr:to>
      <xdr:col>12</xdr:col>
      <xdr:colOff>313856</xdr:colOff>
      <xdr:row>9</xdr:row>
      <xdr:rowOff>123265</xdr:rowOff>
    </xdr:to>
    <xdr:pic>
      <xdr:nvPicPr>
        <xdr:cNvPr id="4" name="图片 3"/>
        <xdr:cNvPicPr>
          <a:picLocks noChangeAspect="1"/>
        </xdr:cNvPicPr>
      </xdr:nvPicPr>
      <xdr:blipFill>
        <a:blip r:embed="rId3"/>
        <a:srcRect t="6418"/>
        <a:stretch>
          <a:fillRect/>
        </a:stretch>
      </xdr:blipFill>
      <xdr:spPr>
        <a:xfrm>
          <a:off x="10898505" y="657225"/>
          <a:ext cx="2978785" cy="1856740"/>
        </a:xfrm>
        <a:prstGeom prst="rect">
          <a:avLst/>
        </a:prstGeom>
      </xdr:spPr>
    </xdr:pic>
    <xdr:clientData/>
  </xdr:twoCellAnchor>
  <xdr:twoCellAnchor editAs="oneCell">
    <xdr:from>
      <xdr:col>8</xdr:col>
      <xdr:colOff>33618</xdr:colOff>
      <xdr:row>11</xdr:row>
      <xdr:rowOff>168090</xdr:rowOff>
    </xdr:from>
    <xdr:to>
      <xdr:col>12</xdr:col>
      <xdr:colOff>280988</xdr:colOff>
      <xdr:row>17</xdr:row>
      <xdr:rowOff>123266</xdr:rowOff>
    </xdr:to>
    <xdr:pic>
      <xdr:nvPicPr>
        <xdr:cNvPr id="5" name="图片 4"/>
        <xdr:cNvPicPr>
          <a:picLocks noChangeAspect="1"/>
        </xdr:cNvPicPr>
      </xdr:nvPicPr>
      <xdr:blipFill>
        <a:blip r:embed="rId4"/>
        <a:stretch>
          <a:fillRect/>
        </a:stretch>
      </xdr:blipFill>
      <xdr:spPr>
        <a:xfrm>
          <a:off x="10853420" y="2939415"/>
          <a:ext cx="2990850" cy="1098550"/>
        </a:xfrm>
        <a:prstGeom prst="rect">
          <a:avLst/>
        </a:prstGeom>
      </xdr:spPr>
    </xdr:pic>
    <xdr:clientData/>
  </xdr:twoCellAnchor>
  <xdr:twoCellAnchor editAs="oneCell">
    <xdr:from>
      <xdr:col>12</xdr:col>
      <xdr:colOff>0</xdr:colOff>
      <xdr:row>0</xdr:row>
      <xdr:rowOff>0</xdr:rowOff>
    </xdr:from>
    <xdr:to>
      <xdr:col>13</xdr:col>
      <xdr:colOff>389431</xdr:colOff>
      <xdr:row>2</xdr:row>
      <xdr:rowOff>137792</xdr:rowOff>
    </xdr:to>
    <xdr:pic>
      <xdr:nvPicPr>
        <xdr:cNvPr id="7" name="图片 6">
          <a:hlinkClick xmlns:r="http://schemas.openxmlformats.org/officeDocument/2006/relationships" r:id="rId5"/>
        </xdr:cNvPr>
        <xdr:cNvPicPr>
          <a:picLocks noChangeAspect="1"/>
        </xdr:cNvPicPr>
      </xdr:nvPicPr>
      <xdr:blipFill>
        <a:blip r:embed="rId6"/>
        <a:stretch>
          <a:fillRect/>
        </a:stretch>
      </xdr:blipFill>
      <xdr:spPr>
        <a:xfrm>
          <a:off x="13563600" y="0"/>
          <a:ext cx="1075055" cy="107061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161925</xdr:colOff>
          <xdr:row>1</xdr:row>
          <xdr:rowOff>28575</xdr:rowOff>
        </xdr:from>
        <xdr:to>
          <xdr:col>4</xdr:col>
          <xdr:colOff>390525</xdr:colOff>
          <xdr:row>3</xdr:row>
          <xdr:rowOff>0</xdr:rowOff>
        </xdr:to>
        <xdr:sp macro="[0]!计算分压_5">
          <xdr:nvSpPr>
            <xdr:cNvPr id="19457" name="Button 1" hidden="1">
              <a:extLst>
                <a:ext uri="{63B3BB69-23CF-44E3-9099-C40C66FF867C}">
                  <a14:compatExt spid="_x0000_s19457"/>
                </a:ext>
              </a:extLst>
            </xdr:cNvPr>
            <xdr:cNvSpPr/>
          </xdr:nvSpPr>
          <xdr:spPr>
            <a:xfrm>
              <a:off x="4600575" y="200025"/>
              <a:ext cx="1000125" cy="314325"/>
            </a:xfrm>
            <a:prstGeom prst="rect">
              <a:avLst/>
            </a:prstGeom>
          </xdr:spPr>
          <xdr:txBody>
            <a:bodyPr vertOverflow="clip" wrap="square" lIns="27432" tIns="18288" rIns="27432" bIns="18288" anchor="ctr" upright="1"/>
            <a:lstStyle/>
            <a:p>
              <a:pPr algn="ctr" rtl="0">
                <a:defRPr sz="1000"/>
              </a:pPr>
              <a:r>
                <a:rPr lang="zh-CN" altLang="en-US" sz="1100" b="0" i="0" u="none" strike="noStrike" baseline="0">
                  <a:solidFill>
                    <a:srgbClr val="000000"/>
                  </a:solidFill>
                  <a:latin typeface="宋体" panose="02010600030101010101" pitchFamily="7" charset="-122"/>
                  <a:ea typeface="宋体" panose="02010600030101010101" pitchFamily="7" charset="-122"/>
                </a:rPr>
                <a:t>用5%电阻算</a:t>
              </a:r>
              <a:endParaRPr lang="zh-CN" altLang="en-US" sz="1100" b="0" i="0" u="none" strike="noStrike" baseline="0">
                <a:solidFill>
                  <a:srgbClr val="000000"/>
                </a:solidFill>
                <a:latin typeface="宋体" panose="02010600030101010101" pitchFamily="7" charset="-122"/>
                <a:ea typeface="宋体" panose="02010600030101010101" pitchFamily="7" charset="-122"/>
              </a:endParaRP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161925</xdr:colOff>
          <xdr:row>3</xdr:row>
          <xdr:rowOff>85725</xdr:rowOff>
        </xdr:from>
        <xdr:to>
          <xdr:col>4</xdr:col>
          <xdr:colOff>371475</xdr:colOff>
          <xdr:row>5</xdr:row>
          <xdr:rowOff>57150</xdr:rowOff>
        </xdr:to>
        <xdr:sp macro="[0]!计算分压_1">
          <xdr:nvSpPr>
            <xdr:cNvPr id="19458" name="Button 2" hidden="1">
              <a:extLst>
                <a:ext uri="{63B3BB69-23CF-44E3-9099-C40C66FF867C}">
                  <a14:compatExt spid="_x0000_s19458"/>
                </a:ext>
              </a:extLst>
            </xdr:cNvPr>
            <xdr:cNvSpPr/>
          </xdr:nvSpPr>
          <xdr:spPr>
            <a:xfrm>
              <a:off x="4600575" y="600075"/>
              <a:ext cx="981075" cy="314325"/>
            </a:xfrm>
            <a:prstGeom prst="rect">
              <a:avLst/>
            </a:prstGeom>
          </xdr:spPr>
          <xdr:txBody>
            <a:bodyPr vertOverflow="clip" wrap="square" lIns="27432" tIns="18288" rIns="27432" bIns="18288" anchor="ctr" upright="1"/>
            <a:lstStyle/>
            <a:p>
              <a:pPr algn="ctr" rtl="0">
                <a:defRPr sz="1000"/>
              </a:pPr>
              <a:r>
                <a:rPr lang="zh-CN" altLang="en-US" sz="1100" b="0" i="0" u="none" strike="noStrike" baseline="0">
                  <a:solidFill>
                    <a:srgbClr val="000000"/>
                  </a:solidFill>
                  <a:latin typeface="宋体" panose="02010600030101010101" pitchFamily="7" charset="-122"/>
                  <a:ea typeface="宋体" panose="02010600030101010101" pitchFamily="7" charset="-122"/>
                </a:rPr>
                <a:t>用1%电阻算</a:t>
              </a:r>
              <a:endParaRPr lang="zh-CN" altLang="en-US" sz="1100" b="0" i="0" u="none" strike="noStrike" baseline="0">
                <a:solidFill>
                  <a:srgbClr val="000000"/>
                </a:solidFill>
                <a:latin typeface="宋体" panose="02010600030101010101" pitchFamily="7" charset="-122"/>
                <a:ea typeface="宋体" panose="02010600030101010101" pitchFamily="7" charset="-122"/>
              </a:endParaRP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95250</xdr:colOff>
          <xdr:row>15</xdr:row>
          <xdr:rowOff>28575</xdr:rowOff>
        </xdr:from>
        <xdr:to>
          <xdr:col>4</xdr:col>
          <xdr:colOff>533400</xdr:colOff>
          <xdr:row>16</xdr:row>
          <xdr:rowOff>152400</xdr:rowOff>
        </xdr:to>
        <xdr:sp macro="[0]!反计算并联电阻">
          <xdr:nvSpPr>
            <xdr:cNvPr id="19459" name="Button 3" hidden="1">
              <a:extLst>
                <a:ext uri="{63B3BB69-23CF-44E3-9099-C40C66FF867C}">
                  <a14:compatExt spid="_x0000_s19459"/>
                </a:ext>
              </a:extLst>
            </xdr:cNvPr>
            <xdr:cNvSpPr/>
          </xdr:nvSpPr>
          <xdr:spPr>
            <a:xfrm>
              <a:off x="4533900" y="2619375"/>
              <a:ext cx="1209675" cy="295275"/>
            </a:xfrm>
            <a:prstGeom prst="rect">
              <a:avLst/>
            </a:prstGeom>
          </xdr:spPr>
          <xdr:txBody>
            <a:bodyPr vertOverflow="clip" wrap="square" lIns="27432" tIns="18288" rIns="27432" bIns="18288" anchor="ctr" upright="1"/>
            <a:lstStyle/>
            <a:p>
              <a:pPr algn="ctr" rtl="0">
                <a:defRPr sz="1000"/>
              </a:pPr>
              <a:r>
                <a:rPr lang="zh-CN" altLang="en-US" sz="1100" b="0" i="0" u="none" strike="noStrike" baseline="0">
                  <a:solidFill>
                    <a:srgbClr val="000000"/>
                  </a:solidFill>
                  <a:latin typeface="宋体" panose="02010600030101010101" pitchFamily="7" charset="-122"/>
                  <a:ea typeface="宋体" panose="02010600030101010101" pitchFamily="7" charset="-122"/>
                </a:rPr>
                <a:t>反算并联电阻</a:t>
              </a:r>
              <a:endParaRPr lang="zh-CN" altLang="en-US" sz="1100" b="0" i="0" u="none" strike="noStrike" baseline="0">
                <a:solidFill>
                  <a:srgbClr val="000000"/>
                </a:solidFill>
                <a:latin typeface="宋体" panose="02010600030101010101" pitchFamily="7" charset="-122"/>
                <a:ea typeface="宋体" panose="02010600030101010101" pitchFamily="7" charset="-122"/>
              </a:endParaRPr>
            </a:p>
          </xdr:txBody>
        </xdr:sp>
        <xdr:clientData fPrintsWithSheet="0"/>
      </xdr:twoCellAnchor>
    </mc:Choice>
    <mc:Fallback/>
  </mc:AlternateContent>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314325</xdr:colOff>
      <xdr:row>13</xdr:row>
      <xdr:rowOff>19050</xdr:rowOff>
    </xdr:from>
    <xdr:to>
      <xdr:col>4</xdr:col>
      <xdr:colOff>685668</xdr:colOff>
      <xdr:row>15</xdr:row>
      <xdr:rowOff>47579</xdr:rowOff>
    </xdr:to>
    <xdr:pic>
      <xdr:nvPicPr>
        <xdr:cNvPr id="2" name="图片 1"/>
        <xdr:cNvPicPr>
          <a:picLocks noChangeAspect="1"/>
        </xdr:cNvPicPr>
      </xdr:nvPicPr>
      <xdr:blipFill>
        <a:blip r:embed="rId1"/>
        <a:stretch>
          <a:fillRect/>
        </a:stretch>
      </xdr:blipFill>
      <xdr:spPr>
        <a:xfrm>
          <a:off x="2838450" y="2247900"/>
          <a:ext cx="1056640" cy="370840"/>
        </a:xfrm>
        <a:prstGeom prst="rect">
          <a:avLst/>
        </a:prstGeom>
      </xdr:spPr>
    </xdr:pic>
    <xdr:clientData/>
  </xdr:twoCellAnchor>
  <xdr:twoCellAnchor editAs="oneCell">
    <xdr:from>
      <xdr:col>9</xdr:col>
      <xdr:colOff>0</xdr:colOff>
      <xdr:row>5</xdr:row>
      <xdr:rowOff>0</xdr:rowOff>
    </xdr:from>
    <xdr:to>
      <xdr:col>11</xdr:col>
      <xdr:colOff>323850</xdr:colOff>
      <xdr:row>17</xdr:row>
      <xdr:rowOff>150872</xdr:rowOff>
    </xdr:to>
    <xdr:pic>
      <xdr:nvPicPr>
        <xdr:cNvPr id="3" name="图片 2"/>
        <xdr:cNvPicPr>
          <a:picLocks noChangeAspect="1"/>
        </xdr:cNvPicPr>
      </xdr:nvPicPr>
      <xdr:blipFill>
        <a:blip r:embed="rId2"/>
        <a:stretch>
          <a:fillRect/>
        </a:stretch>
      </xdr:blipFill>
      <xdr:spPr>
        <a:xfrm>
          <a:off x="6858000" y="857250"/>
          <a:ext cx="1695450" cy="2207895"/>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4</xdr:col>
      <xdr:colOff>411788</xdr:colOff>
      <xdr:row>5</xdr:row>
      <xdr:rowOff>0</xdr:rowOff>
    </xdr:from>
    <xdr:to>
      <xdr:col>17</xdr:col>
      <xdr:colOff>168372</xdr:colOff>
      <xdr:row>17</xdr:row>
      <xdr:rowOff>116417</xdr:rowOff>
    </xdr:to>
    <xdr:sp>
      <xdr:nvSpPr>
        <xdr:cNvPr id="2" name="Rectangle 5"/>
        <xdr:cNvSpPr/>
      </xdr:nvSpPr>
      <xdr:spPr>
        <a:xfrm>
          <a:off x="3669030" y="771525"/>
          <a:ext cx="10320020" cy="20688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1987</xdr:colOff>
      <xdr:row>20</xdr:row>
      <xdr:rowOff>23176</xdr:rowOff>
    </xdr:from>
    <xdr:to>
      <xdr:col>11</xdr:col>
      <xdr:colOff>157415</xdr:colOff>
      <xdr:row>56</xdr:row>
      <xdr:rowOff>95250</xdr:rowOff>
    </xdr:to>
    <xdr:graphicFrame>
      <xdr:nvGraphicFramePr>
        <xdr:cNvPr id="3" name="Chart 4"/>
        <xdr:cNvGraphicFramePr/>
      </xdr:nvGraphicFramePr>
      <xdr:xfrm>
        <a:off x="3688080" y="3280410"/>
        <a:ext cx="6879590" cy="620649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283511</xdr:colOff>
      <xdr:row>20</xdr:row>
      <xdr:rowOff>28015</xdr:rowOff>
    </xdr:from>
    <xdr:to>
      <xdr:col>20</xdr:col>
      <xdr:colOff>504264</xdr:colOff>
      <xdr:row>48</xdr:row>
      <xdr:rowOff>147204</xdr:rowOff>
    </xdr:to>
    <xdr:graphicFrame>
      <xdr:nvGraphicFramePr>
        <xdr:cNvPr id="4" name="Chart 5"/>
        <xdr:cNvGraphicFramePr/>
      </xdr:nvGraphicFramePr>
      <xdr:xfrm>
        <a:off x="10694035" y="3285490"/>
        <a:ext cx="5688330" cy="485267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526675</xdr:colOff>
      <xdr:row>4</xdr:row>
      <xdr:rowOff>44824</xdr:rowOff>
    </xdr:from>
    <xdr:ext cx="2790265" cy="530658"/>
    <xdr:sp>
      <xdr:nvSpPr>
        <xdr:cNvPr id="5" name="TextBox 1"/>
        <xdr:cNvSpPr txBox="1"/>
      </xdr:nvSpPr>
      <xdr:spPr>
        <a:xfrm>
          <a:off x="831215" y="654050"/>
          <a:ext cx="2790190" cy="5308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b="1"/>
            <a:t>1 </a:t>
          </a:r>
          <a:r>
            <a:rPr lang="en-US" sz="1400" b="1"/>
            <a:t>Class-D</a:t>
          </a:r>
          <a:r>
            <a:rPr lang="en-US" sz="1400" b="1" baseline="0"/>
            <a:t> Configuration</a:t>
          </a:r>
          <a:endParaRPr lang="en-US" sz="2800" b="1"/>
        </a:p>
      </xdr:txBody>
    </xdr:sp>
    <xdr:clientData/>
  </xdr:oneCellAnchor>
  <xdr:oneCellAnchor>
    <xdr:from>
      <xdr:col>1</xdr:col>
      <xdr:colOff>533400</xdr:colOff>
      <xdr:row>39</xdr:row>
      <xdr:rowOff>50645</xdr:rowOff>
    </xdr:from>
    <xdr:ext cx="1561389" cy="530658"/>
    <xdr:sp>
      <xdr:nvSpPr>
        <xdr:cNvPr id="6" name="TextBox 6"/>
        <xdr:cNvSpPr txBox="1"/>
      </xdr:nvSpPr>
      <xdr:spPr>
        <a:xfrm>
          <a:off x="838200" y="6536690"/>
          <a:ext cx="1560830" cy="5308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t>3 </a:t>
          </a:r>
          <a:r>
            <a:rPr lang="en-US" sz="1400" b="1"/>
            <a:t>Graph</a:t>
          </a:r>
          <a:r>
            <a:rPr lang="en-US" sz="1400" b="1" baseline="0"/>
            <a:t> &amp; Verify</a:t>
          </a:r>
          <a:endParaRPr lang="en-US" sz="2800" b="1"/>
        </a:p>
      </xdr:txBody>
    </xdr:sp>
    <xdr:clientData/>
  </xdr:oneCellAnchor>
  <xdr:oneCellAnchor>
    <xdr:from>
      <xdr:col>12</xdr:col>
      <xdr:colOff>537579</xdr:colOff>
      <xdr:row>49</xdr:row>
      <xdr:rowOff>62853</xdr:rowOff>
    </xdr:from>
    <xdr:ext cx="1281826" cy="340071"/>
    <xdr:sp>
      <xdr:nvSpPr>
        <xdr:cNvPr id="7" name="TextBox 7"/>
        <xdr:cNvSpPr txBox="1"/>
      </xdr:nvSpPr>
      <xdr:spPr>
        <a:xfrm>
          <a:off x="11233785" y="8263255"/>
          <a:ext cx="1282065" cy="340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Graph</a:t>
          </a:r>
          <a:r>
            <a:rPr lang="en-US" sz="1400" b="1" baseline="0"/>
            <a:t> Settings</a:t>
          </a:r>
          <a:endParaRPr lang="en-US" sz="2800" b="1"/>
        </a:p>
      </xdr:txBody>
    </xdr:sp>
    <xdr:clientData/>
  </xdr:oneCellAnchor>
  <xdr:oneCellAnchor>
    <xdr:from>
      <xdr:col>5</xdr:col>
      <xdr:colOff>339334</xdr:colOff>
      <xdr:row>5</xdr:row>
      <xdr:rowOff>63264</xdr:rowOff>
    </xdr:from>
    <xdr:ext cx="1870640" cy="264560"/>
    <xdr:sp>
      <xdr:nvSpPr>
        <xdr:cNvPr id="8" name="TextBox 14"/>
        <xdr:cNvSpPr txBox="1"/>
      </xdr:nvSpPr>
      <xdr:spPr>
        <a:xfrm>
          <a:off x="4025265" y="834390"/>
          <a:ext cx="187071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baseline="0"/>
            <a:t>Single-Ended (SE) - AD or BD </a:t>
          </a:r>
          <a:endParaRPr lang="en-US" sz="1100" b="1"/>
        </a:p>
      </xdr:txBody>
    </xdr:sp>
    <xdr:clientData/>
  </xdr:oneCellAnchor>
  <xdr:oneCellAnchor>
    <xdr:from>
      <xdr:col>13</xdr:col>
      <xdr:colOff>226764</xdr:colOff>
      <xdr:row>5</xdr:row>
      <xdr:rowOff>63264</xdr:rowOff>
    </xdr:from>
    <xdr:ext cx="1551322" cy="264560"/>
    <xdr:sp>
      <xdr:nvSpPr>
        <xdr:cNvPr id="9" name="TextBox 12"/>
        <xdr:cNvSpPr txBox="1"/>
      </xdr:nvSpPr>
      <xdr:spPr>
        <a:xfrm>
          <a:off x="11609070" y="834390"/>
          <a:ext cx="155130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BTL - Hybrid </a:t>
          </a:r>
          <a:r>
            <a:rPr lang="en-US" sz="1100" b="1" baseline="0"/>
            <a:t>- AD Mode</a:t>
          </a:r>
          <a:endParaRPr lang="en-US" sz="1100" b="1"/>
        </a:p>
      </xdr:txBody>
    </xdr:sp>
    <xdr:clientData/>
  </xdr:oneCellAnchor>
  <xdr:oneCellAnchor>
    <xdr:from>
      <xdr:col>1</xdr:col>
      <xdr:colOff>516081</xdr:colOff>
      <xdr:row>25</xdr:row>
      <xdr:rowOff>26591</xdr:rowOff>
    </xdr:from>
    <xdr:ext cx="2216954" cy="530658"/>
    <xdr:sp>
      <xdr:nvSpPr>
        <xdr:cNvPr id="10" name="TextBox 16"/>
        <xdr:cNvSpPr txBox="1"/>
      </xdr:nvSpPr>
      <xdr:spPr>
        <a:xfrm>
          <a:off x="820420" y="4140835"/>
          <a:ext cx="2216785" cy="5308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t>2 </a:t>
          </a:r>
          <a:r>
            <a:rPr lang="en-US" sz="1400" b="1"/>
            <a:t>Calculated Components</a:t>
          </a:r>
          <a:endParaRPr lang="en-US" sz="2800" b="1"/>
        </a:p>
      </xdr:txBody>
    </xdr:sp>
    <xdr:clientData/>
  </xdr:oneCellAnchor>
  <xdr:oneCellAnchor>
    <xdr:from>
      <xdr:col>17</xdr:col>
      <xdr:colOff>341600</xdr:colOff>
      <xdr:row>12</xdr:row>
      <xdr:rowOff>138546</xdr:rowOff>
    </xdr:from>
    <xdr:ext cx="1776413" cy="752425"/>
    <mc:AlternateContent xmlns:mc="http://schemas.openxmlformats.org/markup-compatibility/2006">
      <mc:Choice xmlns:a14="http://schemas.microsoft.com/office/drawing/2010/main" Requires="a14">
        <xdr:sp>
          <xdr:nvSpPr>
            <xdr:cNvPr id="11" name="TextBox 3"/>
            <xdr:cNvSpPr txBox="1"/>
          </xdr:nvSpPr>
          <xdr:spPr>
            <a:xfrm>
              <a:off x="14161770" y="2052955"/>
              <a:ext cx="1776730" cy="75247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r>
                          <a:rPr lang="en-US" sz="1100" b="0" i="1">
                            <a:latin typeface="Cambria Math" panose="02040503050406030204"/>
                          </a:rPr>
                          <m:t>1</m:t>
                        </m:r>
                      </m:num>
                      <m:den>
                        <m:r>
                          <a:rPr lang="en-US" sz="1100" b="0" i="1">
                            <a:latin typeface="Cambria Math" panose="02040503050406030204"/>
                          </a:rPr>
                          <m:t>1</m:t>
                        </m:r>
                        <m:r>
                          <a:rPr lang="en-US" sz="1100" b="0" i="1">
                            <a:latin typeface="Cambria Math" panose="02040503050406030204"/>
                          </a:rPr>
                          <m:t>+</m:t>
                        </m:r>
                        <m:r>
                          <a:rPr lang="en-US" sz="1100" b="0" i="1">
                            <a:latin typeface="Cambria Math" panose="02040503050406030204"/>
                          </a:rPr>
                          <m:t>𝑠</m:t>
                        </m:r>
                        <m:r>
                          <a:rPr lang="en-US" sz="1100" b="0" i="1">
                            <a:latin typeface="Cambria Math" panose="02040503050406030204"/>
                            <a:ea typeface="Cambria Math" panose="02040503050406030204"/>
                          </a:rPr>
                          <m:t>∙</m:t>
                        </m:r>
                        <m:f>
                          <m:fPr>
                            <m:ctrlPr>
                              <a:rPr lang="en-US" sz="1100" b="0" i="1">
                                <a:latin typeface="Cambria Math" panose="02040503050406030204" pitchFamily="18" charset="0"/>
                                <a:ea typeface="Cambria Math" panose="02040503050406030204"/>
                              </a:rPr>
                            </m:ctrlPr>
                          </m:fPr>
                          <m:num>
                            <m:r>
                              <a:rPr lang="en-US" sz="1100" b="0" i="1">
                                <a:latin typeface="Cambria Math" panose="02040503050406030204"/>
                                <a:ea typeface="Cambria Math" panose="02040503050406030204"/>
                              </a:rPr>
                              <m:t>𝐿</m:t>
                            </m:r>
                          </m:num>
                          <m:den>
                            <m:sSub>
                              <m:sSubPr>
                                <m:ctrlPr>
                                  <a:rPr lang="en-US" sz="1100" b="0" i="1">
                                    <a:latin typeface="Cambria Math" panose="02040503050406030204" pitchFamily="18" charset="0"/>
                                    <a:ea typeface="Cambria Math" panose="02040503050406030204"/>
                                  </a:rPr>
                                </m:ctrlPr>
                              </m:sSubPr>
                              <m:e>
                                <m:r>
                                  <a:rPr lang="en-US" sz="1100" b="0" i="1">
                                    <a:latin typeface="Cambria Math" panose="02040503050406030204"/>
                                    <a:ea typeface="Cambria Math" panose="02040503050406030204"/>
                                  </a:rPr>
                                  <m:t>𝑅</m:t>
                                </m:r>
                              </m:e>
                              <m:sub>
                                <m:r>
                                  <a:rPr lang="en-US" sz="1100" b="0" i="1">
                                    <a:latin typeface="Cambria Math" panose="02040503050406030204"/>
                                    <a:ea typeface="Cambria Math" panose="02040503050406030204"/>
                                  </a:rPr>
                                  <m:t>𝐿𝑜𝑎𝑑</m:t>
                                </m:r>
                              </m:sub>
                            </m:sSub>
                          </m:den>
                        </m:f>
                        <m:r>
                          <a:rPr lang="en-US" sz="1100" b="0" i="1">
                            <a:latin typeface="Cambria Math" panose="02040503050406030204"/>
                            <a:ea typeface="Cambria Math" panose="02040503050406030204"/>
                          </a:rPr>
                          <m:t>+</m:t>
                        </m:r>
                        <m:r>
                          <a:rPr lang="en-US" sz="1100" b="0" i="1">
                            <a:latin typeface="Cambria Math" panose="02040503050406030204"/>
                            <a:ea typeface="Cambria Math" panose="02040503050406030204"/>
                          </a:rPr>
                          <m:t>𝐿</m:t>
                        </m:r>
                        <m:r>
                          <a:rPr lang="en-US" sz="1100" b="0" i="1">
                            <a:latin typeface="Cambria Math" panose="02040503050406030204"/>
                            <a:ea typeface="Cambria Math" panose="02040503050406030204"/>
                          </a:rPr>
                          <m:t>∙</m:t>
                        </m:r>
                        <m:r>
                          <a:rPr lang="en-US" sz="1100" b="0" i="1">
                            <a:latin typeface="Cambria Math" panose="02040503050406030204"/>
                            <a:ea typeface="Cambria Math" panose="02040503050406030204"/>
                          </a:rPr>
                          <m:t>𝐶</m:t>
                        </m:r>
                        <m:r>
                          <a:rPr lang="en-US" sz="1100" b="0" i="1">
                            <a:latin typeface="Cambria Math" panose="02040503050406030204"/>
                            <a:ea typeface="Cambria Math" panose="02040503050406030204"/>
                          </a:rPr>
                          <m:t>∙</m:t>
                        </m:r>
                        <m:sSup>
                          <m:sSupPr>
                            <m:ctrlPr>
                              <a:rPr lang="en-US" sz="1100" b="0" i="1">
                                <a:latin typeface="Cambria Math" panose="02040503050406030204" pitchFamily="18" charset="0"/>
                                <a:ea typeface="Cambria Math" panose="02040503050406030204"/>
                              </a:rPr>
                            </m:ctrlPr>
                          </m:sSupPr>
                          <m:e>
                            <m:r>
                              <a:rPr lang="en-US" sz="1100" b="0" i="1">
                                <a:latin typeface="Cambria Math" panose="02040503050406030204"/>
                                <a:ea typeface="Cambria Math" panose="02040503050406030204"/>
                              </a:rPr>
                              <m:t>𝑠</m:t>
                            </m:r>
                          </m:e>
                          <m:sup>
                            <m:r>
                              <a:rPr lang="en-US" sz="1100" b="0" i="1">
                                <a:latin typeface="Cambria Math" panose="02040503050406030204"/>
                                <a:ea typeface="Cambria Math" panose="02040503050406030204"/>
                              </a:rPr>
                              <m:t>2</m:t>
                            </m:r>
                          </m:sup>
                        </m:sSup>
                      </m:den>
                    </m:f>
                  </m:oMath>
                </m:oMathPara>
              </a14:m>
              <a:endParaRPr lang="en-US" sz="1100"/>
            </a:p>
          </xdr:txBody>
        </xdr:sp>
      </mc:Choice>
      <mc:Fallback>
        <xdr:sp>
          <xdr:nvSpPr>
            <xdr:cNvPr id="11" name="TextBox 3"/>
            <xdr:cNvSpPr txBox="1"/>
          </xdr:nvSpPr>
          <xdr:spPr>
            <a:xfrm>
              <a:off x="14161770" y="2052955"/>
              <a:ext cx="1776730" cy="75247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US" sz="1100" b="0">
                  <a:latin typeface="Cambria Math" panose="02040503050406030204"/>
                </a:rPr>
                <a:t>1</a:t>
              </a:r>
              <a:r>
                <a:rPr lang="en-US" sz="1100">
                  <a:latin typeface="Cambria Math" panose="02040503050406030204" pitchFamily="18" charset="0"/>
                </a:rPr>
                <a:t>/</a:t>
              </a:r>
              <a:r>
                <a:rPr lang="en-US" sz="1100" b="0">
                  <a:latin typeface="Cambria Math" panose="02040503050406030204"/>
                </a:rPr>
                <a:t>1</a:t>
              </a:r>
              <a:r>
                <a:rPr lang="en-US" sz="1100" b="0">
                  <a:latin typeface="Cambria Math" panose="02040503050406030204"/>
                </a:rPr>
                <a:t>+</a:t>
              </a:r>
              <a:r>
                <a:rPr lang="en-US" sz="1100" b="0">
                  <a:latin typeface="Cambria Math" panose="02040503050406030204"/>
                </a:rPr>
                <a:t>𝑠</a:t>
              </a:r>
              <a:r>
                <a:rPr lang="en-US" sz="1100" b="0">
                  <a:latin typeface="Cambria Math" panose="02040503050406030204"/>
                  <a:ea typeface="Cambria Math" panose="02040503050406030204"/>
                </a:rPr>
                <a:t>∙</a:t>
              </a:r>
              <a:r>
                <a:rPr lang="en-US" sz="1100" b="0">
                  <a:latin typeface="Cambria Math" panose="02040503050406030204"/>
                  <a:ea typeface="Cambria Math" panose="02040503050406030204"/>
                </a:rPr>
                <a:t>𝐿</a:t>
              </a:r>
              <a:r>
                <a:rPr lang="en-US" sz="1100" b="0">
                  <a:latin typeface="Cambria Math" panose="02040503050406030204" pitchFamily="18" charset="0"/>
                  <a:ea typeface="Cambria Math" panose="02040503050406030204"/>
                </a:rPr>
                <a:t>/</a:t>
              </a:r>
              <a:r>
                <a:rPr lang="en-US" sz="1100" b="0">
                  <a:latin typeface="Cambria Math" panose="02040503050406030204"/>
                  <a:ea typeface="Cambria Math" panose="02040503050406030204"/>
                </a:rPr>
                <a:t>𝑅</a:t>
              </a:r>
              <a:r>
                <a:rPr lang="en-US" sz="1100" b="0">
                  <a:latin typeface="Cambria Math" panose="02040503050406030204" pitchFamily="18" charset="0"/>
                  <a:ea typeface="Cambria Math" panose="02040503050406030204"/>
                </a:rPr>
                <a:t>_</a:t>
              </a:r>
              <a:r>
                <a:rPr lang="en-US" sz="1100" b="0">
                  <a:latin typeface="Cambria Math" panose="02040503050406030204"/>
                  <a:ea typeface="Cambria Math" panose="02040503050406030204"/>
                </a:rPr>
                <a:t>𝐿𝑜𝑎𝑑</a:t>
              </a:r>
              <a:r>
                <a:rPr lang="en-US" sz="1100" b="0">
                  <a:latin typeface="Cambria Math" panose="02040503050406030204"/>
                  <a:ea typeface="Cambria Math" panose="02040503050406030204"/>
                </a:rPr>
                <a:t>+</a:t>
              </a:r>
              <a:r>
                <a:rPr lang="en-US" sz="1100" b="0">
                  <a:latin typeface="Cambria Math" panose="02040503050406030204"/>
                  <a:ea typeface="Cambria Math" panose="02040503050406030204"/>
                </a:rPr>
                <a:t>𝐿</a:t>
              </a:r>
              <a:r>
                <a:rPr lang="en-US" sz="1100" b="0">
                  <a:latin typeface="Cambria Math" panose="02040503050406030204"/>
                  <a:ea typeface="Cambria Math" panose="02040503050406030204"/>
                </a:rPr>
                <a:t>∙</a:t>
              </a:r>
              <a:r>
                <a:rPr lang="en-US" sz="1100" b="0">
                  <a:latin typeface="Cambria Math" panose="02040503050406030204"/>
                  <a:ea typeface="Cambria Math" panose="02040503050406030204"/>
                </a:rPr>
                <a:t>𝐶</a:t>
              </a:r>
              <a:r>
                <a:rPr lang="en-US" sz="1100" b="0">
                  <a:latin typeface="Cambria Math" panose="02040503050406030204"/>
                  <a:ea typeface="Cambria Math" panose="02040503050406030204"/>
                </a:rPr>
                <a:t>∙</a:t>
              </a:r>
              <a:r>
                <a:rPr lang="en-US" sz="1100" b="0">
                  <a:latin typeface="Cambria Math" panose="02040503050406030204"/>
                  <a:ea typeface="Cambria Math" panose="02040503050406030204"/>
                </a:rPr>
                <a:t>𝑠</a:t>
              </a:r>
              <a:r>
                <a:rPr lang="en-US" sz="1100" b="0">
                  <a:latin typeface="Cambria Math" panose="02040503050406030204" pitchFamily="18" charset="0"/>
                  <a:ea typeface="Cambria Math" panose="02040503050406030204"/>
                </a:rPr>
                <a:t>^</a:t>
              </a:r>
              <a:r>
                <a:rPr lang="en-US" sz="1100" b="0">
                  <a:latin typeface="Cambria Math" panose="02040503050406030204"/>
                  <a:ea typeface="Cambria Math" panose="02040503050406030204"/>
                </a:rPr>
                <a:t>2</a:t>
              </a:r>
              <a:endParaRPr lang="en-US" sz="1100"/>
            </a:p>
          </xdr:txBody>
        </xdr:sp>
      </mc:Fallback>
    </mc:AlternateContent>
    <xdr:clientData/>
  </xdr:oneCellAnchor>
  <xdr:oneCellAnchor>
    <xdr:from>
      <xdr:col>17</xdr:col>
      <xdr:colOff>263238</xdr:colOff>
      <xdr:row>11</xdr:row>
      <xdr:rowOff>54552</xdr:rowOff>
    </xdr:from>
    <xdr:ext cx="1214371" cy="264560"/>
    <xdr:sp>
      <xdr:nvSpPr>
        <xdr:cNvPr id="12" name="TextBox 4"/>
        <xdr:cNvSpPr txBox="1"/>
      </xdr:nvSpPr>
      <xdr:spPr>
        <a:xfrm>
          <a:off x="14083665" y="1806575"/>
          <a:ext cx="121412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Transfer Function</a:t>
          </a:r>
          <a:endParaRPr lang="en-US" sz="1100" b="1"/>
        </a:p>
      </xdr:txBody>
    </xdr:sp>
    <xdr:clientData/>
  </xdr:oneCellAnchor>
  <mc:AlternateContent xmlns:mc="http://schemas.openxmlformats.org/markup-compatibility/2006">
    <mc:Choice xmlns:a14="http://schemas.microsoft.com/office/drawing/2010/main" Requires="a14">
      <xdr:twoCellAnchor editAs="oneCell">
        <xdr:from>
          <xdr:col>10</xdr:col>
          <xdr:colOff>228600</xdr:colOff>
          <xdr:row>6</xdr:row>
          <xdr:rowOff>57150</xdr:rowOff>
        </xdr:from>
        <xdr:to>
          <xdr:col>12</xdr:col>
          <xdr:colOff>266700</xdr:colOff>
          <xdr:row>16</xdr:row>
          <xdr:rowOff>19050</xdr:rowOff>
        </xdr:to>
        <xdr:sp>
          <xdr:nvSpPr>
            <xdr:cNvPr id="40961" name="Object 1" hidden="1">
              <a:extLst>
                <a:ext uri="{63B3BB69-23CF-44E3-9099-C40C66FF867C}">
                  <a14:compatExt spid="_x0000_s40961"/>
                </a:ext>
              </a:extLst>
            </xdr:cNvPr>
            <xdr:cNvSpPr/>
          </xdr:nvSpPr>
          <xdr:spPr>
            <a:xfrm>
              <a:off x="9153525" y="990600"/>
              <a:ext cx="1809750" cy="15906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238125</xdr:colOff>
          <xdr:row>6</xdr:row>
          <xdr:rowOff>114300</xdr:rowOff>
        </xdr:from>
        <xdr:to>
          <xdr:col>16</xdr:col>
          <xdr:colOff>495300</xdr:colOff>
          <xdr:row>16</xdr:row>
          <xdr:rowOff>57150</xdr:rowOff>
        </xdr:to>
        <xdr:sp>
          <xdr:nvSpPr>
            <xdr:cNvPr id="40962" name="Object 2" hidden="1">
              <a:extLst>
                <a:ext uri="{63B3BB69-23CF-44E3-9099-C40C66FF867C}">
                  <a14:compatExt spid="_x0000_s40962"/>
                </a:ext>
              </a:extLst>
            </xdr:cNvPr>
            <xdr:cNvSpPr/>
          </xdr:nvSpPr>
          <xdr:spPr>
            <a:xfrm>
              <a:off x="11620500" y="1047750"/>
              <a:ext cx="2057400" cy="1571625"/>
            </a:xfrm>
            <a:prstGeom prst="rect">
              <a:avLst/>
            </a:prstGeom>
          </xdr:spPr>
        </xdr:sp>
        <xdr:clientData/>
      </xdr:twoCellAnchor>
    </mc:Choice>
    <mc:Fallback/>
  </mc:AlternateContent>
  <xdr:oneCellAnchor>
    <xdr:from>
      <xdr:col>9</xdr:col>
      <xdr:colOff>311728</xdr:colOff>
      <xdr:row>5</xdr:row>
      <xdr:rowOff>63264</xdr:rowOff>
    </xdr:from>
    <xdr:ext cx="2458302" cy="264560"/>
    <xdr:sp>
      <xdr:nvSpPr>
        <xdr:cNvPr id="15" name="TextBox 2"/>
        <xdr:cNvSpPr txBox="1"/>
      </xdr:nvSpPr>
      <xdr:spPr>
        <a:xfrm>
          <a:off x="8550275" y="834390"/>
          <a:ext cx="245872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BTL </a:t>
          </a:r>
          <a:r>
            <a:rPr lang="en-US" sz="1100" b="1" baseline="0"/>
            <a:t>- Common Mode  - BD or AD Mode</a:t>
          </a:r>
          <a:endParaRPr lang="en-US" sz="1100" b="1"/>
        </a:p>
      </xdr:txBody>
    </xdr:sp>
    <xdr:clientData/>
  </xdr:oneCellAnchor>
  <mc:AlternateContent xmlns:mc="http://schemas.openxmlformats.org/markup-compatibility/2006">
    <mc:Choice xmlns:a14="http://schemas.microsoft.com/office/drawing/2010/main" Requires="a14">
      <xdr:twoCellAnchor editAs="oneCell">
        <xdr:from>
          <xdr:col>5</xdr:col>
          <xdr:colOff>409575</xdr:colOff>
          <xdr:row>7</xdr:row>
          <xdr:rowOff>114300</xdr:rowOff>
        </xdr:from>
        <xdr:to>
          <xdr:col>6</xdr:col>
          <xdr:colOff>1428750</xdr:colOff>
          <xdr:row>14</xdr:row>
          <xdr:rowOff>9525</xdr:rowOff>
        </xdr:to>
        <xdr:sp>
          <xdr:nvSpPr>
            <xdr:cNvPr id="40963" name="Object 3" hidden="1">
              <a:extLst>
                <a:ext uri="{63B3BB69-23CF-44E3-9099-C40C66FF867C}">
                  <a14:compatExt spid="_x0000_s40963"/>
                </a:ext>
              </a:extLst>
            </xdr:cNvPr>
            <xdr:cNvSpPr/>
          </xdr:nvSpPr>
          <xdr:spPr>
            <a:xfrm>
              <a:off x="4095750" y="1219200"/>
              <a:ext cx="2009775" cy="1028700"/>
            </a:xfrm>
            <a:prstGeom prst="rect">
              <a:avLst/>
            </a:prstGeom>
          </xdr:spPr>
        </xdr:sp>
        <xdr:clientData/>
      </xdr:twoCellAnchor>
    </mc:Choice>
    <mc:Fallback/>
  </mc:AlternateContent>
  <xdr:oneCellAnchor>
    <xdr:from>
      <xdr:col>6</xdr:col>
      <xdr:colOff>1537856</xdr:colOff>
      <xdr:row>5</xdr:row>
      <xdr:rowOff>63264</xdr:rowOff>
    </xdr:from>
    <xdr:ext cx="1827873" cy="264560"/>
    <xdr:sp>
      <xdr:nvSpPr>
        <xdr:cNvPr id="17" name="TextBox 17"/>
        <xdr:cNvSpPr txBox="1"/>
      </xdr:nvSpPr>
      <xdr:spPr>
        <a:xfrm>
          <a:off x="6214110" y="834390"/>
          <a:ext cx="182816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BTL - Differential -</a:t>
          </a:r>
          <a:r>
            <a:rPr lang="en-US" sz="1100" b="1" baseline="0"/>
            <a:t> AD Mode</a:t>
          </a:r>
          <a:endParaRPr lang="en-US" sz="1100" b="1"/>
        </a:p>
      </xdr:txBody>
    </xdr:sp>
    <xdr:clientData/>
  </xdr:oneCellAnchor>
  <mc:AlternateContent xmlns:mc="http://schemas.openxmlformats.org/markup-compatibility/2006">
    <mc:Choice xmlns:a14="http://schemas.microsoft.com/office/drawing/2010/main" Requires="a14">
      <xdr:twoCellAnchor editAs="oneCell">
        <xdr:from>
          <xdr:col>6</xdr:col>
          <xdr:colOff>1600200</xdr:colOff>
          <xdr:row>7</xdr:row>
          <xdr:rowOff>38100</xdr:rowOff>
        </xdr:from>
        <xdr:to>
          <xdr:col>8</xdr:col>
          <xdr:colOff>676275</xdr:colOff>
          <xdr:row>15</xdr:row>
          <xdr:rowOff>76200</xdr:rowOff>
        </xdr:to>
        <xdr:sp>
          <xdr:nvSpPr>
            <xdr:cNvPr id="40964" name="Object 4" hidden="1">
              <a:extLst>
                <a:ext uri="{63B3BB69-23CF-44E3-9099-C40C66FF867C}">
                  <a14:compatExt spid="_x0000_s40964"/>
                </a:ext>
              </a:extLst>
            </xdr:cNvPr>
            <xdr:cNvSpPr/>
          </xdr:nvSpPr>
          <xdr:spPr>
            <a:xfrm>
              <a:off x="6276975" y="1143000"/>
              <a:ext cx="1952625" cy="1333500"/>
            </a:xfrm>
            <a:prstGeom prst="rect">
              <a:avLst/>
            </a:prstGeom>
          </xdr:spPr>
        </xdr:sp>
        <xdr:clientData/>
      </xdr:twoCellAnchor>
    </mc:Choice>
    <mc:Fallback/>
  </mc:AlternateContent>
</xdr:wsDr>
</file>

<file path=xl/drawings/drawing7.xml><?xml version="1.0" encoding="utf-8"?>
<c:userShapes xmlns:c="http://schemas.openxmlformats.org/drawingml/2006/chart">
  <cdr:relSizeAnchor xmlns:cdr="http://schemas.openxmlformats.org/drawingml/2006/chartDrawing">
    <cdr:from>
      <cdr:x>0.09908</cdr:x>
      <cdr:y>0.91911</cdr:y>
    </cdr:from>
    <cdr:to>
      <cdr:x>0.83932</cdr:x>
      <cdr:y>0.91911</cdr:y>
    </cdr:to>
    <cdr:cxnSp>
      <cdr:nvCxnSpPr>
        <cdr:cNvPr id="2" name="直接连接符 1"/>
        <cdr:cNvCxnSpPr/>
      </cdr:nvCxnSpPr>
      <cdr:spPr xmlns:a="http://schemas.openxmlformats.org/drawingml/2006/main">
        <a:xfrm xmlns:a="http://schemas.openxmlformats.org/drawingml/2006/main">
          <a:off x="532068" y="4355491"/>
          <a:ext cx="3975246" cy="0"/>
        </a:xfrm>
        <a:prstGeom xmlns:a="http://schemas.openxmlformats.org/drawingml/2006/main" prst="line">
          <a:avLst/>
        </a:prstGeom>
        <a:ln w="19050">
          <a:solidFill>
            <a:sysClr val="windowText" lastClr="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xdr:wsDr xmlns:xdr="http://schemas.openxmlformats.org/drawingml/2006/spreadsheetDrawing" xmlns:r="http://schemas.openxmlformats.org/officeDocument/2006/relationships" xmlns:a="http://schemas.openxmlformats.org/drawingml/2006/main">
  <xdr:oneCellAnchor>
    <xdr:from>
      <xdr:col>7</xdr:col>
      <xdr:colOff>444313</xdr:colOff>
      <xdr:row>4</xdr:row>
      <xdr:rowOff>11206</xdr:rowOff>
    </xdr:from>
    <xdr:ext cx="3841158" cy="3585322"/>
    <xdr:pic>
      <xdr:nvPicPr>
        <xdr:cNvPr id="2" name="图片 1"/>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7559040" y="696595"/>
          <a:ext cx="3841115" cy="35852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223629</xdr:colOff>
      <xdr:row>18</xdr:row>
      <xdr:rowOff>7453</xdr:rowOff>
    </xdr:from>
    <xdr:to>
      <xdr:col>6</xdr:col>
      <xdr:colOff>16564</xdr:colOff>
      <xdr:row>36</xdr:row>
      <xdr:rowOff>16564</xdr:rowOff>
    </xdr:to>
    <xdr:graphicFrame>
      <xdr:nvGraphicFramePr>
        <xdr:cNvPr id="3" name="图表 2"/>
        <xdr:cNvGraphicFramePr/>
      </xdr:nvGraphicFramePr>
      <xdr:xfrm>
        <a:off x="223520" y="4340860"/>
        <a:ext cx="6222365" cy="40957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0</xdr:col>
      <xdr:colOff>223629</xdr:colOff>
      <xdr:row>14</xdr:row>
      <xdr:rowOff>7453</xdr:rowOff>
    </xdr:from>
    <xdr:to>
      <xdr:col>6</xdr:col>
      <xdr:colOff>16564</xdr:colOff>
      <xdr:row>32</xdr:row>
      <xdr:rowOff>16564</xdr:rowOff>
    </xdr:to>
    <xdr:graphicFrame>
      <xdr:nvGraphicFramePr>
        <xdr:cNvPr id="2" name="图表 1"/>
        <xdr:cNvGraphicFramePr/>
      </xdr:nvGraphicFramePr>
      <xdr:xfrm>
        <a:off x="223520" y="3655060"/>
        <a:ext cx="6231890" cy="41624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317341</xdr:colOff>
      <xdr:row>0</xdr:row>
      <xdr:rowOff>0</xdr:rowOff>
    </xdr:from>
    <xdr:ext cx="2717772" cy="3809440"/>
    <xdr:pic>
      <xdr:nvPicPr>
        <xdr:cNvPr id="3" name="图片 2"/>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8127365" y="0"/>
          <a:ext cx="2717800" cy="380936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31867;&#21151;&#25918;LC&#28388;&#2787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E&#34255;&#32463;&#38401;-&#30005;&#36335;&#35745;&#31639;Excel&#21512;&#38598;.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alculations"/>
      <sheetName val="Dropdowns"/>
      <sheetName val="Authors"/>
    </sheetNames>
    <sheetDataSet>
      <sheetData sheetId="0">
        <row r="7">
          <cell r="J7">
            <v>1.36e-6</v>
          </cell>
        </row>
      </sheetData>
      <sheetData sheetId="1">
        <row r="1">
          <cell r="A1" t="str">
            <v>Filter</v>
          </cell>
        </row>
        <row r="2">
          <cell r="A2" t="str">
            <v>Single-Ended</v>
          </cell>
        </row>
        <row r="3">
          <cell r="A3" t="str">
            <v>Differential</v>
          </cell>
        </row>
        <row r="4">
          <cell r="A4" t="str">
            <v>Common Mode</v>
          </cell>
        </row>
        <row r="5">
          <cell r="A5" t="str">
            <v>Hybrid</v>
          </cell>
        </row>
      </sheetData>
      <sheetData sheetId="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物质电阻率表"/>
      <sheetName val="AWG(美标)与SWG(标准线规)"/>
      <sheetName val="目录0922"/>
      <sheetName val="目录"/>
      <sheetName val="电阻 电容 并联,电抗计算"/>
      <sheetName val="MOS选型（待优化）"/>
      <sheetName val="压敏电阻选型"/>
      <sheetName val="TVS选型（待补充）"/>
      <sheetName val="电阻噪声计算"/>
      <sheetName val="放大器配置常用设计公式"/>
      <sheetName val="运放的闪烁噪声"/>
      <sheetName val="运放噪声计算"/>
      <sheetName val="PIC(待补充)"/>
      <sheetName val="电容RC充电计算器"/>
      <sheetName val="电容RC放电计算器 "/>
      <sheetName val="典型电路计算"/>
      <sheetName val="数组"/>
      <sheetName val="Sheet1"/>
      <sheetName val="仪表类"/>
      <sheetName val="一般计算公式"/>
      <sheetName val="进制转换"/>
      <sheetName val="ASCCII"/>
      <sheetName val="电阻表-可选电阻"/>
      <sheetName val="计算采样电路"/>
      <sheetName val="AWG载流量查询表+SWG_AWG线规对照表"/>
      <sheetName val="PCB过孔电流计算器"/>
      <sheetName val="D类功放L-C滤波器设计"/>
      <sheetName val="单板MTBF计算模板"/>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ow r="12">
          <cell r="D12" t="str">
            <v>Differential</v>
          </cell>
        </row>
        <row r="16">
          <cell r="D16" t="e">
            <v>#VALUE!</v>
          </cell>
        </row>
        <row r="21">
          <cell r="D21">
            <v>4</v>
          </cell>
        </row>
        <row r="23">
          <cell r="D23">
            <v>40</v>
          </cell>
        </row>
        <row r="25">
          <cell r="D25">
            <v>0.707</v>
          </cell>
        </row>
        <row r="52">
          <cell r="R52">
            <v>2</v>
          </cell>
        </row>
        <row r="53">
          <cell r="R53">
            <v>3</v>
          </cell>
        </row>
        <row r="54">
          <cell r="R54">
            <v>4</v>
          </cell>
        </row>
        <row r="55">
          <cell r="R55">
            <v>6</v>
          </cell>
        </row>
        <row r="56">
          <cell r="R56">
            <v>8</v>
          </cell>
        </row>
      </sheetData>
      <sheetData sheetId="27" refreshError="1"/>
    </sheetDataSet>
  </externalBook>
</externalLink>
</file>

<file path=xl/queryTables/queryTable1.xml><?xml version="1.0" encoding="utf-8"?>
<queryTable xmlns="http://schemas.openxmlformats.org/spreadsheetml/2006/main" name="电阻表_1"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9" Type="http://schemas.openxmlformats.org/officeDocument/2006/relationships/oleObject" Target="../embeddings/Microsoft_Visio_2003-2010___4.vsd"/><Relationship Id="rId8" Type="http://schemas.openxmlformats.org/officeDocument/2006/relationships/image" Target="../media/image14.emf"/><Relationship Id="rId7" Type="http://schemas.openxmlformats.org/officeDocument/2006/relationships/oleObject" Target="../embeddings/Microsoft_Visio_2003-2010___3.vsd"/><Relationship Id="rId6" Type="http://schemas.openxmlformats.org/officeDocument/2006/relationships/image" Target="../media/image13.emf"/><Relationship Id="rId5" Type="http://schemas.openxmlformats.org/officeDocument/2006/relationships/oleObject" Target="../embeddings/Microsoft_Visio_2003-2010___2.vsd"/><Relationship Id="rId4" Type="http://schemas.openxmlformats.org/officeDocument/2006/relationships/image" Target="../media/image12.emf"/><Relationship Id="rId3" Type="http://schemas.openxmlformats.org/officeDocument/2006/relationships/oleObject" Target="../embeddings/Microsoft_Visio_2003-2010___1.vsd"/><Relationship Id="rId2" Type="http://schemas.openxmlformats.org/officeDocument/2006/relationships/vmlDrawing" Target="../drawings/vmlDrawing4.vml"/><Relationship Id="rId11" Type="http://schemas.openxmlformats.org/officeDocument/2006/relationships/vmlDrawing" Target="../drawings/vmlDrawing5.vml"/><Relationship Id="rId10" Type="http://schemas.openxmlformats.org/officeDocument/2006/relationships/image" Target="../media/image15.emf"/><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4" Type="http://schemas.openxmlformats.org/officeDocument/2006/relationships/image" Target="../media/image19.wmf"/><Relationship Id="rId3" Type="http://schemas.openxmlformats.org/officeDocument/2006/relationships/oleObject" Target="../embeddings/oleObject1.bin"/><Relationship Id="rId2" Type="http://schemas.openxmlformats.org/officeDocument/2006/relationships/vmlDrawing" Target="../drawings/vmlDrawing7.vml"/><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7" Type="http://schemas.openxmlformats.org/officeDocument/2006/relationships/hyperlink" Target="http://e2e.ti.com/blogs_/b/thesignal/archive/2013/02/10/op-amp-noise-but-what-about-the-feedback.aspx" TargetMode="External"/><Relationship Id="rId6" Type="http://schemas.openxmlformats.org/officeDocument/2006/relationships/hyperlink" Target="http://www.ti.com/thesignal-topics" TargetMode="External"/><Relationship Id="rId5" Type="http://schemas.openxmlformats.org/officeDocument/2006/relationships/hyperlink" Target="http://e2e.ti.com/blogs_/b/thesignal/archive/2013/01/07/op-amp-noise-the-non-inverting-amplifier.aspx" TargetMode="External"/><Relationship Id="rId4" Type="http://schemas.openxmlformats.org/officeDocument/2006/relationships/hyperlink" Target="http://e2e.ti.com/blogs_/b/thesignal/archive/2012/12/02/resistor-noise-reviewing-basics-plus-a-fun-quiz.aspx" TargetMode="External"/><Relationship Id="rId3" Type="http://schemas.openxmlformats.org/officeDocument/2006/relationships/vmlDrawing" Target="../drawings/vmlDrawing8.vml"/><Relationship Id="rId2" Type="http://schemas.openxmlformats.org/officeDocument/2006/relationships/drawing" Target="../drawings/drawing14.xml"/><Relationship Id="rId1" Type="http://schemas.openxmlformats.org/officeDocument/2006/relationships/comments" Target="../comments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7" Type="http://schemas.openxmlformats.org/officeDocument/2006/relationships/hyperlink" Target="http://e2e.ti.com/blogs_/b/thesignal/archive/2013/02/10/op-amp-noise-but-what-about-the-feedback.aspx" TargetMode="External"/><Relationship Id="rId6" Type="http://schemas.openxmlformats.org/officeDocument/2006/relationships/hyperlink" Target="http://www.ti.com/thesignal-topics" TargetMode="External"/><Relationship Id="rId5" Type="http://schemas.openxmlformats.org/officeDocument/2006/relationships/hyperlink" Target="http://e2e.ti.com/blogs_/b/thesignal/archive/2013/01/07/op-amp-noise-the-non-inverting-amplifier.aspx" TargetMode="External"/><Relationship Id="rId4" Type="http://schemas.openxmlformats.org/officeDocument/2006/relationships/hyperlink" Target="http://e2e.ti.com/blogs_/b/thesignal/archive/2012/12/02/resistor-noise-reviewing-basics-plus-a-fun-quiz.aspx" TargetMode="External"/><Relationship Id="rId3" Type="http://schemas.openxmlformats.org/officeDocument/2006/relationships/vmlDrawing" Target="../drawings/vmlDrawing9.vml"/><Relationship Id="rId2" Type="http://schemas.openxmlformats.org/officeDocument/2006/relationships/drawing" Target="../drawings/drawing15.xml"/><Relationship Id="rId1" Type="http://schemas.openxmlformats.org/officeDocument/2006/relationships/comments" Target="../comments6.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6.xml"/><Relationship Id="rId1"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6" Type="http://schemas.openxmlformats.org/officeDocument/2006/relationships/image" Target="../media/image34.wmf"/><Relationship Id="rId5" Type="http://schemas.openxmlformats.org/officeDocument/2006/relationships/oleObject" Target="../embeddings/oleObject3.bin"/><Relationship Id="rId4" Type="http://schemas.openxmlformats.org/officeDocument/2006/relationships/image" Target="../media/image33.wmf"/><Relationship Id="rId3" Type="http://schemas.openxmlformats.org/officeDocument/2006/relationships/oleObject" Target="../embeddings/oleObject2.bin"/><Relationship Id="rId2" Type="http://schemas.openxmlformats.org/officeDocument/2006/relationships/vmlDrawing" Target="../drawings/vmlDrawing11.vml"/><Relationship Id="rId1" Type="http://schemas.openxmlformats.org/officeDocument/2006/relationships/drawing" Target="../drawings/drawing1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6.xml.rels><?xml version="1.0" encoding="UTF-8" standalone="yes"?>
<Relationships xmlns="http://schemas.openxmlformats.org/package/2006/relationships"><Relationship Id="rId1" Type="http://schemas.openxmlformats.org/officeDocument/2006/relationships/hyperlink" Target="http://sim.okawa-denshi.jp/en/Fkeisan.htm"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im.okawa-denshi.jp/en/Fkeisan.htm"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20.xml"/><Relationship Id="rId1" Type="http://schemas.openxmlformats.org/officeDocument/2006/relationships/comments" Target="../comments8.xml"/></Relationships>
</file>

<file path=xl/worksheets/_rels/sheet31.xml.rels><?xml version="1.0" encoding="UTF-8" standalone="yes"?>
<Relationships xmlns="http://schemas.openxmlformats.org/package/2006/relationships"><Relationship Id="rId9" Type="http://schemas.openxmlformats.org/officeDocument/2006/relationships/oleObject" Target="../embeddings/oleObject7.bin"/><Relationship Id="rId8" Type="http://schemas.openxmlformats.org/officeDocument/2006/relationships/image" Target="../media/image114.emf"/><Relationship Id="rId7" Type="http://schemas.openxmlformats.org/officeDocument/2006/relationships/oleObject" Target="../embeddings/oleObject6.bin"/><Relationship Id="rId6" Type="http://schemas.openxmlformats.org/officeDocument/2006/relationships/image" Target="../media/image113.emf"/><Relationship Id="rId5" Type="http://schemas.openxmlformats.org/officeDocument/2006/relationships/oleObject" Target="../embeddings/oleObject5.bin"/><Relationship Id="rId4" Type="http://schemas.openxmlformats.org/officeDocument/2006/relationships/image" Target="../media/image112.emf"/><Relationship Id="rId3" Type="http://schemas.openxmlformats.org/officeDocument/2006/relationships/oleObject" Target="../embeddings/oleObject4.bin"/><Relationship Id="rId2" Type="http://schemas.openxmlformats.org/officeDocument/2006/relationships/vmlDrawing" Target="../drawings/vmlDrawing13.vml"/><Relationship Id="rId14" Type="http://schemas.openxmlformats.org/officeDocument/2006/relationships/image" Target="../media/image117.emf"/><Relationship Id="rId13" Type="http://schemas.openxmlformats.org/officeDocument/2006/relationships/oleObject" Target="../embeddings/oleObject9.bin"/><Relationship Id="rId12" Type="http://schemas.openxmlformats.org/officeDocument/2006/relationships/image" Target="../media/image116.emf"/><Relationship Id="rId11" Type="http://schemas.openxmlformats.org/officeDocument/2006/relationships/oleObject" Target="../embeddings/oleObject8.bin"/><Relationship Id="rId10" Type="http://schemas.openxmlformats.org/officeDocument/2006/relationships/image" Target="../media/image115.emf"/><Relationship Id="rId1" Type="http://schemas.openxmlformats.org/officeDocument/2006/relationships/drawing" Target="../drawings/drawing21.xml"/></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comments" Target="../comments9.xml"/></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comments" Target="../comments1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8.xml.rels><?xml version="1.0" encoding="UTF-8" standalone="yes"?>
<Relationships xmlns="http://schemas.openxmlformats.org/package/2006/relationships"><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8"/>
  <dimension ref="B5:I24"/>
  <sheetViews>
    <sheetView topLeftCell="A7" workbookViewId="0">
      <selection activeCell="L30" sqref="L30"/>
    </sheetView>
  </sheetViews>
  <sheetFormatPr defaultColWidth="9" defaultRowHeight="13.5"/>
  <cols>
    <col min="2" max="2" width="15.125" customWidth="1"/>
    <col min="5" max="5" width="11.875" customWidth="1"/>
    <col min="7" max="7" width="9" customWidth="1"/>
  </cols>
  <sheetData>
    <row r="5" spans="2:3">
      <c r="B5" s="492"/>
      <c r="C5" s="492"/>
    </row>
    <row r="6" spans="2:3">
      <c r="B6" s="624" t="s">
        <v>165</v>
      </c>
      <c r="C6" s="626">
        <v>13.5</v>
      </c>
    </row>
    <row r="7" spans="2:4">
      <c r="B7" s="624" t="s">
        <v>166</v>
      </c>
      <c r="C7" s="626">
        <v>3300</v>
      </c>
      <c r="D7">
        <f>$C$10^2*C7</f>
        <v>0.051995793824066</v>
      </c>
    </row>
    <row r="8" spans="2:6">
      <c r="B8" s="624" t="s">
        <v>167</v>
      </c>
      <c r="C8" s="626">
        <v>100</v>
      </c>
      <c r="D8">
        <f t="shared" ref="D8:D9" si="0">$C$10^2*C8</f>
        <v>0.00157563011588079</v>
      </c>
      <c r="E8" s="624" t="s">
        <v>168</v>
      </c>
      <c r="F8" s="624">
        <f>(C9+C8)/(C7+C8+C9)*C6</f>
        <v>0.400911496618642</v>
      </c>
    </row>
    <row r="9" spans="2:8">
      <c r="B9" s="624" t="s">
        <v>169</v>
      </c>
      <c r="C9" s="1113">
        <v>1</v>
      </c>
      <c r="D9">
        <f t="shared" si="0"/>
        <v>1.57563011588079e-5</v>
      </c>
      <c r="E9" s="624" t="s">
        <v>170</v>
      </c>
      <c r="F9" s="624">
        <f>(C9)/(C7+C8+C9)*C6</f>
        <v>0.00396942075860041</v>
      </c>
      <c r="G9" s="1114" t="s">
        <v>171</v>
      </c>
      <c r="H9">
        <f>F9/(F8/(2^C11-1))</f>
        <v>10.1287128712871</v>
      </c>
    </row>
    <row r="10" spans="2:3">
      <c r="B10" s="624" t="s">
        <v>172</v>
      </c>
      <c r="C10" s="624">
        <f>C6/(C7+C8+C9)</f>
        <v>0.00396942075860041</v>
      </c>
    </row>
    <row r="11" spans="2:3">
      <c r="B11" s="624" t="s">
        <v>173</v>
      </c>
      <c r="C11" s="624">
        <v>10</v>
      </c>
    </row>
    <row r="12" spans="2:3">
      <c r="B12" s="492"/>
      <c r="C12" s="492"/>
    </row>
    <row r="13" spans="2:3">
      <c r="B13" s="492"/>
      <c r="C13" s="492"/>
    </row>
    <row r="14" spans="2:9">
      <c r="B14" s="624" t="s">
        <v>174</v>
      </c>
      <c r="C14" s="624">
        <f>TRUNC(H9,0)</f>
        <v>10</v>
      </c>
      <c r="F14" s="1115"/>
      <c r="I14" s="1115"/>
    </row>
    <row r="15" spans="2:3">
      <c r="B15" s="624" t="s">
        <v>175</v>
      </c>
      <c r="C15" s="624">
        <f>(C14*C8)/(2^C11-C14-1)</f>
        <v>0.987166831194472</v>
      </c>
    </row>
    <row r="20" spans="2:2">
      <c r="B20" t="s">
        <v>176</v>
      </c>
    </row>
    <row r="24" spans="2:2">
      <c r="B24" t="s">
        <v>177</v>
      </c>
    </row>
  </sheetData>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X89"/>
  <sheetViews>
    <sheetView zoomScale="85" zoomScaleNormal="85" workbookViewId="0">
      <selection activeCell="D21" sqref="D21"/>
    </sheetView>
  </sheetViews>
  <sheetFormatPr defaultColWidth="9" defaultRowHeight="12.75"/>
  <cols>
    <col min="1" max="1" width="4" style="1066" customWidth="1"/>
    <col min="2" max="2" width="9" style="1066"/>
    <col min="3" max="3" width="17.5" style="1066" customWidth="1"/>
    <col min="4" max="4" width="12.25" style="1066" customWidth="1"/>
    <col min="5" max="5" width="5.625" style="1066" customWidth="1"/>
    <col min="6" max="6" width="13" style="1066" customWidth="1"/>
    <col min="7" max="7" width="28.75" style="1066" customWidth="1"/>
    <col min="8" max="8" width="9" style="1066" customWidth="1"/>
    <col min="9" max="10" width="9" style="1066"/>
    <col min="11" max="11" width="19.5" style="1066" customWidth="1"/>
    <col min="12" max="12" width="3.75" style="1066" customWidth="1"/>
    <col min="13" max="13" width="9" style="1066"/>
    <col min="14" max="14" width="7.875" style="1066" customWidth="1"/>
    <col min="15" max="15" width="8.625" style="1066" customWidth="1"/>
    <col min="16" max="16" width="7.125" style="1066" customWidth="1"/>
    <col min="17" max="17" width="8.375" style="1066" customWidth="1"/>
    <col min="18" max="16384" width="9" style="1066"/>
  </cols>
  <sheetData>
    <row r="1" ht="13.5" spans="1:22">
      <c r="A1" s="1067"/>
      <c r="B1" s="1067"/>
      <c r="C1" s="1067"/>
      <c r="D1" s="1067"/>
      <c r="E1" s="1067"/>
      <c r="F1" s="1067"/>
      <c r="G1" s="1067"/>
      <c r="H1" s="1067"/>
      <c r="I1" s="1067"/>
      <c r="J1" s="1067"/>
      <c r="K1" s="1067"/>
      <c r="L1" s="1067"/>
      <c r="M1" s="1067"/>
      <c r="N1" s="1067"/>
      <c r="O1" s="1067"/>
      <c r="P1" s="1067"/>
      <c r="Q1" s="1067"/>
      <c r="R1" s="1067"/>
      <c r="S1" s="1067"/>
      <c r="T1" s="1067"/>
      <c r="U1" s="1067"/>
      <c r="V1" s="1067"/>
    </row>
    <row r="2" spans="1:24">
      <c r="A2" s="1067"/>
      <c r="B2" s="1068"/>
      <c r="C2" s="1069"/>
      <c r="D2" s="1069"/>
      <c r="E2" s="1069"/>
      <c r="F2" s="1069"/>
      <c r="G2" s="1069"/>
      <c r="H2" s="1069"/>
      <c r="I2" s="1069"/>
      <c r="J2" s="1069"/>
      <c r="K2" s="1069"/>
      <c r="L2" s="1069"/>
      <c r="M2" s="1069"/>
      <c r="N2" s="1069"/>
      <c r="O2" s="1069"/>
      <c r="P2" s="1069"/>
      <c r="Q2" s="1069"/>
      <c r="R2" s="1069"/>
      <c r="S2" s="1069"/>
      <c r="T2" s="1069"/>
      <c r="U2" s="1101"/>
      <c r="V2" s="1067"/>
      <c r="W2" s="1097"/>
      <c r="X2" s="1102"/>
    </row>
    <row r="3" customHeight="1" spans="1:22">
      <c r="A3" s="1067"/>
      <c r="B3" s="1070"/>
      <c r="C3" s="1071" t="s">
        <v>178</v>
      </c>
      <c r="D3" s="1071"/>
      <c r="E3" s="1071"/>
      <c r="F3" s="1071"/>
      <c r="G3" s="1071"/>
      <c r="H3" s="1071"/>
      <c r="I3" s="1071"/>
      <c r="J3" s="1071"/>
      <c r="K3" s="1071"/>
      <c r="L3" s="1071"/>
      <c r="M3" s="1071"/>
      <c r="N3" s="1071"/>
      <c r="O3" s="1071"/>
      <c r="P3" s="1071"/>
      <c r="Q3" s="1071"/>
      <c r="R3" s="1103"/>
      <c r="S3" s="1073"/>
      <c r="T3" s="1073"/>
      <c r="U3" s="1104"/>
      <c r="V3" s="1067"/>
    </row>
    <row r="4" ht="9" customHeight="1" spans="1:22">
      <c r="A4" s="1067"/>
      <c r="B4" s="1072"/>
      <c r="C4" s="1071"/>
      <c r="D4" s="1071"/>
      <c r="E4" s="1071"/>
      <c r="F4" s="1071"/>
      <c r="G4" s="1071"/>
      <c r="H4" s="1071"/>
      <c r="I4" s="1071"/>
      <c r="J4" s="1071"/>
      <c r="K4" s="1071"/>
      <c r="L4" s="1071"/>
      <c r="M4" s="1071"/>
      <c r="N4" s="1071"/>
      <c r="O4" s="1071"/>
      <c r="P4" s="1071"/>
      <c r="Q4" s="1071"/>
      <c r="R4" s="1103"/>
      <c r="S4" s="1073"/>
      <c r="T4" s="1073"/>
      <c r="U4" s="1104"/>
      <c r="V4" s="1067"/>
    </row>
    <row r="5" spans="1:22">
      <c r="A5" s="1067"/>
      <c r="B5" s="1070"/>
      <c r="C5" s="1073"/>
      <c r="D5" s="1073"/>
      <c r="E5" s="1073"/>
      <c r="F5" s="1073"/>
      <c r="G5" s="1073"/>
      <c r="H5" s="1073"/>
      <c r="I5" s="1073"/>
      <c r="J5" s="1073"/>
      <c r="K5" s="1073"/>
      <c r="L5" s="1073"/>
      <c r="M5" s="1073"/>
      <c r="N5" s="1073"/>
      <c r="O5" s="1073"/>
      <c r="P5" s="1073"/>
      <c r="Q5" s="1073"/>
      <c r="R5" s="1073"/>
      <c r="S5" s="1073"/>
      <c r="T5" s="1073"/>
      <c r="U5" s="1104"/>
      <c r="V5" s="1067"/>
    </row>
    <row r="6" spans="1:22">
      <c r="A6" s="1067"/>
      <c r="B6" s="1070"/>
      <c r="C6" s="1073"/>
      <c r="D6" s="1073"/>
      <c r="E6" s="1073"/>
      <c r="F6" s="1073"/>
      <c r="G6" s="1073"/>
      <c r="H6" s="1073"/>
      <c r="I6" s="1073"/>
      <c r="J6" s="1073"/>
      <c r="K6" s="1073"/>
      <c r="L6" s="1073"/>
      <c r="M6" s="1073"/>
      <c r="N6" s="1073"/>
      <c r="O6" s="1073"/>
      <c r="P6" s="1073"/>
      <c r="Q6" s="1073"/>
      <c r="R6" s="1073"/>
      <c r="S6" s="1073"/>
      <c r="T6" s="1073"/>
      <c r="U6" s="1104"/>
      <c r="V6" s="1067"/>
    </row>
    <row r="7" ht="13.5" spans="1:22">
      <c r="A7" s="1067"/>
      <c r="B7" s="1070"/>
      <c r="C7" s="1074"/>
      <c r="D7" s="1074"/>
      <c r="E7" s="1073"/>
      <c r="F7" s="1073"/>
      <c r="G7" s="1073"/>
      <c r="H7" s="1073"/>
      <c r="I7" s="1073"/>
      <c r="J7" s="1073"/>
      <c r="K7" s="1073"/>
      <c r="L7" s="1073"/>
      <c r="M7" s="1073"/>
      <c r="N7" s="1073"/>
      <c r="O7" s="1084"/>
      <c r="P7" s="1073"/>
      <c r="Q7" s="1073"/>
      <c r="R7" s="1073"/>
      <c r="S7" s="1073"/>
      <c r="T7" s="1073"/>
      <c r="U7" s="1104"/>
      <c r="V7" s="1067"/>
    </row>
    <row r="8" spans="1:22">
      <c r="A8" s="1067"/>
      <c r="B8" s="1070"/>
      <c r="C8" s="1073"/>
      <c r="D8" s="1073"/>
      <c r="E8" s="1073"/>
      <c r="F8" s="1073"/>
      <c r="G8" s="1073"/>
      <c r="H8" s="1073"/>
      <c r="I8" s="1073"/>
      <c r="J8" s="1073"/>
      <c r="K8" s="1073"/>
      <c r="L8" s="1073"/>
      <c r="M8" s="1073"/>
      <c r="N8" s="1073"/>
      <c r="O8" s="1073"/>
      <c r="P8" s="1073"/>
      <c r="Q8" s="1073"/>
      <c r="R8" s="1073"/>
      <c r="S8" s="1073"/>
      <c r="T8" s="1073"/>
      <c r="U8" s="1104"/>
      <c r="V8" s="1067"/>
    </row>
    <row r="9" customHeight="1" spans="1:22">
      <c r="A9" s="1067"/>
      <c r="B9" s="1070"/>
      <c r="C9" s="1075" t="s">
        <v>179</v>
      </c>
      <c r="D9" s="1075"/>
      <c r="E9" s="1073"/>
      <c r="F9" s="1073"/>
      <c r="G9" s="1073"/>
      <c r="H9" s="1073"/>
      <c r="I9" s="1073"/>
      <c r="J9" s="1073"/>
      <c r="K9" s="1073"/>
      <c r="L9" s="1073"/>
      <c r="M9" s="1073"/>
      <c r="N9" s="1073"/>
      <c r="O9" s="1073"/>
      <c r="P9" s="1073"/>
      <c r="Q9" s="1073"/>
      <c r="R9" s="1073"/>
      <c r="S9" s="1073"/>
      <c r="T9" s="1073"/>
      <c r="U9" s="1104"/>
      <c r="V9" s="1067"/>
    </row>
    <row r="10" customHeight="1" spans="1:22">
      <c r="A10" s="1067"/>
      <c r="B10" s="1070"/>
      <c r="C10" s="1075"/>
      <c r="D10" s="1075"/>
      <c r="E10" s="1073"/>
      <c r="F10" s="1073"/>
      <c r="G10" s="1073"/>
      <c r="H10" s="1073"/>
      <c r="I10" s="1073"/>
      <c r="J10" s="1073"/>
      <c r="K10" s="1073"/>
      <c r="L10" s="1073"/>
      <c r="M10" s="1073"/>
      <c r="N10" s="1073"/>
      <c r="O10" s="1084"/>
      <c r="P10" s="1084"/>
      <c r="Q10" s="1084"/>
      <c r="R10" s="1098"/>
      <c r="S10" s="1073"/>
      <c r="T10" s="1073"/>
      <c r="U10" s="1104"/>
      <c r="V10" s="1067"/>
    </row>
    <row r="11" customHeight="1" spans="1:22">
      <c r="A11" s="1067"/>
      <c r="B11" s="1070"/>
      <c r="C11" s="1076"/>
      <c r="D11" s="1076"/>
      <c r="E11" s="1073"/>
      <c r="F11" s="1073"/>
      <c r="G11" s="1073"/>
      <c r="H11" s="1073"/>
      <c r="I11" s="1073"/>
      <c r="J11" s="1073"/>
      <c r="K11" s="1073"/>
      <c r="L11" s="1073"/>
      <c r="M11" s="1073"/>
      <c r="N11" s="1073"/>
      <c r="O11" s="1084"/>
      <c r="P11" s="1084"/>
      <c r="Q11" s="1084"/>
      <c r="R11" s="1098"/>
      <c r="S11" s="1073"/>
      <c r="T11" s="1073"/>
      <c r="U11" s="1104"/>
      <c r="V11" s="1067"/>
    </row>
    <row r="12" spans="1:22">
      <c r="A12" s="1067"/>
      <c r="B12" s="1070"/>
      <c r="C12" s="1077" t="s">
        <v>180</v>
      </c>
      <c r="D12" s="1078" t="s">
        <v>181</v>
      </c>
      <c r="E12" s="1073"/>
      <c r="F12" s="1073"/>
      <c r="G12" s="1073"/>
      <c r="H12" s="1073"/>
      <c r="I12" s="1073"/>
      <c r="J12" s="1073"/>
      <c r="K12" s="1073"/>
      <c r="L12" s="1073"/>
      <c r="M12" s="1073"/>
      <c r="N12" s="1073"/>
      <c r="O12" s="1073"/>
      <c r="P12" s="1098"/>
      <c r="Q12" s="1098"/>
      <c r="R12" s="1098"/>
      <c r="S12" s="1073"/>
      <c r="T12" s="1073"/>
      <c r="U12" s="1104"/>
      <c r="V12" s="1067"/>
    </row>
    <row r="13" spans="1:22">
      <c r="A13" s="1067"/>
      <c r="B13" s="1070"/>
      <c r="C13" s="1073"/>
      <c r="D13" s="1073"/>
      <c r="E13" s="1073"/>
      <c r="F13" s="1073"/>
      <c r="G13" s="1073"/>
      <c r="H13" s="1073"/>
      <c r="I13" s="1073"/>
      <c r="J13" s="1073"/>
      <c r="K13" s="1073"/>
      <c r="L13" s="1073"/>
      <c r="M13" s="1073"/>
      <c r="N13" s="1073"/>
      <c r="O13" s="1073"/>
      <c r="P13" s="1099"/>
      <c r="Q13" s="1099"/>
      <c r="R13" s="1099"/>
      <c r="S13" s="1073"/>
      <c r="T13" s="1073"/>
      <c r="U13" s="1104"/>
      <c r="V13" s="1067"/>
    </row>
    <row r="14" spans="1:22">
      <c r="A14" s="1067"/>
      <c r="B14" s="1070"/>
      <c r="C14" s="1077" t="s">
        <v>182</v>
      </c>
      <c r="D14" s="1079" t="e">
        <f ca="1">OFFSET([1]Dropdowns!A1,MATCH(var_switchmode,dd_mode,),1)</f>
        <v>#VALUE!</v>
      </c>
      <c r="E14" s="1073"/>
      <c r="F14" s="1073"/>
      <c r="G14" s="1073"/>
      <c r="H14" s="1073"/>
      <c r="I14" s="1073"/>
      <c r="J14" s="1073"/>
      <c r="K14" s="1073"/>
      <c r="L14" s="1073"/>
      <c r="M14" s="1073"/>
      <c r="N14" s="1073"/>
      <c r="O14" s="1073"/>
      <c r="P14" s="1099"/>
      <c r="Q14" s="1099"/>
      <c r="R14" s="1099"/>
      <c r="S14" s="1073"/>
      <c r="T14" s="1073"/>
      <c r="U14" s="1104"/>
      <c r="V14" s="1067"/>
    </row>
    <row r="15" spans="1:22">
      <c r="A15" s="1067"/>
      <c r="B15" s="1070"/>
      <c r="C15" s="1073"/>
      <c r="D15" s="1073"/>
      <c r="E15" s="1073"/>
      <c r="F15" s="1073"/>
      <c r="G15" s="1073"/>
      <c r="H15" s="1073"/>
      <c r="I15" s="1073"/>
      <c r="J15" s="1073"/>
      <c r="K15" s="1073"/>
      <c r="L15" s="1073"/>
      <c r="M15" s="1073"/>
      <c r="N15" s="1073"/>
      <c r="O15" s="1073"/>
      <c r="P15" s="1099"/>
      <c r="Q15" s="1099"/>
      <c r="R15" s="1099"/>
      <c r="S15" s="1073"/>
      <c r="T15" s="1073"/>
      <c r="U15" s="1104"/>
      <c r="V15" s="1067"/>
    </row>
    <row r="16" spans="1:22">
      <c r="A16" s="1067"/>
      <c r="B16" s="1070"/>
      <c r="C16" s="1077" t="s">
        <v>183</v>
      </c>
      <c r="D16" s="1080" t="e">
        <f ca="1">IF(D14="BTL",0.5,1)</f>
        <v>#VALUE!</v>
      </c>
      <c r="E16" s="1073"/>
      <c r="F16" s="1073"/>
      <c r="G16" s="1073"/>
      <c r="H16" s="1073"/>
      <c r="I16" s="1073"/>
      <c r="J16" s="1073"/>
      <c r="K16" s="1073"/>
      <c r="L16" s="1073"/>
      <c r="M16" s="1073"/>
      <c r="N16" s="1073"/>
      <c r="O16" s="1073"/>
      <c r="P16" s="1099"/>
      <c r="Q16" s="1099"/>
      <c r="R16" s="1099"/>
      <c r="S16" s="1073"/>
      <c r="T16" s="1073"/>
      <c r="U16" s="1104"/>
      <c r="V16" s="1067"/>
    </row>
    <row r="17" spans="1:22">
      <c r="A17" s="1067"/>
      <c r="B17" s="1070"/>
      <c r="C17" s="1077"/>
      <c r="D17" s="1081"/>
      <c r="E17" s="1073"/>
      <c r="F17" s="1073"/>
      <c r="G17" s="1073"/>
      <c r="H17" s="1073"/>
      <c r="I17" s="1073"/>
      <c r="J17" s="1073"/>
      <c r="K17" s="1073"/>
      <c r="L17" s="1073"/>
      <c r="M17" s="1073"/>
      <c r="N17" s="1073"/>
      <c r="O17" s="1073"/>
      <c r="P17" s="1099"/>
      <c r="Q17" s="1099"/>
      <c r="R17" s="1099"/>
      <c r="S17" s="1073"/>
      <c r="T17" s="1073"/>
      <c r="U17" s="1104"/>
      <c r="V17" s="1067"/>
    </row>
    <row r="18" spans="1:22">
      <c r="A18" s="1067"/>
      <c r="B18" s="1070"/>
      <c r="C18" s="1075" t="s">
        <v>184</v>
      </c>
      <c r="D18" s="1075"/>
      <c r="E18" s="1073"/>
      <c r="F18" s="1073"/>
      <c r="G18" s="1073"/>
      <c r="H18" s="1073"/>
      <c r="I18" s="1073"/>
      <c r="J18" s="1073"/>
      <c r="K18" s="1073"/>
      <c r="L18" s="1073"/>
      <c r="M18" s="1073"/>
      <c r="N18" s="1073"/>
      <c r="O18" s="1073"/>
      <c r="P18" s="1073"/>
      <c r="Q18" s="1073"/>
      <c r="R18" s="1073"/>
      <c r="S18" s="1073"/>
      <c r="T18" s="1073"/>
      <c r="U18" s="1104"/>
      <c r="V18" s="1067"/>
    </row>
    <row r="19" spans="1:22">
      <c r="A19" s="1067"/>
      <c r="B19" s="1070"/>
      <c r="C19" s="1075"/>
      <c r="D19" s="1075"/>
      <c r="E19" s="1073"/>
      <c r="F19" s="1073"/>
      <c r="G19" s="1073"/>
      <c r="H19" s="1073"/>
      <c r="I19" s="1073"/>
      <c r="J19" s="1073"/>
      <c r="K19" s="1073"/>
      <c r="L19" s="1073"/>
      <c r="M19" s="1073"/>
      <c r="N19" s="1073"/>
      <c r="O19" s="1073"/>
      <c r="P19" s="1073"/>
      <c r="Q19" s="1073"/>
      <c r="R19" s="1073"/>
      <c r="S19" s="1073"/>
      <c r="T19" s="1073"/>
      <c r="U19" s="1104"/>
      <c r="V19" s="1067"/>
    </row>
    <row r="20" ht="16.5" customHeight="1" spans="1:22">
      <c r="A20" s="1067"/>
      <c r="B20" s="1070"/>
      <c r="C20" s="1077"/>
      <c r="D20" s="1081"/>
      <c r="E20" s="1073"/>
      <c r="F20" s="1082" t="s">
        <v>185</v>
      </c>
      <c r="G20" s="1082"/>
      <c r="H20" s="1082"/>
      <c r="I20" s="1082"/>
      <c r="J20" s="1082"/>
      <c r="K20" s="1082"/>
      <c r="L20" s="1073"/>
      <c r="M20" s="1100" t="s">
        <v>186</v>
      </c>
      <c r="N20" s="1073"/>
      <c r="O20" s="1073"/>
      <c r="P20" s="1073"/>
      <c r="Q20" s="1073"/>
      <c r="R20" s="1073"/>
      <c r="S20" s="1073"/>
      <c r="T20" s="1073"/>
      <c r="U20" s="1104"/>
      <c r="V20" s="1067"/>
    </row>
    <row r="21" ht="16.5" spans="1:22">
      <c r="A21" s="1067"/>
      <c r="B21" s="1070"/>
      <c r="C21" s="1077" t="s">
        <v>187</v>
      </c>
      <c r="D21" s="1083">
        <v>4</v>
      </c>
      <c r="E21" s="1073" t="s">
        <v>188</v>
      </c>
      <c r="F21" s="1073"/>
      <c r="G21" s="1073"/>
      <c r="H21" s="1073"/>
      <c r="I21" s="1073"/>
      <c r="J21" s="1073"/>
      <c r="K21" s="1073"/>
      <c r="L21" s="1073"/>
      <c r="M21" s="1084"/>
      <c r="N21" s="1073"/>
      <c r="O21" s="1073"/>
      <c r="P21" s="1073"/>
      <c r="Q21" s="1073"/>
      <c r="R21" s="1073"/>
      <c r="S21" s="1073"/>
      <c r="T21" s="1073"/>
      <c r="U21" s="1104"/>
      <c r="V21" s="1067"/>
    </row>
    <row r="22" customHeight="1" spans="1:22">
      <c r="A22" s="1067"/>
      <c r="B22" s="1070"/>
      <c r="C22" s="1077"/>
      <c r="D22" s="1081"/>
      <c r="E22" s="1073"/>
      <c r="F22" s="1073"/>
      <c r="G22" s="1073"/>
      <c r="H22" s="1073"/>
      <c r="I22" s="1073"/>
      <c r="J22" s="1073"/>
      <c r="K22" s="1073"/>
      <c r="L22" s="1073"/>
      <c r="M22" s="1084"/>
      <c r="N22" s="1073"/>
      <c r="O22" s="1073"/>
      <c r="P22" s="1073"/>
      <c r="Q22" s="1073"/>
      <c r="R22" s="1073"/>
      <c r="S22" s="1073"/>
      <c r="T22" s="1073"/>
      <c r="U22" s="1104"/>
      <c r="V22" s="1067"/>
    </row>
    <row r="23" spans="1:22">
      <c r="A23" s="1067"/>
      <c r="B23" s="1070"/>
      <c r="C23" s="1077" t="s">
        <v>189</v>
      </c>
      <c r="D23" s="1083">
        <v>40</v>
      </c>
      <c r="E23" s="1073" t="s">
        <v>190</v>
      </c>
      <c r="F23" s="1073"/>
      <c r="G23" s="1073"/>
      <c r="H23" s="1073"/>
      <c r="I23" s="1073"/>
      <c r="J23" s="1073"/>
      <c r="K23" s="1073"/>
      <c r="L23" s="1073"/>
      <c r="M23" s="1084"/>
      <c r="N23" s="1073"/>
      <c r="O23" s="1073"/>
      <c r="P23" s="1073"/>
      <c r="Q23" s="1073"/>
      <c r="R23" s="1073"/>
      <c r="S23" s="1073"/>
      <c r="T23" s="1073"/>
      <c r="U23" s="1104"/>
      <c r="V23" s="1067"/>
    </row>
    <row r="24" spans="1:22">
      <c r="A24" s="1067"/>
      <c r="B24" s="1070"/>
      <c r="C24" s="1077"/>
      <c r="D24" s="1081"/>
      <c r="E24" s="1073"/>
      <c r="F24" s="1073"/>
      <c r="G24" s="1073"/>
      <c r="H24" s="1073"/>
      <c r="I24" s="1073"/>
      <c r="J24" s="1073"/>
      <c r="K24" s="1073"/>
      <c r="L24" s="1073"/>
      <c r="M24" s="1073"/>
      <c r="N24" s="1073"/>
      <c r="O24" s="1073"/>
      <c r="P24" s="1073"/>
      <c r="Q24" s="1073"/>
      <c r="R24" s="1073"/>
      <c r="S24" s="1073"/>
      <c r="T24" s="1073"/>
      <c r="U24" s="1104"/>
      <c r="V24" s="1067"/>
    </row>
    <row r="25" spans="1:22">
      <c r="A25" s="1067"/>
      <c r="B25" s="1070"/>
      <c r="C25" s="1077" t="s">
        <v>191</v>
      </c>
      <c r="D25" s="1078">
        <v>0.707</v>
      </c>
      <c r="E25" s="1073"/>
      <c r="F25" s="1073"/>
      <c r="G25" s="1073"/>
      <c r="H25" s="1073"/>
      <c r="I25" s="1073"/>
      <c r="J25" s="1073"/>
      <c r="K25" s="1073"/>
      <c r="L25" s="1073"/>
      <c r="M25" s="1073"/>
      <c r="N25" s="1073"/>
      <c r="O25" s="1073"/>
      <c r="P25" s="1073"/>
      <c r="Q25" s="1073"/>
      <c r="R25" s="1073"/>
      <c r="S25" s="1073"/>
      <c r="T25" s="1073"/>
      <c r="U25" s="1104"/>
      <c r="V25" s="1067"/>
    </row>
    <row r="26" spans="1:22">
      <c r="A26" s="1067"/>
      <c r="B26" s="1070"/>
      <c r="C26" s="1084"/>
      <c r="D26" s="1084"/>
      <c r="E26" s="1084"/>
      <c r="F26" s="1073"/>
      <c r="G26" s="1073"/>
      <c r="H26" s="1073"/>
      <c r="I26" s="1073"/>
      <c r="J26" s="1073"/>
      <c r="K26" s="1073"/>
      <c r="L26" s="1073"/>
      <c r="M26" s="1073"/>
      <c r="N26" s="1073"/>
      <c r="O26" s="1073"/>
      <c r="P26" s="1073"/>
      <c r="Q26" s="1073"/>
      <c r="R26" s="1073"/>
      <c r="S26" s="1073"/>
      <c r="T26" s="1073"/>
      <c r="U26" s="1104"/>
      <c r="V26" s="1067"/>
    </row>
    <row r="27" spans="1:22">
      <c r="A27" s="1067"/>
      <c r="B27" s="1070"/>
      <c r="C27" s="1084"/>
      <c r="D27" s="1084"/>
      <c r="E27" s="1084"/>
      <c r="F27" s="1073"/>
      <c r="G27" s="1073"/>
      <c r="H27" s="1073"/>
      <c r="I27" s="1073"/>
      <c r="J27" s="1073"/>
      <c r="K27" s="1073"/>
      <c r="L27" s="1073"/>
      <c r="M27" s="1073"/>
      <c r="N27" s="1073"/>
      <c r="O27" s="1073"/>
      <c r="P27" s="1073"/>
      <c r="Q27" s="1073"/>
      <c r="R27" s="1073"/>
      <c r="S27" s="1073"/>
      <c r="T27" s="1073"/>
      <c r="U27" s="1104"/>
      <c r="V27" s="1067"/>
    </row>
    <row r="28" ht="13.5" spans="1:22">
      <c r="A28" s="1067"/>
      <c r="B28" s="1070"/>
      <c r="C28" s="1074"/>
      <c r="D28" s="1074"/>
      <c r="E28" s="1084"/>
      <c r="F28" s="1073"/>
      <c r="G28" s="1073"/>
      <c r="H28" s="1073"/>
      <c r="I28" s="1073"/>
      <c r="J28" s="1073"/>
      <c r="K28" s="1073"/>
      <c r="L28" s="1073"/>
      <c r="M28" s="1073"/>
      <c r="N28" s="1073"/>
      <c r="O28" s="1073"/>
      <c r="P28" s="1073"/>
      <c r="Q28" s="1073"/>
      <c r="R28" s="1073"/>
      <c r="S28" s="1073"/>
      <c r="T28" s="1073"/>
      <c r="U28" s="1104"/>
      <c r="V28" s="1067"/>
    </row>
    <row r="29" spans="1:22">
      <c r="A29" s="1067"/>
      <c r="B29" s="1070"/>
      <c r="C29" s="1077"/>
      <c r="D29" s="1081"/>
      <c r="E29" s="1073"/>
      <c r="F29" s="1073"/>
      <c r="G29" s="1073"/>
      <c r="H29" s="1073"/>
      <c r="I29" s="1073"/>
      <c r="J29" s="1073"/>
      <c r="K29" s="1073"/>
      <c r="L29" s="1073"/>
      <c r="M29" s="1073"/>
      <c r="N29" s="1073"/>
      <c r="O29" s="1073"/>
      <c r="P29" s="1073"/>
      <c r="Q29" s="1073"/>
      <c r="R29" s="1073"/>
      <c r="S29" s="1073"/>
      <c r="T29" s="1073"/>
      <c r="U29" s="1104"/>
      <c r="V29" s="1067"/>
    </row>
    <row r="30" customHeight="1" spans="1:22">
      <c r="A30" s="1067"/>
      <c r="B30" s="1070"/>
      <c r="C30" s="1075" t="s">
        <v>192</v>
      </c>
      <c r="D30" s="1075"/>
      <c r="E30" s="1073"/>
      <c r="F30" s="1073"/>
      <c r="G30" s="1073"/>
      <c r="H30" s="1073"/>
      <c r="I30" s="1073"/>
      <c r="J30" s="1073"/>
      <c r="K30" s="1073"/>
      <c r="L30" s="1073"/>
      <c r="M30" s="1073"/>
      <c r="N30" s="1073"/>
      <c r="O30" s="1073"/>
      <c r="P30" s="1073"/>
      <c r="Q30" s="1073"/>
      <c r="R30" s="1073"/>
      <c r="S30" s="1073"/>
      <c r="T30" s="1073"/>
      <c r="U30" s="1104"/>
      <c r="V30" s="1067"/>
    </row>
    <row r="31" spans="1:22">
      <c r="A31" s="1067"/>
      <c r="B31" s="1070"/>
      <c r="C31" s="1075"/>
      <c r="D31" s="1075"/>
      <c r="E31" s="1073"/>
      <c r="F31" s="1073"/>
      <c r="G31" s="1073"/>
      <c r="H31" s="1073"/>
      <c r="I31" s="1073"/>
      <c r="J31" s="1073"/>
      <c r="K31" s="1073"/>
      <c r="L31" s="1073"/>
      <c r="M31" s="1073"/>
      <c r="N31" s="1073"/>
      <c r="O31" s="1073"/>
      <c r="P31" s="1073"/>
      <c r="Q31" s="1073"/>
      <c r="R31" s="1073"/>
      <c r="S31" s="1073"/>
      <c r="T31" s="1073"/>
      <c r="U31" s="1104"/>
      <c r="V31" s="1067"/>
    </row>
    <row r="32" spans="1:22">
      <c r="A32" s="1067"/>
      <c r="B32" s="1070"/>
      <c r="C32" s="1077"/>
      <c r="D32" s="1081"/>
      <c r="E32" s="1073"/>
      <c r="F32" s="1073"/>
      <c r="G32" s="1073"/>
      <c r="H32" s="1073"/>
      <c r="I32" s="1073"/>
      <c r="J32" s="1073"/>
      <c r="K32" s="1073"/>
      <c r="L32" s="1073"/>
      <c r="M32" s="1073"/>
      <c r="N32" s="1073"/>
      <c r="O32" s="1073"/>
      <c r="P32" s="1073"/>
      <c r="Q32" s="1073"/>
      <c r="R32" s="1073"/>
      <c r="S32" s="1073"/>
      <c r="T32" s="1073"/>
      <c r="U32" s="1104"/>
      <c r="V32" s="1067"/>
    </row>
    <row r="33" spans="1:22">
      <c r="A33" s="1067"/>
      <c r="B33" s="1070"/>
      <c r="C33" s="1077" t="s">
        <v>193</v>
      </c>
      <c r="D33" s="1085" t="e">
        <f ca="1">var_load*var_loadfactor/(2*PI()*var_cutoff*1000*var_q)*1000000</f>
        <v>#VALUE!</v>
      </c>
      <c r="E33" s="1073" t="s">
        <v>194</v>
      </c>
      <c r="F33" s="1073"/>
      <c r="G33" s="1073"/>
      <c r="H33" s="1073"/>
      <c r="I33" s="1073"/>
      <c r="J33" s="1073"/>
      <c r="K33" s="1073"/>
      <c r="L33" s="1073"/>
      <c r="M33" s="1073"/>
      <c r="N33" s="1073"/>
      <c r="O33" s="1073"/>
      <c r="P33" s="1073"/>
      <c r="Q33" s="1073"/>
      <c r="R33" s="1073"/>
      <c r="S33" s="1073"/>
      <c r="T33" s="1073"/>
      <c r="U33" s="1104"/>
      <c r="V33" s="1067"/>
    </row>
    <row r="34" spans="1:22">
      <c r="A34" s="1067"/>
      <c r="B34" s="1070"/>
      <c r="C34" s="1077"/>
      <c r="D34" s="1081"/>
      <c r="E34" s="1073"/>
      <c r="F34" s="1073"/>
      <c r="G34" s="1073"/>
      <c r="H34" s="1073"/>
      <c r="I34" s="1073"/>
      <c r="J34" s="1073"/>
      <c r="K34" s="1073"/>
      <c r="L34" s="1073"/>
      <c r="M34" s="1073"/>
      <c r="N34" s="1073"/>
      <c r="O34" s="1073"/>
      <c r="P34" s="1073"/>
      <c r="Q34" s="1073"/>
      <c r="R34" s="1073"/>
      <c r="S34" s="1073"/>
      <c r="T34" s="1073"/>
      <c r="U34" s="1104"/>
      <c r="V34" s="1067"/>
    </row>
    <row r="35" ht="16.5" spans="1:22">
      <c r="A35" s="1067"/>
      <c r="B35" s="1070"/>
      <c r="C35" s="1077" t="s">
        <v>195</v>
      </c>
      <c r="D35" s="1086" t="e">
        <f ca="1">IF(var_switchmode="Hybrid",2*D37/10,D39)</f>
        <v>#VALUE!</v>
      </c>
      <c r="E35" s="1073" t="s">
        <v>196</v>
      </c>
      <c r="F35" s="1073"/>
      <c r="G35" s="1073"/>
      <c r="H35" s="1073"/>
      <c r="I35" s="1073"/>
      <c r="J35" s="1073"/>
      <c r="K35" s="1073"/>
      <c r="L35" s="1073"/>
      <c r="M35" s="1073"/>
      <c r="N35" s="1073"/>
      <c r="O35" s="1073"/>
      <c r="P35" s="1073"/>
      <c r="Q35" s="1073"/>
      <c r="R35" s="1073"/>
      <c r="S35" s="1073"/>
      <c r="T35" s="1073"/>
      <c r="U35" s="1104"/>
      <c r="V35" s="1067"/>
    </row>
    <row r="36" spans="1:22">
      <c r="A36" s="1067"/>
      <c r="B36" s="1070"/>
      <c r="C36" s="1073"/>
      <c r="D36" s="1073"/>
      <c r="E36" s="1073"/>
      <c r="F36" s="1073"/>
      <c r="G36" s="1073"/>
      <c r="H36" s="1073"/>
      <c r="I36" s="1073"/>
      <c r="J36" s="1073"/>
      <c r="K36" s="1073"/>
      <c r="L36" s="1073"/>
      <c r="M36" s="1073"/>
      <c r="N36" s="1073"/>
      <c r="O36" s="1073"/>
      <c r="P36" s="1073"/>
      <c r="Q36" s="1073"/>
      <c r="R36" s="1073"/>
      <c r="S36" s="1073"/>
      <c r="T36" s="1073"/>
      <c r="U36" s="1104"/>
      <c r="V36" s="1067"/>
    </row>
    <row r="37" ht="16.5" spans="1:22">
      <c r="A37" s="1067"/>
      <c r="B37" s="1070"/>
      <c r="C37" s="1077" t="s">
        <v>197</v>
      </c>
      <c r="D37" s="1086" t="e">
        <f ca="1">IF(var_switchmode="Hybrid",D39/2.2,IF(var_switchmode="Differential",D39/2,D39))</f>
        <v>#VALUE!</v>
      </c>
      <c r="E37" s="1073" t="s">
        <v>196</v>
      </c>
      <c r="F37" s="1073"/>
      <c r="G37" s="1073"/>
      <c r="H37" s="1073"/>
      <c r="I37" s="1073"/>
      <c r="J37" s="1073"/>
      <c r="K37" s="1073"/>
      <c r="L37" s="1073"/>
      <c r="M37" s="1073"/>
      <c r="N37" s="1073"/>
      <c r="O37" s="1073"/>
      <c r="P37" s="1073"/>
      <c r="Q37" s="1073"/>
      <c r="R37" s="1073"/>
      <c r="S37" s="1073"/>
      <c r="T37" s="1073"/>
      <c r="U37" s="1104"/>
      <c r="V37" s="1067"/>
    </row>
    <row r="38" spans="1:22">
      <c r="A38" s="1067"/>
      <c r="B38" s="1070"/>
      <c r="C38" s="1077"/>
      <c r="D38" s="1073"/>
      <c r="E38" s="1073"/>
      <c r="F38" s="1073"/>
      <c r="G38" s="1073"/>
      <c r="H38" s="1073"/>
      <c r="I38" s="1073"/>
      <c r="J38" s="1073"/>
      <c r="K38" s="1073"/>
      <c r="L38" s="1073"/>
      <c r="M38" s="1073"/>
      <c r="N38" s="1073"/>
      <c r="O38" s="1073"/>
      <c r="P38" s="1073"/>
      <c r="Q38" s="1073"/>
      <c r="R38" s="1073"/>
      <c r="S38" s="1073"/>
      <c r="T38" s="1073"/>
      <c r="U38" s="1104"/>
      <c r="V38" s="1067"/>
    </row>
    <row r="39" spans="1:22">
      <c r="A39" s="1067"/>
      <c r="B39" s="1070"/>
      <c r="C39" s="1087" t="s">
        <v>198</v>
      </c>
      <c r="D39" s="1086" t="e">
        <f ca="1">var_q/(2*PI()*var_cutoff*1000*var_load*var_loadfactor)*1000000</f>
        <v>#VALUE!</v>
      </c>
      <c r="E39" s="1073" t="s">
        <v>196</v>
      </c>
      <c r="F39" s="1073"/>
      <c r="G39" s="1073"/>
      <c r="H39" s="1073"/>
      <c r="I39" s="1073"/>
      <c r="J39" s="1073"/>
      <c r="K39" s="1073"/>
      <c r="L39" s="1073"/>
      <c r="M39" s="1073"/>
      <c r="N39" s="1073"/>
      <c r="O39" s="1073"/>
      <c r="P39" s="1073"/>
      <c r="Q39" s="1073"/>
      <c r="R39" s="1073"/>
      <c r="S39" s="1073"/>
      <c r="T39" s="1073"/>
      <c r="U39" s="1104"/>
      <c r="V39" s="1067"/>
    </row>
    <row r="40" spans="1:22">
      <c r="A40" s="1067"/>
      <c r="B40" s="1070"/>
      <c r="C40" s="1073"/>
      <c r="D40" s="1073"/>
      <c r="E40" s="1073"/>
      <c r="F40" s="1073"/>
      <c r="G40" s="1073"/>
      <c r="H40" s="1073"/>
      <c r="I40" s="1073"/>
      <c r="J40" s="1073"/>
      <c r="K40" s="1073"/>
      <c r="L40" s="1073"/>
      <c r="M40" s="1073"/>
      <c r="N40" s="1073"/>
      <c r="O40" s="1073"/>
      <c r="P40" s="1073"/>
      <c r="Q40" s="1073"/>
      <c r="R40" s="1073"/>
      <c r="S40" s="1073"/>
      <c r="T40" s="1073"/>
      <c r="U40" s="1104"/>
      <c r="V40" s="1067"/>
    </row>
    <row r="41" spans="1:22">
      <c r="A41" s="1067"/>
      <c r="B41" s="1070"/>
      <c r="C41" s="1073"/>
      <c r="D41" s="1073"/>
      <c r="E41" s="1073"/>
      <c r="F41" s="1084"/>
      <c r="G41" s="1084"/>
      <c r="H41" s="1084"/>
      <c r="I41" s="1084"/>
      <c r="J41" s="1084"/>
      <c r="K41" s="1084"/>
      <c r="L41" s="1073"/>
      <c r="M41" s="1073"/>
      <c r="N41" s="1073"/>
      <c r="O41" s="1073"/>
      <c r="P41" s="1073"/>
      <c r="Q41" s="1073"/>
      <c r="R41" s="1073"/>
      <c r="S41" s="1073"/>
      <c r="T41" s="1073"/>
      <c r="U41" s="1104"/>
      <c r="V41" s="1067"/>
    </row>
    <row r="42" ht="13.5" spans="1:22">
      <c r="A42" s="1067"/>
      <c r="B42" s="1070"/>
      <c r="C42" s="1088"/>
      <c r="D42" s="1074"/>
      <c r="E42" s="1073"/>
      <c r="F42" s="1073"/>
      <c r="G42" s="1073"/>
      <c r="H42" s="1073"/>
      <c r="I42" s="1073"/>
      <c r="J42" s="1073"/>
      <c r="K42" s="1073"/>
      <c r="L42" s="1073"/>
      <c r="M42" s="1073"/>
      <c r="N42" s="1073"/>
      <c r="O42" s="1073"/>
      <c r="P42" s="1073"/>
      <c r="Q42" s="1073"/>
      <c r="R42" s="1073"/>
      <c r="S42" s="1073"/>
      <c r="T42" s="1073"/>
      <c r="U42" s="1104"/>
      <c r="V42" s="1067"/>
    </row>
    <row r="43" spans="1:22">
      <c r="A43" s="1067"/>
      <c r="B43" s="1070"/>
      <c r="C43" s="1073"/>
      <c r="D43" s="1073"/>
      <c r="E43" s="1073"/>
      <c r="F43" s="1073"/>
      <c r="G43" s="1073"/>
      <c r="H43" s="1073"/>
      <c r="I43" s="1073"/>
      <c r="J43" s="1073"/>
      <c r="K43" s="1073"/>
      <c r="L43" s="1073"/>
      <c r="M43" s="1073"/>
      <c r="N43" s="1073"/>
      <c r="O43" s="1073"/>
      <c r="P43" s="1073"/>
      <c r="Q43" s="1073"/>
      <c r="R43" s="1073"/>
      <c r="S43" s="1073"/>
      <c r="T43" s="1073"/>
      <c r="U43" s="1104"/>
      <c r="V43" s="1067"/>
    </row>
    <row r="44" ht="15.75" customHeight="1" spans="1:22">
      <c r="A44" s="1067"/>
      <c r="B44" s="1070"/>
      <c r="C44" s="1089" t="s">
        <v>199</v>
      </c>
      <c r="D44" s="1089"/>
      <c r="E44" s="1073"/>
      <c r="F44" s="1073"/>
      <c r="G44" s="1073"/>
      <c r="H44" s="1073"/>
      <c r="I44" s="1073"/>
      <c r="J44" s="1073"/>
      <c r="K44" s="1073"/>
      <c r="L44" s="1073"/>
      <c r="M44" s="1084"/>
      <c r="N44" s="1073"/>
      <c r="O44" s="1073"/>
      <c r="P44" s="1073"/>
      <c r="Q44" s="1073"/>
      <c r="R44" s="1073"/>
      <c r="S44" s="1073"/>
      <c r="T44" s="1073"/>
      <c r="U44" s="1104"/>
      <c r="V44" s="1067"/>
    </row>
    <row r="45" spans="1:22">
      <c r="A45" s="1067"/>
      <c r="B45" s="1070"/>
      <c r="C45" s="1089"/>
      <c r="D45" s="1089"/>
      <c r="E45" s="1073"/>
      <c r="F45" s="1073"/>
      <c r="G45" s="1073"/>
      <c r="H45" s="1073"/>
      <c r="I45" s="1073"/>
      <c r="J45" s="1073"/>
      <c r="K45" s="1073"/>
      <c r="L45" s="1073"/>
      <c r="M45" s="1084"/>
      <c r="N45" s="1073"/>
      <c r="O45" s="1073"/>
      <c r="P45" s="1073"/>
      <c r="Q45" s="1073"/>
      <c r="R45" s="1073"/>
      <c r="S45" s="1073"/>
      <c r="T45" s="1073"/>
      <c r="U45" s="1104"/>
      <c r="V45" s="1067"/>
    </row>
    <row r="46" spans="1:22">
      <c r="A46" s="1067"/>
      <c r="B46" s="1070"/>
      <c r="C46" s="1073"/>
      <c r="D46" s="1073"/>
      <c r="E46" s="1073"/>
      <c r="F46" s="1073"/>
      <c r="G46" s="1073"/>
      <c r="H46" s="1073"/>
      <c r="I46" s="1073"/>
      <c r="J46" s="1073"/>
      <c r="K46" s="1073"/>
      <c r="L46" s="1073"/>
      <c r="M46" s="1077"/>
      <c r="N46" s="1073"/>
      <c r="O46" s="1073"/>
      <c r="P46" s="1073"/>
      <c r="Q46" s="1073"/>
      <c r="R46" s="1073"/>
      <c r="S46" s="1073"/>
      <c r="T46" s="1073"/>
      <c r="U46" s="1104"/>
      <c r="V46" s="1067"/>
    </row>
    <row r="47" spans="1:22">
      <c r="A47" s="1067"/>
      <c r="B47" s="1070"/>
      <c r="C47" s="1077" t="s">
        <v>193</v>
      </c>
      <c r="D47" s="1090">
        <v>10</v>
      </c>
      <c r="E47" s="1073" t="s">
        <v>194</v>
      </c>
      <c r="F47" s="1073"/>
      <c r="G47" s="1073"/>
      <c r="H47" s="1073"/>
      <c r="I47" s="1073"/>
      <c r="J47" s="1073"/>
      <c r="K47" s="1073"/>
      <c r="L47" s="1073"/>
      <c r="M47" s="1073"/>
      <c r="N47" s="1073"/>
      <c r="O47" s="1073"/>
      <c r="P47" s="1073"/>
      <c r="Q47" s="1073"/>
      <c r="R47" s="1073"/>
      <c r="S47" s="1073"/>
      <c r="T47" s="1073"/>
      <c r="U47" s="1104"/>
      <c r="V47" s="1067"/>
    </row>
    <row r="48" spans="1:22">
      <c r="A48" s="1067"/>
      <c r="B48" s="1070"/>
      <c r="C48" s="1077"/>
      <c r="D48" s="1073"/>
      <c r="E48" s="1073"/>
      <c r="F48" s="1073"/>
      <c r="G48" s="1073"/>
      <c r="H48" s="1073"/>
      <c r="I48" s="1073"/>
      <c r="J48" s="1073"/>
      <c r="K48" s="1073"/>
      <c r="L48" s="1073"/>
      <c r="M48" s="1073"/>
      <c r="N48" s="1073"/>
      <c r="O48" s="1073"/>
      <c r="P48" s="1073"/>
      <c r="Q48" s="1073"/>
      <c r="R48" s="1073"/>
      <c r="S48" s="1073"/>
      <c r="T48" s="1073"/>
      <c r="U48" s="1104"/>
      <c r="V48" s="1067"/>
    </row>
    <row r="49" ht="16.5" spans="1:22">
      <c r="A49" s="1067"/>
      <c r="B49" s="1070"/>
      <c r="C49" s="1077" t="s">
        <v>200</v>
      </c>
      <c r="D49" s="1091">
        <v>0.703</v>
      </c>
      <c r="E49" s="1073" t="s">
        <v>196</v>
      </c>
      <c r="F49" s="1073"/>
      <c r="G49" s="1073"/>
      <c r="H49" s="1073"/>
      <c r="I49" s="1073"/>
      <c r="J49" s="1073"/>
      <c r="K49" s="1073"/>
      <c r="L49" s="1073"/>
      <c r="M49" s="1073"/>
      <c r="N49" s="1073"/>
      <c r="O49" s="1073"/>
      <c r="P49" s="1073"/>
      <c r="Q49" s="1073"/>
      <c r="R49" s="1073"/>
      <c r="S49" s="1073"/>
      <c r="T49" s="1073"/>
      <c r="U49" s="1104"/>
      <c r="V49" s="1067"/>
    </row>
    <row r="50" spans="1:22">
      <c r="A50" s="1067"/>
      <c r="B50" s="1070"/>
      <c r="C50" s="1077"/>
      <c r="D50" s="1073"/>
      <c r="E50" s="1073"/>
      <c r="F50" s="1073"/>
      <c r="G50" s="1073"/>
      <c r="H50" s="1073"/>
      <c r="I50" s="1073"/>
      <c r="J50" s="1073"/>
      <c r="K50" s="1073"/>
      <c r="L50" s="1073"/>
      <c r="M50" s="1073"/>
      <c r="N50" s="1073"/>
      <c r="O50" s="1073"/>
      <c r="P50" s="1073"/>
      <c r="Q50" s="1084"/>
      <c r="R50" s="1084"/>
      <c r="S50" s="1084"/>
      <c r="T50" s="1073"/>
      <c r="U50" s="1104"/>
      <c r="V50" s="1067"/>
    </row>
    <row r="51" ht="17.25" spans="1:22">
      <c r="A51" s="1067"/>
      <c r="B51" s="1070"/>
      <c r="C51" s="1077" t="s">
        <v>197</v>
      </c>
      <c r="D51" s="1091">
        <v>0.68</v>
      </c>
      <c r="E51" s="1073" t="s">
        <v>196</v>
      </c>
      <c r="F51" s="1073"/>
      <c r="G51" s="1073"/>
      <c r="H51" s="1073"/>
      <c r="I51" s="1073"/>
      <c r="J51" s="1073"/>
      <c r="K51" s="1073"/>
      <c r="L51" s="1073"/>
      <c r="M51" s="1073"/>
      <c r="N51" s="1074"/>
      <c r="O51" s="1074"/>
      <c r="P51" s="1073"/>
      <c r="Q51" s="1084"/>
      <c r="R51" s="1084"/>
      <c r="S51" s="1084"/>
      <c r="T51" s="1105" t="s">
        <v>201</v>
      </c>
      <c r="U51" s="1104"/>
      <c r="V51" s="1067"/>
    </row>
    <row r="52" customHeight="1" spans="1:22">
      <c r="A52" s="1067"/>
      <c r="B52" s="1070"/>
      <c r="C52" s="1073"/>
      <c r="D52" s="1073"/>
      <c r="E52" s="1073"/>
      <c r="F52" s="1073"/>
      <c r="G52" s="1073"/>
      <c r="H52" s="1073"/>
      <c r="I52" s="1073"/>
      <c r="J52" s="1073"/>
      <c r="K52" s="1073"/>
      <c r="L52" s="1073"/>
      <c r="M52" s="1073"/>
      <c r="N52" s="1098"/>
      <c r="O52" s="1098"/>
      <c r="P52" s="1073"/>
      <c r="Q52" s="1106" t="s">
        <v>202</v>
      </c>
      <c r="R52" s="1107">
        <v>2</v>
      </c>
      <c r="S52" s="1073" t="s">
        <v>188</v>
      </c>
      <c r="T52" s="1086" t="e">
        <f ca="1">LOAD1_BTL*var_loadfactor*SQRT(CAP_BTL/($D$47*0.000001))</f>
        <v>#VALUE!</v>
      </c>
      <c r="U52" s="1104"/>
      <c r="V52" s="1067"/>
    </row>
    <row r="53" customHeight="1" spans="1:22">
      <c r="A53" s="1067"/>
      <c r="B53" s="1070"/>
      <c r="C53" s="1087" t="s">
        <v>198</v>
      </c>
      <c r="D53" s="1092">
        <f ca="1">IF(var_switchmode="Differential",D51*0.000001*2,IF(D12="Hybrid",IF(D14="BTL",D51*0.000001*2+D49*0.000001,D49*0.000001),D49*0.000001))*1000000</f>
        <v>1.36</v>
      </c>
      <c r="E53" s="1073" t="s">
        <v>196</v>
      </c>
      <c r="F53" s="1073"/>
      <c r="G53" s="1073"/>
      <c r="H53" s="1073"/>
      <c r="I53" s="1073"/>
      <c r="J53" s="1073"/>
      <c r="K53" s="1073"/>
      <c r="L53" s="1073"/>
      <c r="M53" s="1073"/>
      <c r="N53" s="1089" t="s">
        <v>203</v>
      </c>
      <c r="O53" s="1089"/>
      <c r="P53" s="1073"/>
      <c r="Q53" s="1106" t="s">
        <v>204</v>
      </c>
      <c r="R53" s="1078">
        <v>3</v>
      </c>
      <c r="S53" s="1073" t="s">
        <v>188</v>
      </c>
      <c r="T53" s="1086" t="e">
        <f ca="1">LOAD2_BTL*var_loadfactor*SQRT(CAP_BTL/($D$47*0.000001))</f>
        <v>#VALUE!</v>
      </c>
      <c r="U53" s="1104"/>
      <c r="V53" s="1067"/>
    </row>
    <row r="54" spans="1:22">
      <c r="A54" s="1067"/>
      <c r="B54" s="1070"/>
      <c r="C54" s="1084"/>
      <c r="D54" s="1084"/>
      <c r="E54" s="1073"/>
      <c r="F54" s="1073"/>
      <c r="G54" s="1073"/>
      <c r="H54" s="1073"/>
      <c r="I54" s="1073"/>
      <c r="J54" s="1073"/>
      <c r="K54" s="1073"/>
      <c r="L54" s="1073"/>
      <c r="M54" s="1073"/>
      <c r="N54" s="1089"/>
      <c r="O54" s="1089"/>
      <c r="P54" s="1073"/>
      <c r="Q54" s="1106" t="s">
        <v>205</v>
      </c>
      <c r="R54" s="1078">
        <v>4</v>
      </c>
      <c r="S54" s="1073" t="s">
        <v>188</v>
      </c>
      <c r="T54" s="1086" t="e">
        <f ca="1">LOAD3_BTL*var_loadfactor*SQRT(CAP_BTL/($D$47*0.000001))</f>
        <v>#VALUE!</v>
      </c>
      <c r="U54" s="1104"/>
      <c r="V54" s="1067"/>
    </row>
    <row r="55" spans="1:22">
      <c r="A55" s="1067"/>
      <c r="B55" s="1070"/>
      <c r="C55" s="1087" t="s">
        <v>206</v>
      </c>
      <c r="D55" s="1093">
        <f>1/(2*PI()*SQRT(CAP_BTL*D47))</f>
        <v>43.1569433362838</v>
      </c>
      <c r="E55" s="1073" t="s">
        <v>190</v>
      </c>
      <c r="F55" s="1073"/>
      <c r="G55" s="1073"/>
      <c r="H55" s="1073"/>
      <c r="I55" s="1073"/>
      <c r="J55" s="1073"/>
      <c r="K55" s="1073"/>
      <c r="L55" s="1073"/>
      <c r="M55" s="1073"/>
      <c r="N55" s="1073"/>
      <c r="O55" s="1073"/>
      <c r="P55" s="1073"/>
      <c r="Q55" s="1106" t="s">
        <v>207</v>
      </c>
      <c r="R55" s="1078">
        <v>6</v>
      </c>
      <c r="S55" s="1073" t="s">
        <v>208</v>
      </c>
      <c r="T55" s="1086" t="e">
        <f ca="1">LOAD4_BTL*var_loadfactor*SQRT(CAP_BTL/($D$47*0.000001))</f>
        <v>#VALUE!</v>
      </c>
      <c r="U55" s="1104"/>
      <c r="V55" s="1067"/>
    </row>
    <row r="56" spans="1:22">
      <c r="A56" s="1067"/>
      <c r="B56" s="1070"/>
      <c r="C56" s="1077"/>
      <c r="D56" s="1094"/>
      <c r="E56" s="1073"/>
      <c r="F56" s="1073"/>
      <c r="G56" s="1073"/>
      <c r="H56" s="1073"/>
      <c r="I56" s="1073"/>
      <c r="J56" s="1073"/>
      <c r="K56" s="1073"/>
      <c r="L56" s="1073"/>
      <c r="M56" s="1073"/>
      <c r="N56" s="1073"/>
      <c r="O56" s="1073"/>
      <c r="P56" s="1073"/>
      <c r="Q56" s="1106" t="s">
        <v>209</v>
      </c>
      <c r="R56" s="1078">
        <v>8</v>
      </c>
      <c r="S56" s="1073" t="s">
        <v>188</v>
      </c>
      <c r="T56" s="1086" t="e">
        <f ca="1">LOAD5_BTL*var_loadfactor*SQRT(CAP_BTL/($D$47*0.000001))</f>
        <v>#VALUE!</v>
      </c>
      <c r="U56" s="1104"/>
      <c r="V56" s="1067"/>
    </row>
    <row r="57" spans="1:22">
      <c r="A57" s="1067"/>
      <c r="B57" s="1070"/>
      <c r="C57" s="1087" t="s">
        <v>191</v>
      </c>
      <c r="D57" s="1086" t="e">
        <f ca="1">var_load*var_loadfactor*SQRT(CAP_BTL/(D47*0.000001))</f>
        <v>#VALUE!</v>
      </c>
      <c r="E57" s="1073"/>
      <c r="F57" s="1073"/>
      <c r="G57" s="1073"/>
      <c r="H57" s="1073"/>
      <c r="I57" s="1073"/>
      <c r="J57" s="1073"/>
      <c r="K57" s="1073"/>
      <c r="L57" s="1073"/>
      <c r="M57" s="1073"/>
      <c r="N57" s="1073"/>
      <c r="O57" s="1073"/>
      <c r="P57" s="1073"/>
      <c r="Q57" s="1106"/>
      <c r="R57" s="1108"/>
      <c r="S57" s="1073"/>
      <c r="T57" s="1073"/>
      <c r="U57" s="1104"/>
      <c r="V57" s="1067"/>
    </row>
    <row r="58" ht="13.5" spans="1:22">
      <c r="A58" s="1067"/>
      <c r="B58" s="1095"/>
      <c r="C58" s="1074"/>
      <c r="D58" s="1074"/>
      <c r="E58" s="1074"/>
      <c r="F58" s="1074"/>
      <c r="G58" s="1074"/>
      <c r="H58" s="1074"/>
      <c r="I58" s="1074"/>
      <c r="J58" s="1074"/>
      <c r="K58" s="1074"/>
      <c r="L58" s="1074"/>
      <c r="M58" s="1074"/>
      <c r="N58" s="1074"/>
      <c r="O58" s="1074"/>
      <c r="P58" s="1074"/>
      <c r="Q58" s="1074"/>
      <c r="R58" s="1074"/>
      <c r="S58" s="1074"/>
      <c r="T58" s="1074"/>
      <c r="U58" s="1109"/>
      <c r="V58" s="1110"/>
    </row>
    <row r="59" spans="1:22">
      <c r="A59" s="1067"/>
      <c r="B59" s="1067"/>
      <c r="C59" s="1067"/>
      <c r="D59" s="1067"/>
      <c r="E59" s="1067"/>
      <c r="F59" s="1067"/>
      <c r="G59" s="1067"/>
      <c r="H59" s="1067"/>
      <c r="I59" s="1067"/>
      <c r="J59" s="1067"/>
      <c r="K59" s="1067"/>
      <c r="L59" s="1067"/>
      <c r="M59" s="1067"/>
      <c r="N59" s="1067"/>
      <c r="O59" s="1067"/>
      <c r="P59" s="1067"/>
      <c r="Q59" s="1067"/>
      <c r="R59" s="1067"/>
      <c r="S59" s="1067"/>
      <c r="T59" s="1067"/>
      <c r="U59" s="1110"/>
      <c r="V59" s="1110"/>
    </row>
    <row r="60" spans="1:22">
      <c r="A60" s="1067"/>
      <c r="B60" s="1067"/>
      <c r="C60" s="1067"/>
      <c r="D60" s="1067"/>
      <c r="E60" s="1067"/>
      <c r="F60" s="1067"/>
      <c r="G60" s="1067"/>
      <c r="H60" s="1067"/>
      <c r="I60" s="1067"/>
      <c r="J60" s="1067"/>
      <c r="K60" s="1067"/>
      <c r="L60" s="1067"/>
      <c r="M60" s="1067"/>
      <c r="N60" s="1067"/>
      <c r="O60" s="1067"/>
      <c r="P60" s="1067"/>
      <c r="Q60" s="1067"/>
      <c r="R60" s="1067"/>
      <c r="S60" s="1067"/>
      <c r="T60" s="1067"/>
      <c r="U60" s="1110"/>
      <c r="V60" s="1110"/>
    </row>
    <row r="61" spans="1:22">
      <c r="A61" s="1067"/>
      <c r="B61" s="1067"/>
      <c r="C61" s="1067"/>
      <c r="D61" s="1067"/>
      <c r="E61" s="1067"/>
      <c r="F61" s="1067"/>
      <c r="G61" s="1067"/>
      <c r="H61" s="1067"/>
      <c r="I61" s="1067"/>
      <c r="J61" s="1067"/>
      <c r="K61" s="1067"/>
      <c r="L61" s="1067"/>
      <c r="M61" s="1067"/>
      <c r="N61" s="1067"/>
      <c r="O61" s="1067"/>
      <c r="P61" s="1067"/>
      <c r="Q61" s="1067"/>
      <c r="R61" s="1067"/>
      <c r="S61" s="1067"/>
      <c r="T61" s="1067"/>
      <c r="U61" s="1110"/>
      <c r="V61" s="1110"/>
    </row>
    <row r="62" spans="1:23">
      <c r="A62" s="1096"/>
      <c r="B62" s="1096"/>
      <c r="C62" s="1096"/>
      <c r="D62" s="1096"/>
      <c r="E62" s="1096"/>
      <c r="F62" s="1096"/>
      <c r="G62" s="1096"/>
      <c r="H62" s="1096"/>
      <c r="I62" s="1096"/>
      <c r="J62" s="1096"/>
      <c r="K62" s="1096"/>
      <c r="L62" s="1096"/>
      <c r="M62" s="1096"/>
      <c r="N62" s="1096"/>
      <c r="O62" s="1096"/>
      <c r="P62" s="1096"/>
      <c r="Q62" s="1096"/>
      <c r="R62" s="1096"/>
      <c r="S62" s="1096"/>
      <c r="T62" s="1096"/>
      <c r="U62" s="1111"/>
      <c r="V62" s="1111"/>
      <c r="W62" s="1096"/>
    </row>
    <row r="63" spans="1:24">
      <c r="A63" s="1097"/>
      <c r="B63" s="1097"/>
      <c r="C63" s="1097"/>
      <c r="D63" s="1097"/>
      <c r="E63" s="1097"/>
      <c r="F63" s="1097"/>
      <c r="G63" s="1097"/>
      <c r="H63" s="1097"/>
      <c r="I63" s="1097"/>
      <c r="J63" s="1097"/>
      <c r="K63" s="1097"/>
      <c r="L63" s="1097"/>
      <c r="M63" s="1097"/>
      <c r="N63" s="1097"/>
      <c r="O63" s="1097"/>
      <c r="P63" s="1097"/>
      <c r="Q63" s="1097"/>
      <c r="R63" s="1097"/>
      <c r="S63" s="1097"/>
      <c r="T63" s="1112"/>
      <c r="U63" s="1112"/>
      <c r="V63" s="1112"/>
      <c r="W63" s="1097"/>
      <c r="X63" s="1097"/>
    </row>
    <row r="64" spans="1:24">
      <c r="A64" s="1097"/>
      <c r="B64" s="1097"/>
      <c r="C64" s="1097"/>
      <c r="D64" s="1097"/>
      <c r="E64" s="1097"/>
      <c r="F64" s="1097"/>
      <c r="G64" s="1097"/>
      <c r="H64" s="1097"/>
      <c r="I64" s="1097"/>
      <c r="J64" s="1097"/>
      <c r="K64" s="1097"/>
      <c r="L64" s="1097"/>
      <c r="M64" s="1097"/>
      <c r="N64" s="1097"/>
      <c r="O64" s="1097"/>
      <c r="P64" s="1097"/>
      <c r="Q64" s="1097"/>
      <c r="R64" s="1097"/>
      <c r="S64" s="1097"/>
      <c r="T64" s="1112"/>
      <c r="U64" s="1112"/>
      <c r="V64" s="1112"/>
      <c r="W64" s="1097"/>
      <c r="X64" s="1097"/>
    </row>
    <row r="65" spans="1:24">
      <c r="A65" s="1097"/>
      <c r="B65" s="1097"/>
      <c r="C65" s="1097"/>
      <c r="D65" s="1097"/>
      <c r="E65" s="1097"/>
      <c r="F65" s="1097"/>
      <c r="G65" s="1097"/>
      <c r="H65" s="1097"/>
      <c r="I65" s="1097"/>
      <c r="J65" s="1097"/>
      <c r="K65" s="1097"/>
      <c r="L65" s="1097"/>
      <c r="M65" s="1097"/>
      <c r="N65" s="1097"/>
      <c r="O65" s="1097"/>
      <c r="P65" s="1097"/>
      <c r="Q65" s="1097"/>
      <c r="R65" s="1097"/>
      <c r="S65" s="1097"/>
      <c r="T65" s="1112"/>
      <c r="U65" s="1112"/>
      <c r="V65" s="1112"/>
      <c r="W65" s="1097"/>
      <c r="X65" s="1097"/>
    </row>
    <row r="66" spans="1:24">
      <c r="A66" s="1097"/>
      <c r="B66" s="1097"/>
      <c r="C66" s="1097"/>
      <c r="D66" s="1097"/>
      <c r="E66" s="1097"/>
      <c r="F66" s="1097"/>
      <c r="G66" s="1097"/>
      <c r="H66" s="1097"/>
      <c r="I66" s="1097"/>
      <c r="J66" s="1097"/>
      <c r="K66" s="1097"/>
      <c r="L66" s="1097"/>
      <c r="M66" s="1097"/>
      <c r="N66" s="1097"/>
      <c r="O66" s="1097"/>
      <c r="P66" s="1097"/>
      <c r="Q66" s="1097"/>
      <c r="R66" s="1097"/>
      <c r="S66" s="1097"/>
      <c r="T66" s="1112"/>
      <c r="U66" s="1112"/>
      <c r="V66" s="1097"/>
      <c r="W66" s="1097"/>
      <c r="X66" s="1097"/>
    </row>
    <row r="67" spans="1:23">
      <c r="A67" s="1096"/>
      <c r="B67" s="1096"/>
      <c r="C67" s="1096"/>
      <c r="D67" s="1096"/>
      <c r="E67" s="1096"/>
      <c r="F67" s="1096"/>
      <c r="G67" s="1096"/>
      <c r="H67" s="1096"/>
      <c r="I67" s="1096"/>
      <c r="J67" s="1096"/>
      <c r="K67" s="1096"/>
      <c r="L67" s="1096"/>
      <c r="M67" s="1096"/>
      <c r="N67" s="1096"/>
      <c r="O67" s="1096"/>
      <c r="P67" s="1096"/>
      <c r="Q67" s="1096"/>
      <c r="R67" s="1096"/>
      <c r="S67" s="1096"/>
      <c r="T67" s="1111"/>
      <c r="U67" s="1111"/>
      <c r="V67" s="1096"/>
      <c r="W67" s="1096"/>
    </row>
    <row r="68" spans="1:23">
      <c r="A68" s="1096"/>
      <c r="B68" s="1096"/>
      <c r="C68" s="1096"/>
      <c r="D68" s="1096"/>
      <c r="E68" s="1096"/>
      <c r="F68" s="1096"/>
      <c r="G68" s="1096"/>
      <c r="H68" s="1096"/>
      <c r="I68" s="1096"/>
      <c r="J68" s="1096"/>
      <c r="K68" s="1096"/>
      <c r="L68" s="1096"/>
      <c r="M68" s="1096"/>
      <c r="N68" s="1096"/>
      <c r="O68" s="1096"/>
      <c r="P68" s="1096"/>
      <c r="Q68" s="1096"/>
      <c r="R68" s="1096"/>
      <c r="S68" s="1096"/>
      <c r="T68" s="1111"/>
      <c r="U68" s="1111"/>
      <c r="V68" s="1096"/>
      <c r="W68" s="1096"/>
    </row>
    <row r="69" spans="1:20">
      <c r="A69" s="1096"/>
      <c r="B69" s="1096"/>
      <c r="C69" s="1096"/>
      <c r="D69" s="1096"/>
      <c r="E69" s="1096"/>
      <c r="F69" s="1096"/>
      <c r="G69" s="1096"/>
      <c r="H69" s="1096"/>
      <c r="I69" s="1096"/>
      <c r="J69" s="1096"/>
      <c r="K69" s="1096"/>
      <c r="L69" s="1096"/>
      <c r="M69" s="1096"/>
      <c r="N69" s="1096"/>
      <c r="O69" s="1096"/>
      <c r="P69" s="1096"/>
      <c r="Q69" s="1096"/>
      <c r="R69" s="1096"/>
      <c r="S69" s="1096"/>
      <c r="T69" s="1096"/>
    </row>
    <row r="70" spans="1:20">
      <c r="A70" s="1096"/>
      <c r="B70" s="1096"/>
      <c r="C70" s="1096"/>
      <c r="D70" s="1096"/>
      <c r="E70" s="1096"/>
      <c r="F70" s="1096"/>
      <c r="G70" s="1096"/>
      <c r="H70" s="1096"/>
      <c r="I70" s="1096"/>
      <c r="J70" s="1096"/>
      <c r="K70" s="1096"/>
      <c r="L70" s="1096"/>
      <c r="M70" s="1096"/>
      <c r="N70" s="1096"/>
      <c r="O70" s="1096"/>
      <c r="P70" s="1096"/>
      <c r="Q70" s="1096"/>
      <c r="R70" s="1096"/>
      <c r="S70" s="1096"/>
      <c r="T70" s="1096"/>
    </row>
    <row r="71" spans="1:20">
      <c r="A71" s="1096"/>
      <c r="B71" s="1096"/>
      <c r="C71" s="1096"/>
      <c r="D71" s="1096"/>
      <c r="E71" s="1096"/>
      <c r="F71" s="1096"/>
      <c r="G71" s="1096"/>
      <c r="H71" s="1096"/>
      <c r="I71" s="1096"/>
      <c r="J71" s="1096"/>
      <c r="K71" s="1096"/>
      <c r="L71" s="1096"/>
      <c r="M71" s="1096"/>
      <c r="N71" s="1096"/>
      <c r="O71" s="1096"/>
      <c r="P71" s="1096"/>
      <c r="Q71" s="1096"/>
      <c r="R71" s="1096"/>
      <c r="S71" s="1096"/>
      <c r="T71" s="1096"/>
    </row>
    <row r="72" spans="1:20">
      <c r="A72" s="1096"/>
      <c r="B72" s="1096"/>
      <c r="C72" s="1096"/>
      <c r="D72" s="1096"/>
      <c r="E72" s="1096"/>
      <c r="F72" s="1096"/>
      <c r="G72" s="1096"/>
      <c r="H72" s="1096"/>
      <c r="I72" s="1096"/>
      <c r="J72" s="1096"/>
      <c r="K72" s="1096"/>
      <c r="L72" s="1096"/>
      <c r="M72" s="1096"/>
      <c r="N72" s="1096"/>
      <c r="O72" s="1096"/>
      <c r="P72" s="1096"/>
      <c r="Q72" s="1096"/>
      <c r="R72" s="1096"/>
      <c r="S72" s="1096"/>
      <c r="T72" s="1096"/>
    </row>
    <row r="73" spans="1:20">
      <c r="A73" s="1096"/>
      <c r="B73" s="1096"/>
      <c r="C73" s="1096"/>
      <c r="D73" s="1096"/>
      <c r="E73" s="1096"/>
      <c r="F73" s="1096"/>
      <c r="G73" s="1096"/>
      <c r="H73" s="1096"/>
      <c r="I73" s="1096"/>
      <c r="J73" s="1096"/>
      <c r="K73" s="1096"/>
      <c r="L73" s="1096"/>
      <c r="M73" s="1096"/>
      <c r="N73" s="1096"/>
      <c r="O73" s="1096"/>
      <c r="P73" s="1096"/>
      <c r="Q73" s="1096"/>
      <c r="R73" s="1096"/>
      <c r="S73" s="1096"/>
      <c r="T73" s="1096"/>
    </row>
    <row r="74" spans="1:20">
      <c r="A74" s="1096"/>
      <c r="B74" s="1096"/>
      <c r="C74" s="1096"/>
      <c r="D74" s="1096"/>
      <c r="E74" s="1096"/>
      <c r="F74" s="1096"/>
      <c r="G74" s="1096"/>
      <c r="H74" s="1096"/>
      <c r="I74" s="1096"/>
      <c r="J74" s="1096"/>
      <c r="K74" s="1096"/>
      <c r="L74" s="1096"/>
      <c r="M74" s="1096"/>
      <c r="N74" s="1096"/>
      <c r="O74" s="1096"/>
      <c r="P74" s="1096"/>
      <c r="Q74" s="1096"/>
      <c r="R74" s="1096"/>
      <c r="S74" s="1096"/>
      <c r="T74" s="1096"/>
    </row>
    <row r="75" spans="1:20">
      <c r="A75" s="1096"/>
      <c r="B75" s="1096"/>
      <c r="C75" s="1096"/>
      <c r="D75" s="1096"/>
      <c r="E75" s="1096"/>
      <c r="F75" s="1096"/>
      <c r="G75" s="1096"/>
      <c r="H75" s="1096"/>
      <c r="I75" s="1096"/>
      <c r="J75" s="1096"/>
      <c r="K75" s="1096"/>
      <c r="L75" s="1096"/>
      <c r="M75" s="1096"/>
      <c r="N75" s="1096"/>
      <c r="O75" s="1096"/>
      <c r="P75" s="1096"/>
      <c r="Q75" s="1096"/>
      <c r="R75" s="1096"/>
      <c r="S75" s="1096"/>
      <c r="T75" s="1096"/>
    </row>
    <row r="76" spans="1:20">
      <c r="A76" s="1096"/>
      <c r="B76" s="1096"/>
      <c r="C76" s="1096"/>
      <c r="D76" s="1096"/>
      <c r="E76" s="1096"/>
      <c r="F76" s="1096"/>
      <c r="G76" s="1096"/>
      <c r="H76" s="1096"/>
      <c r="I76" s="1096"/>
      <c r="J76" s="1096"/>
      <c r="K76" s="1096"/>
      <c r="L76" s="1096"/>
      <c r="M76" s="1096"/>
      <c r="N76" s="1096"/>
      <c r="O76" s="1096"/>
      <c r="P76" s="1096"/>
      <c r="Q76" s="1096"/>
      <c r="R76" s="1096"/>
      <c r="S76" s="1096"/>
      <c r="T76" s="1096"/>
    </row>
    <row r="77" spans="1:20">
      <c r="A77" s="1096"/>
      <c r="B77" s="1096"/>
      <c r="C77" s="1096"/>
      <c r="D77" s="1096"/>
      <c r="E77" s="1096"/>
      <c r="F77" s="1096"/>
      <c r="G77" s="1096"/>
      <c r="H77" s="1096"/>
      <c r="I77" s="1096"/>
      <c r="J77" s="1096"/>
      <c r="K77" s="1096"/>
      <c r="L77" s="1096"/>
      <c r="M77" s="1096"/>
      <c r="N77" s="1096"/>
      <c r="O77" s="1096"/>
      <c r="P77" s="1096"/>
      <c r="Q77" s="1096"/>
      <c r="R77" s="1096"/>
      <c r="S77" s="1096"/>
      <c r="T77" s="1096"/>
    </row>
    <row r="78" spans="1:20">
      <c r="A78" s="1096"/>
      <c r="B78" s="1096"/>
      <c r="C78" s="1096"/>
      <c r="D78" s="1096"/>
      <c r="E78" s="1096"/>
      <c r="F78" s="1096"/>
      <c r="G78" s="1096"/>
      <c r="H78" s="1096"/>
      <c r="I78" s="1096"/>
      <c r="J78" s="1096"/>
      <c r="K78" s="1096"/>
      <c r="L78" s="1096"/>
      <c r="M78" s="1096"/>
      <c r="N78" s="1096"/>
      <c r="O78" s="1096"/>
      <c r="P78" s="1096"/>
      <c r="Q78" s="1096"/>
      <c r="R78" s="1096"/>
      <c r="S78" s="1096"/>
      <c r="T78" s="1096"/>
    </row>
    <row r="79" spans="1:20">
      <c r="A79" s="1096"/>
      <c r="B79" s="1096"/>
      <c r="C79" s="1096"/>
      <c r="D79" s="1096"/>
      <c r="E79" s="1096"/>
      <c r="F79" s="1096"/>
      <c r="G79" s="1096"/>
      <c r="H79" s="1096"/>
      <c r="I79" s="1096"/>
      <c r="J79" s="1096"/>
      <c r="K79" s="1096"/>
      <c r="L79" s="1096"/>
      <c r="M79" s="1096"/>
      <c r="N79" s="1096"/>
      <c r="O79" s="1096"/>
      <c r="P79" s="1096"/>
      <c r="Q79" s="1096"/>
      <c r="R79" s="1096"/>
      <c r="S79" s="1096"/>
      <c r="T79" s="1096"/>
    </row>
    <row r="80" spans="1:20">
      <c r="A80" s="1096"/>
      <c r="B80" s="1096"/>
      <c r="C80" s="1096"/>
      <c r="D80" s="1096"/>
      <c r="E80" s="1096"/>
      <c r="F80" s="1096"/>
      <c r="G80" s="1096"/>
      <c r="H80" s="1096"/>
      <c r="I80" s="1096"/>
      <c r="J80" s="1096"/>
      <c r="K80" s="1096"/>
      <c r="L80" s="1096"/>
      <c r="M80" s="1096"/>
      <c r="N80" s="1096"/>
      <c r="O80" s="1096"/>
      <c r="P80" s="1096"/>
      <c r="Q80" s="1096"/>
      <c r="R80" s="1096"/>
      <c r="S80" s="1096"/>
      <c r="T80" s="1096"/>
    </row>
    <row r="81" spans="1:20">
      <c r="A81" s="1096"/>
      <c r="B81" s="1096"/>
      <c r="C81" s="1096"/>
      <c r="D81" s="1096"/>
      <c r="E81" s="1096"/>
      <c r="F81" s="1096"/>
      <c r="G81" s="1096"/>
      <c r="H81" s="1096"/>
      <c r="I81" s="1096"/>
      <c r="J81" s="1096"/>
      <c r="K81" s="1096"/>
      <c r="L81" s="1096"/>
      <c r="M81" s="1096"/>
      <c r="N81" s="1096"/>
      <c r="O81" s="1096"/>
      <c r="P81" s="1096"/>
      <c r="Q81" s="1096"/>
      <c r="R81" s="1096"/>
      <c r="S81" s="1096"/>
      <c r="T81" s="1096"/>
    </row>
    <row r="82" spans="1:20">
      <c r="A82" s="1096"/>
      <c r="B82" s="1096"/>
      <c r="C82" s="1096"/>
      <c r="D82" s="1096"/>
      <c r="E82" s="1096"/>
      <c r="F82" s="1096"/>
      <c r="G82" s="1096"/>
      <c r="H82" s="1096"/>
      <c r="I82" s="1096"/>
      <c r="J82" s="1096"/>
      <c r="K82" s="1096"/>
      <c r="L82" s="1096"/>
      <c r="M82" s="1096"/>
      <c r="N82" s="1096"/>
      <c r="O82" s="1096"/>
      <c r="P82" s="1096"/>
      <c r="Q82" s="1096"/>
      <c r="R82" s="1096"/>
      <c r="S82" s="1096"/>
      <c r="T82" s="1096"/>
    </row>
    <row r="83" spans="1:20">
      <c r="A83" s="1096"/>
      <c r="B83" s="1096"/>
      <c r="C83" s="1096"/>
      <c r="D83" s="1096"/>
      <c r="E83" s="1096"/>
      <c r="F83" s="1096"/>
      <c r="G83" s="1096"/>
      <c r="H83" s="1096"/>
      <c r="I83" s="1096"/>
      <c r="J83" s="1096"/>
      <c r="K83" s="1096"/>
      <c r="L83" s="1096"/>
      <c r="M83" s="1096"/>
      <c r="N83" s="1096"/>
      <c r="O83" s="1096"/>
      <c r="P83" s="1096"/>
      <c r="Q83" s="1096"/>
      <c r="R83" s="1096"/>
      <c r="S83" s="1096"/>
      <c r="T83" s="1096"/>
    </row>
    <row r="84" spans="1:20">
      <c r="A84" s="1096"/>
      <c r="B84" s="1096"/>
      <c r="C84" s="1096"/>
      <c r="D84" s="1096"/>
      <c r="E84" s="1096"/>
      <c r="F84" s="1096"/>
      <c r="G84" s="1096"/>
      <c r="H84" s="1096"/>
      <c r="I84" s="1096"/>
      <c r="J84" s="1096"/>
      <c r="K84" s="1096"/>
      <c r="L84" s="1096"/>
      <c r="M84" s="1096"/>
      <c r="N84" s="1096"/>
      <c r="O84" s="1096"/>
      <c r="P84" s="1096"/>
      <c r="Q84" s="1096"/>
      <c r="R84" s="1096"/>
      <c r="S84" s="1096"/>
      <c r="T84" s="1096"/>
    </row>
    <row r="85" spans="1:20">
      <c r="A85" s="1096"/>
      <c r="B85" s="1096"/>
      <c r="C85" s="1096"/>
      <c r="D85" s="1096"/>
      <c r="E85" s="1096"/>
      <c r="F85" s="1096"/>
      <c r="G85" s="1096"/>
      <c r="H85" s="1096"/>
      <c r="I85" s="1096"/>
      <c r="J85" s="1096"/>
      <c r="K85" s="1096"/>
      <c r="L85" s="1096"/>
      <c r="M85" s="1096"/>
      <c r="N85" s="1096"/>
      <c r="O85" s="1096"/>
      <c r="P85" s="1096"/>
      <c r="Q85" s="1096"/>
      <c r="R85" s="1096"/>
      <c r="S85" s="1096"/>
      <c r="T85" s="1096"/>
    </row>
    <row r="86" spans="1:20">
      <c r="A86" s="1096"/>
      <c r="B86" s="1096"/>
      <c r="C86" s="1096"/>
      <c r="D86" s="1096"/>
      <c r="E86" s="1096"/>
      <c r="F86" s="1096"/>
      <c r="G86" s="1096"/>
      <c r="H86" s="1096"/>
      <c r="I86" s="1096"/>
      <c r="J86" s="1096"/>
      <c r="K86" s="1096"/>
      <c r="L86" s="1096"/>
      <c r="M86" s="1096"/>
      <c r="N86" s="1096"/>
      <c r="O86" s="1096"/>
      <c r="P86" s="1096"/>
      <c r="Q86" s="1096"/>
      <c r="R86" s="1096"/>
      <c r="S86" s="1096"/>
      <c r="T86" s="1096"/>
    </row>
    <row r="87" spans="1:1">
      <c r="A87" s="1096"/>
    </row>
    <row r="88" spans="1:1">
      <c r="A88" s="1096"/>
    </row>
    <row r="89" spans="1:1">
      <c r="A89" s="1096"/>
    </row>
  </sheetData>
  <mergeCells count="7">
    <mergeCell ref="F20:K20"/>
    <mergeCell ref="C44:D45"/>
    <mergeCell ref="N53:O54"/>
    <mergeCell ref="C3:Q4"/>
    <mergeCell ref="C9:D10"/>
    <mergeCell ref="C18:D19"/>
    <mergeCell ref="C30:D31"/>
  </mergeCells>
  <conditionalFormatting sqref="D37">
    <cfRule type="expression" dxfId="0" priority="4" stopIfTrue="1">
      <formula>$D$12="Common Mode"</formula>
    </cfRule>
    <cfRule type="expression" dxfId="1" priority="2">
      <formula>$D$12=[D类功放LC滤波.xlsx]Dropdowns!#REF!</formula>
    </cfRule>
  </conditionalFormatting>
  <conditionalFormatting sqref="D51">
    <cfRule type="expression" dxfId="1" priority="3">
      <formula>$D$12="Common Mode"</formula>
    </cfRule>
    <cfRule type="expression" dxfId="1" priority="1">
      <formula>$D$12=[D类功放LC滤波.xlsx]Dropdowns!#REF!</formula>
    </cfRule>
  </conditionalFormatting>
  <conditionalFormatting sqref="D35 D49">
    <cfRule type="expression" dxfId="1" priority="5">
      <formula>$D$12="Differential"</formula>
    </cfRule>
  </conditionalFormatting>
  <dataValidations count="2">
    <dataValidation type="list" allowBlank="1" showInputMessage="1" showErrorMessage="1" sqref="D12">
      <formula1>dd_mode</formula1>
    </dataValidation>
    <dataValidation allowBlank="1" showInputMessage="1" showErrorMessage="1" promptTitle="Quality Factor (Q)" prompt="Quality Factor is typically set to 0.707 or 1/SQRT(2) for critically damped systems." sqref="D25" errorStyle="information"/>
  </dataValidations>
  <printOptions horizontalCentered="1" verticalCentered="1"/>
  <pageMargins left="0.25" right="0.25" top="0.75" bottom="0.75" header="0.3" footer="0.3"/>
  <pageSetup paperSize="9" scale="58" orientation="landscape"/>
  <headerFooter alignWithMargins="0">
    <oddFooter>&amp;L&amp;D&amp;R&amp;G</oddFooter>
  </headerFooter>
  <drawing r:id="rId1"/>
  <legacyDrawing r:id="rId2"/>
  <legacyDrawingHF r:id="rId11"/>
  <oleObjects>
    <mc:AlternateContent xmlns:mc="http://schemas.openxmlformats.org/markup-compatibility/2006">
      <mc:Choice Requires="x14">
        <oleObject shapeId="40961" progId="Visio" r:id="rId3">
          <objectPr defaultSize="0" r:id="rId4">
            <anchor moveWithCells="1">
              <from>
                <xdr:col>10</xdr:col>
                <xdr:colOff>228600</xdr:colOff>
                <xdr:row>6</xdr:row>
                <xdr:rowOff>57150</xdr:rowOff>
              </from>
              <to>
                <xdr:col>12</xdr:col>
                <xdr:colOff>266700</xdr:colOff>
                <xdr:row>16</xdr:row>
                <xdr:rowOff>19050</xdr:rowOff>
              </to>
            </anchor>
          </objectPr>
        </oleObject>
      </mc:Choice>
      <mc:Fallback>
        <oleObject shapeId="40961" progId="Visio" r:id="rId3"/>
      </mc:Fallback>
    </mc:AlternateContent>
    <mc:AlternateContent xmlns:mc="http://schemas.openxmlformats.org/markup-compatibility/2006">
      <mc:Choice Requires="x14">
        <oleObject shapeId="40962" progId="Visio" r:id="rId5">
          <objectPr defaultSize="0" r:id="rId6">
            <anchor moveWithCells="1">
              <from>
                <xdr:col>13</xdr:col>
                <xdr:colOff>238125</xdr:colOff>
                <xdr:row>6</xdr:row>
                <xdr:rowOff>114300</xdr:rowOff>
              </from>
              <to>
                <xdr:col>16</xdr:col>
                <xdr:colOff>495300</xdr:colOff>
                <xdr:row>16</xdr:row>
                <xdr:rowOff>57150</xdr:rowOff>
              </to>
            </anchor>
          </objectPr>
        </oleObject>
      </mc:Choice>
      <mc:Fallback>
        <oleObject shapeId="40962" progId="Visio" r:id="rId5"/>
      </mc:Fallback>
    </mc:AlternateContent>
    <mc:AlternateContent xmlns:mc="http://schemas.openxmlformats.org/markup-compatibility/2006">
      <mc:Choice Requires="x14">
        <oleObject shapeId="40963" progId="Visio" r:id="rId7">
          <objectPr defaultSize="0" r:id="rId8">
            <anchor moveWithCells="1">
              <from>
                <xdr:col>5</xdr:col>
                <xdr:colOff>409575</xdr:colOff>
                <xdr:row>7</xdr:row>
                <xdr:rowOff>114300</xdr:rowOff>
              </from>
              <to>
                <xdr:col>6</xdr:col>
                <xdr:colOff>1428750</xdr:colOff>
                <xdr:row>14</xdr:row>
                <xdr:rowOff>9525</xdr:rowOff>
              </to>
            </anchor>
          </objectPr>
        </oleObject>
      </mc:Choice>
      <mc:Fallback>
        <oleObject shapeId="40963" progId="Visio" r:id="rId7"/>
      </mc:Fallback>
    </mc:AlternateContent>
    <mc:AlternateContent xmlns:mc="http://schemas.openxmlformats.org/markup-compatibility/2006">
      <mc:Choice Requires="x14">
        <oleObject shapeId="40964" progId="Visio" r:id="rId9">
          <objectPr defaultSize="0" r:id="rId10">
            <anchor moveWithCells="1">
              <from>
                <xdr:col>6</xdr:col>
                <xdr:colOff>1600200</xdr:colOff>
                <xdr:row>7</xdr:row>
                <xdr:rowOff>38100</xdr:rowOff>
              </from>
              <to>
                <xdr:col>8</xdr:col>
                <xdr:colOff>676275</xdr:colOff>
                <xdr:row>15</xdr:row>
                <xdr:rowOff>76200</xdr:rowOff>
              </to>
            </anchor>
          </objectPr>
        </oleObject>
      </mc:Choice>
      <mc:Fallback>
        <oleObject shapeId="40964" progId="Visio" r:id="rId9"/>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8000"/>
  </sheetPr>
  <dimension ref="A1:R35"/>
  <sheetViews>
    <sheetView zoomScale="85" zoomScaleNormal="85" workbookViewId="0">
      <selection activeCell="E16" sqref="E16"/>
    </sheetView>
  </sheetViews>
  <sheetFormatPr defaultColWidth="9" defaultRowHeight="13.5"/>
  <cols>
    <col min="1" max="1" width="17.25" style="804" customWidth="1"/>
    <col min="2" max="2" width="18.125" style="804" customWidth="1"/>
    <col min="3" max="3" width="10.375" style="804" customWidth="1"/>
    <col min="4" max="4" width="15.375" style="804" customWidth="1"/>
    <col min="5" max="5" width="23.25" style="804" customWidth="1"/>
    <col min="6" max="6" width="13.25" style="804" hidden="1" customWidth="1"/>
    <col min="7" max="8" width="9" style="804"/>
    <col min="9" max="9" width="41.625" style="804" customWidth="1"/>
    <col min="10" max="10" width="31.25" style="804" customWidth="1"/>
    <col min="11" max="11" width="9" style="804"/>
    <col min="12" max="12" width="12.75" style="804" customWidth="1"/>
    <col min="13" max="14" width="9" style="804"/>
    <col min="15" max="15" width="9.5" style="804" customWidth="1"/>
    <col min="16" max="17" width="9" style="804"/>
    <col min="18" max="18" width="25.5" style="804" customWidth="1"/>
    <col min="19" max="16384" width="9" style="804"/>
  </cols>
  <sheetData>
    <row r="1" spans="1:3">
      <c r="A1" s="1055"/>
      <c r="B1" s="1055"/>
      <c r="C1" s="804" t="s">
        <v>210</v>
      </c>
    </row>
    <row r="2" spans="1:3">
      <c r="A2" s="1058"/>
      <c r="B2" s="1058"/>
      <c r="C2" s="804" t="s">
        <v>211</v>
      </c>
    </row>
    <row r="3" spans="1:3">
      <c r="A3" s="1056"/>
      <c r="B3" s="1056"/>
      <c r="C3" s="804" t="s">
        <v>212</v>
      </c>
    </row>
    <row r="4" spans="1:3">
      <c r="A4" s="1057"/>
      <c r="B4" s="1057"/>
      <c r="C4" s="804" t="s">
        <v>213</v>
      </c>
    </row>
    <row r="5" ht="33.75" customHeight="1" spans="1:5">
      <c r="A5" s="1053" t="s">
        <v>214</v>
      </c>
      <c r="B5" s="1053" t="s">
        <v>215</v>
      </c>
      <c r="C5" s="1053" t="s">
        <v>216</v>
      </c>
      <c r="D5" s="1053" t="s">
        <v>217</v>
      </c>
      <c r="E5" s="1053" t="s">
        <v>218</v>
      </c>
    </row>
    <row r="6" ht="24" customHeight="1" spans="1:18">
      <c r="A6" s="1054" t="s">
        <v>219</v>
      </c>
      <c r="B6" s="1055">
        <v>10</v>
      </c>
      <c r="C6" s="1056" t="s">
        <v>220</v>
      </c>
      <c r="D6" s="1057">
        <f>B6</f>
        <v>10</v>
      </c>
      <c r="E6" s="1058" t="s">
        <v>220</v>
      </c>
      <c r="F6" s="804">
        <f>VLOOKUP(C6,K6:L8,2,FALSE)*B6</f>
        <v>10</v>
      </c>
      <c r="K6" s="804" t="s">
        <v>221</v>
      </c>
      <c r="L6" s="804">
        <v>0.001</v>
      </c>
      <c r="N6" s="1063" t="s">
        <v>222</v>
      </c>
      <c r="O6" s="1063" t="s">
        <v>223</v>
      </c>
      <c r="P6" s="1063" t="s">
        <v>224</v>
      </c>
      <c r="Q6" s="1063" t="s">
        <v>225</v>
      </c>
      <c r="R6" s="1063" t="s">
        <v>226</v>
      </c>
    </row>
    <row r="7" ht="29.25" customHeight="1" spans="1:18">
      <c r="A7" s="1054" t="s">
        <v>227</v>
      </c>
      <c r="B7" s="1055">
        <v>1</v>
      </c>
      <c r="C7" s="1056" t="s">
        <v>228</v>
      </c>
      <c r="D7" s="1059">
        <f>B7</f>
        <v>1</v>
      </c>
      <c r="E7" s="1058" t="s">
        <v>208</v>
      </c>
      <c r="F7" s="804">
        <f>VLOOKUP(C7,K10:L13,2,FALSE)*B7</f>
        <v>1000</v>
      </c>
      <c r="K7" s="804" t="s">
        <v>220</v>
      </c>
      <c r="L7" s="804">
        <v>1</v>
      </c>
      <c r="N7" s="1063">
        <v>0</v>
      </c>
      <c r="O7" s="1063">
        <f t="shared" ref="O7:O35" si="0">$B$15/$F$15*N7</f>
        <v>0</v>
      </c>
      <c r="P7" s="1063">
        <f t="shared" ref="P7:P35" si="1">$F$10</f>
        <v>5</v>
      </c>
      <c r="Q7" s="1063">
        <f t="shared" ref="Q7:Q35" si="2">$F$6</f>
        <v>10</v>
      </c>
      <c r="R7" s="1063">
        <f t="shared" ref="R7:R35" si="3">P7+(Q7-P7)*(1-EXP(-O7/($B$15/$F$15)))</f>
        <v>5</v>
      </c>
    </row>
    <row r="8" ht="24" customHeight="1" spans="1:18">
      <c r="A8" s="1054" t="s">
        <v>229</v>
      </c>
      <c r="B8" s="1055">
        <v>1</v>
      </c>
      <c r="C8" s="1056" t="s">
        <v>230</v>
      </c>
      <c r="D8" s="1060">
        <f>B8</f>
        <v>1</v>
      </c>
      <c r="E8" s="1058" t="s">
        <v>231</v>
      </c>
      <c r="F8" s="852">
        <f>VLOOKUP(C8,K15:L18,2,FALSE)*B8</f>
        <v>1e-9</v>
      </c>
      <c r="K8" s="804" t="s">
        <v>232</v>
      </c>
      <c r="L8" s="804">
        <v>1000</v>
      </c>
      <c r="N8" s="1063">
        <v>0.25</v>
      </c>
      <c r="O8" s="1063">
        <f t="shared" si="0"/>
        <v>2.5e-7</v>
      </c>
      <c r="P8" s="1063">
        <f t="shared" si="1"/>
        <v>5</v>
      </c>
      <c r="Q8" s="1063">
        <f t="shared" si="2"/>
        <v>10</v>
      </c>
      <c r="R8" s="1063">
        <f t="shared" si="3"/>
        <v>6.10599608464298</v>
      </c>
    </row>
    <row r="9" ht="26.25" customHeight="1" spans="1:18">
      <c r="A9" s="1054" t="s">
        <v>233</v>
      </c>
      <c r="B9" s="1055">
        <v>1</v>
      </c>
      <c r="C9" s="1056" t="s">
        <v>234</v>
      </c>
      <c r="D9" s="1057">
        <f>B9</f>
        <v>1</v>
      </c>
      <c r="E9" s="1058" t="s">
        <v>235</v>
      </c>
      <c r="F9" s="804">
        <f>VLOOKUP(C9,K20:L21,2,FALSE)*B9</f>
        <v>0.001</v>
      </c>
      <c r="N9" s="1063">
        <v>0.5</v>
      </c>
      <c r="O9" s="1063">
        <f t="shared" si="0"/>
        <v>5e-7</v>
      </c>
      <c r="P9" s="1063">
        <f t="shared" si="1"/>
        <v>5</v>
      </c>
      <c r="Q9" s="1063">
        <f t="shared" si="2"/>
        <v>10</v>
      </c>
      <c r="R9" s="1063">
        <f t="shared" si="3"/>
        <v>6.96734670143683</v>
      </c>
    </row>
    <row r="10" spans="1:18">
      <c r="A10" s="1054" t="s">
        <v>236</v>
      </c>
      <c r="B10" s="1055">
        <v>5</v>
      </c>
      <c r="C10" s="1056" t="s">
        <v>220</v>
      </c>
      <c r="D10" s="1057">
        <f>B10</f>
        <v>5</v>
      </c>
      <c r="E10" s="1058" t="s">
        <v>220</v>
      </c>
      <c r="F10" s="804">
        <f>VLOOKUP(C10,K6:L8,2,FALSE)*B10</f>
        <v>5</v>
      </c>
      <c r="K10" s="804" t="s">
        <v>237</v>
      </c>
      <c r="L10" s="804">
        <v>0.001</v>
      </c>
      <c r="N10" s="1063">
        <v>0.75</v>
      </c>
      <c r="O10" s="1063">
        <f t="shared" si="0"/>
        <v>7.5e-7</v>
      </c>
      <c r="P10" s="1063">
        <f t="shared" si="1"/>
        <v>5</v>
      </c>
      <c r="Q10" s="1063">
        <f t="shared" si="2"/>
        <v>10</v>
      </c>
      <c r="R10" s="1063">
        <f t="shared" si="3"/>
        <v>7.63816723629493</v>
      </c>
    </row>
    <row r="11" spans="2:18">
      <c r="B11" s="1054"/>
      <c r="K11" s="804" t="s">
        <v>208</v>
      </c>
      <c r="L11" s="804">
        <v>1</v>
      </c>
      <c r="N11" s="1063">
        <v>1</v>
      </c>
      <c r="O11" s="1063">
        <f t="shared" si="0"/>
        <v>1e-6</v>
      </c>
      <c r="P11" s="1063">
        <f t="shared" si="1"/>
        <v>5</v>
      </c>
      <c r="Q11" s="1063">
        <f t="shared" si="2"/>
        <v>10</v>
      </c>
      <c r="R11" s="1063">
        <f t="shared" si="3"/>
        <v>8.16060279414279</v>
      </c>
    </row>
    <row r="12" spans="2:18">
      <c r="B12" s="1054"/>
      <c r="K12" s="804" t="s">
        <v>228</v>
      </c>
      <c r="L12" s="804">
        <v>1000</v>
      </c>
      <c r="N12" s="1063">
        <v>1.25</v>
      </c>
      <c r="O12" s="1063">
        <f t="shared" si="0"/>
        <v>1.25e-6</v>
      </c>
      <c r="P12" s="1063">
        <f t="shared" si="1"/>
        <v>5</v>
      </c>
      <c r="Q12" s="1063">
        <f t="shared" si="2"/>
        <v>10</v>
      </c>
      <c r="R12" s="1063">
        <f t="shared" si="3"/>
        <v>8.56747601569905</v>
      </c>
    </row>
    <row r="13" spans="2:18">
      <c r="B13" s="1054"/>
      <c r="K13" s="804" t="s">
        <v>238</v>
      </c>
      <c r="L13" s="804">
        <v>1000000</v>
      </c>
      <c r="N13" s="1063">
        <v>1.5</v>
      </c>
      <c r="O13" s="1063">
        <f t="shared" si="0"/>
        <v>1.5e-6</v>
      </c>
      <c r="P13" s="1063">
        <f t="shared" si="1"/>
        <v>5</v>
      </c>
      <c r="Q13" s="1063">
        <f t="shared" si="2"/>
        <v>10</v>
      </c>
      <c r="R13" s="1063">
        <f t="shared" si="3"/>
        <v>8.88434919925785</v>
      </c>
    </row>
    <row r="14" ht="26.25" customHeight="1" spans="1:18">
      <c r="A14" s="1061" t="s">
        <v>239</v>
      </c>
      <c r="B14" s="1061" t="s">
        <v>213</v>
      </c>
      <c r="C14" s="1061" t="s">
        <v>216</v>
      </c>
      <c r="N14" s="1063">
        <v>1.75</v>
      </c>
      <c r="O14" s="1063">
        <f t="shared" si="0"/>
        <v>1.75e-6</v>
      </c>
      <c r="P14" s="1063">
        <f t="shared" si="1"/>
        <v>5</v>
      </c>
      <c r="Q14" s="1063">
        <f t="shared" si="2"/>
        <v>10</v>
      </c>
      <c r="R14" s="1063">
        <f t="shared" si="3"/>
        <v>9.13113028274777</v>
      </c>
    </row>
    <row r="15" ht="29.25" customHeight="1" spans="1:18">
      <c r="A15" s="1054" t="s">
        <v>240</v>
      </c>
      <c r="B15" s="1062">
        <f>F7*F8*F15</f>
        <v>1</v>
      </c>
      <c r="C15" s="1056" t="s">
        <v>241</v>
      </c>
      <c r="E15" s="1054"/>
      <c r="F15" s="804">
        <f>VLOOKUP(C15,K23:L25,2,FALSE)</f>
        <v>1000000</v>
      </c>
      <c r="K15" s="804" t="s">
        <v>242</v>
      </c>
      <c r="L15" s="804">
        <v>1e-12</v>
      </c>
      <c r="N15" s="1063">
        <v>2</v>
      </c>
      <c r="O15" s="1063">
        <f t="shared" si="0"/>
        <v>2e-6</v>
      </c>
      <c r="P15" s="1063">
        <f t="shared" si="1"/>
        <v>5</v>
      </c>
      <c r="Q15" s="1063">
        <f t="shared" si="2"/>
        <v>10</v>
      </c>
      <c r="R15" s="1063">
        <f t="shared" si="3"/>
        <v>9.32332358381694</v>
      </c>
    </row>
    <row r="16" spans="1:18">
      <c r="A16" s="1054" t="s">
        <v>243</v>
      </c>
      <c r="B16" s="1059">
        <f>F10+(F6-F10)*(1-EXP(-F9/(B15/F15)))</f>
        <v>10</v>
      </c>
      <c r="C16" s="1058" t="s">
        <v>220</v>
      </c>
      <c r="K16" s="804" t="s">
        <v>230</v>
      </c>
      <c r="L16" s="804">
        <v>1e-9</v>
      </c>
      <c r="N16" s="1063">
        <v>2.25</v>
      </c>
      <c r="O16" s="1063">
        <f t="shared" si="0"/>
        <v>2.25e-6</v>
      </c>
      <c r="P16" s="1063">
        <f t="shared" si="1"/>
        <v>5</v>
      </c>
      <c r="Q16" s="1063">
        <f t="shared" si="2"/>
        <v>10</v>
      </c>
      <c r="R16" s="1063">
        <f t="shared" si="3"/>
        <v>9.47300387719068</v>
      </c>
    </row>
    <row r="17" spans="11:18">
      <c r="K17" s="804" t="s">
        <v>196</v>
      </c>
      <c r="L17" s="804">
        <v>1e-6</v>
      </c>
      <c r="N17" s="1063">
        <v>2.5</v>
      </c>
      <c r="O17" s="1063">
        <f t="shared" si="0"/>
        <v>2.5e-6</v>
      </c>
      <c r="P17" s="1063">
        <f t="shared" si="1"/>
        <v>5</v>
      </c>
      <c r="Q17" s="1063">
        <f t="shared" si="2"/>
        <v>10</v>
      </c>
      <c r="R17" s="1063">
        <f t="shared" si="3"/>
        <v>9.5895750068805</v>
      </c>
    </row>
    <row r="18" spans="11:18">
      <c r="K18" s="804" t="s">
        <v>231</v>
      </c>
      <c r="L18" s="804">
        <v>1</v>
      </c>
      <c r="N18" s="1063">
        <v>2.75</v>
      </c>
      <c r="O18" s="1063">
        <f t="shared" si="0"/>
        <v>2.75e-6</v>
      </c>
      <c r="P18" s="1063">
        <f t="shared" si="1"/>
        <v>5</v>
      </c>
      <c r="Q18" s="1063">
        <f t="shared" si="2"/>
        <v>10</v>
      </c>
      <c r="R18" s="1063">
        <f t="shared" si="3"/>
        <v>9.68036069396646</v>
      </c>
    </row>
    <row r="19" spans="14:18">
      <c r="N19" s="1063">
        <v>3</v>
      </c>
      <c r="O19" s="1063">
        <f t="shared" si="0"/>
        <v>3e-6</v>
      </c>
      <c r="P19" s="1063">
        <f t="shared" si="1"/>
        <v>5</v>
      </c>
      <c r="Q19" s="1063">
        <f t="shared" si="2"/>
        <v>10</v>
      </c>
      <c r="R19" s="1063">
        <f t="shared" si="3"/>
        <v>9.75106465816068</v>
      </c>
    </row>
    <row r="20" ht="18.75" spans="9:18">
      <c r="I20" s="1064" t="s">
        <v>244</v>
      </c>
      <c r="K20" s="804" t="s">
        <v>234</v>
      </c>
      <c r="L20" s="804">
        <v>0.001</v>
      </c>
      <c r="N20" s="1063">
        <v>3.25</v>
      </c>
      <c r="O20" s="1063">
        <f t="shared" si="0"/>
        <v>3.25e-6</v>
      </c>
      <c r="P20" s="1063">
        <f t="shared" si="1"/>
        <v>5</v>
      </c>
      <c r="Q20" s="1063">
        <f t="shared" si="2"/>
        <v>10</v>
      </c>
      <c r="R20" s="1063">
        <f t="shared" si="3"/>
        <v>9.80612896084139</v>
      </c>
    </row>
    <row r="21" spans="11:18">
      <c r="K21" s="804" t="s">
        <v>235</v>
      </c>
      <c r="L21" s="804">
        <v>1</v>
      </c>
      <c r="N21" s="1063">
        <v>3.5</v>
      </c>
      <c r="O21" s="1063">
        <f t="shared" si="0"/>
        <v>3.5e-6</v>
      </c>
      <c r="P21" s="1063">
        <f t="shared" si="1"/>
        <v>5</v>
      </c>
      <c r="Q21" s="1063">
        <f t="shared" si="2"/>
        <v>10</v>
      </c>
      <c r="R21" s="1063">
        <f t="shared" si="3"/>
        <v>9.84901308288841</v>
      </c>
    </row>
    <row r="22" ht="18.75" spans="9:18">
      <c r="I22" s="1065" t="s">
        <v>245</v>
      </c>
      <c r="J22" s="1065" t="s">
        <v>246</v>
      </c>
      <c r="N22" s="1063">
        <v>3.75</v>
      </c>
      <c r="O22" s="1063">
        <f t="shared" si="0"/>
        <v>3.75e-6</v>
      </c>
      <c r="P22" s="1063">
        <f t="shared" si="1"/>
        <v>5</v>
      </c>
      <c r="Q22" s="1063">
        <f t="shared" si="2"/>
        <v>10</v>
      </c>
      <c r="R22" s="1063">
        <f t="shared" si="3"/>
        <v>9.88241127071995</v>
      </c>
    </row>
    <row r="23" ht="18.75" spans="9:18">
      <c r="I23" s="1065" t="s">
        <v>247</v>
      </c>
      <c r="J23" s="1065" t="s">
        <v>248</v>
      </c>
      <c r="K23" s="804" t="s">
        <v>241</v>
      </c>
      <c r="L23" s="804">
        <v>1000000</v>
      </c>
      <c r="N23" s="1063">
        <v>4</v>
      </c>
      <c r="O23" s="1063">
        <f t="shared" si="0"/>
        <v>4e-6</v>
      </c>
      <c r="P23" s="1063">
        <f t="shared" si="1"/>
        <v>5</v>
      </c>
      <c r="Q23" s="1063">
        <f t="shared" si="2"/>
        <v>10</v>
      </c>
      <c r="R23" s="1063">
        <f t="shared" si="3"/>
        <v>9.90842180555633</v>
      </c>
    </row>
    <row r="24" ht="18.75" spans="9:18">
      <c r="I24" s="1065"/>
      <c r="J24" s="1065"/>
      <c r="K24" s="804" t="s">
        <v>234</v>
      </c>
      <c r="L24" s="804">
        <v>1000</v>
      </c>
      <c r="N24" s="1063">
        <v>4.25</v>
      </c>
      <c r="O24" s="1063">
        <f t="shared" si="0"/>
        <v>4.25e-6</v>
      </c>
      <c r="P24" s="1063">
        <f t="shared" si="1"/>
        <v>5</v>
      </c>
      <c r="Q24" s="1063">
        <f t="shared" si="2"/>
        <v>10</v>
      </c>
      <c r="R24" s="1063">
        <f t="shared" si="3"/>
        <v>9.928678830455</v>
      </c>
    </row>
    <row r="25" ht="18.75" spans="9:18">
      <c r="I25" s="1065"/>
      <c r="J25" s="1065"/>
      <c r="K25" s="804" t="s">
        <v>235</v>
      </c>
      <c r="L25" s="804">
        <v>1</v>
      </c>
      <c r="N25" s="1063">
        <v>4.5</v>
      </c>
      <c r="O25" s="1063">
        <f t="shared" si="0"/>
        <v>4.5e-6</v>
      </c>
      <c r="P25" s="1063">
        <f t="shared" si="1"/>
        <v>5</v>
      </c>
      <c r="Q25" s="1063">
        <f t="shared" si="2"/>
        <v>10</v>
      </c>
      <c r="R25" s="1063">
        <f t="shared" si="3"/>
        <v>9.94445501730879</v>
      </c>
    </row>
    <row r="26" ht="18.75" spans="9:18">
      <c r="I26" s="1065" t="s">
        <v>249</v>
      </c>
      <c r="J26" s="1065" t="s">
        <v>250</v>
      </c>
      <c r="N26" s="1063">
        <v>4.75</v>
      </c>
      <c r="O26" s="1063">
        <f t="shared" si="0"/>
        <v>4.75e-6</v>
      </c>
      <c r="P26" s="1063">
        <f t="shared" si="1"/>
        <v>5</v>
      </c>
      <c r="Q26" s="1063">
        <f t="shared" si="2"/>
        <v>10</v>
      </c>
      <c r="R26" s="1063">
        <f t="shared" si="3"/>
        <v>9.9567415239844</v>
      </c>
    </row>
    <row r="27" ht="18.75" spans="9:18">
      <c r="I27" s="1065" t="s">
        <v>251</v>
      </c>
      <c r="J27" s="1065" t="s">
        <v>252</v>
      </c>
      <c r="N27" s="1063">
        <v>5</v>
      </c>
      <c r="O27" s="1063">
        <f t="shared" si="0"/>
        <v>5e-6</v>
      </c>
      <c r="P27" s="1063">
        <f t="shared" si="1"/>
        <v>5</v>
      </c>
      <c r="Q27" s="1063">
        <f t="shared" si="2"/>
        <v>10</v>
      </c>
      <c r="R27" s="1063">
        <f t="shared" si="3"/>
        <v>9.96631026500457</v>
      </c>
    </row>
    <row r="28" ht="18.75" spans="9:18">
      <c r="I28" s="1065" t="s">
        <v>253</v>
      </c>
      <c r="J28" s="1065"/>
      <c r="N28" s="1063">
        <v>5.25</v>
      </c>
      <c r="O28" s="1063">
        <f t="shared" si="0"/>
        <v>5.25e-6</v>
      </c>
      <c r="P28" s="1063">
        <f t="shared" si="1"/>
        <v>5</v>
      </c>
      <c r="Q28" s="1063">
        <f t="shared" si="2"/>
        <v>10</v>
      </c>
      <c r="R28" s="1063">
        <f t="shared" si="3"/>
        <v>9.97376240800409</v>
      </c>
    </row>
    <row r="29" ht="18.75" spans="9:18">
      <c r="I29" s="1065" t="s">
        <v>254</v>
      </c>
      <c r="J29" s="1065"/>
      <c r="N29" s="1063">
        <v>5.5</v>
      </c>
      <c r="O29" s="1063">
        <f t="shared" si="0"/>
        <v>5.5e-6</v>
      </c>
      <c r="P29" s="1063">
        <f t="shared" si="1"/>
        <v>5</v>
      </c>
      <c r="Q29" s="1063">
        <f t="shared" si="2"/>
        <v>10</v>
      </c>
      <c r="R29" s="1063">
        <f t="shared" si="3"/>
        <v>9.97956614280768</v>
      </c>
    </row>
    <row r="30" ht="18.75" spans="9:18">
      <c r="I30" s="1065"/>
      <c r="J30" s="1065"/>
      <c r="N30" s="1063">
        <v>5.75</v>
      </c>
      <c r="O30" s="1063">
        <f t="shared" si="0"/>
        <v>5.75e-6</v>
      </c>
      <c r="P30" s="1063">
        <f t="shared" si="1"/>
        <v>5</v>
      </c>
      <c r="Q30" s="1063">
        <f t="shared" si="2"/>
        <v>10</v>
      </c>
      <c r="R30" s="1063">
        <f t="shared" si="3"/>
        <v>9.98408609601745</v>
      </c>
    </row>
    <row r="31" ht="18.75" spans="9:18">
      <c r="I31" s="1065" t="s">
        <v>255</v>
      </c>
      <c r="J31" s="1065" t="s">
        <v>256</v>
      </c>
      <c r="N31" s="1063">
        <v>6</v>
      </c>
      <c r="O31" s="1063">
        <f t="shared" si="0"/>
        <v>6e-6</v>
      </c>
      <c r="P31" s="1063">
        <f t="shared" si="1"/>
        <v>5</v>
      </c>
      <c r="Q31" s="1063">
        <f t="shared" si="2"/>
        <v>10</v>
      </c>
      <c r="R31" s="1063">
        <f t="shared" si="3"/>
        <v>9.98760623911667</v>
      </c>
    </row>
    <row r="32" ht="18.75" spans="9:18">
      <c r="I32" s="1065" t="s">
        <v>257</v>
      </c>
      <c r="J32" s="1065" t="s">
        <v>258</v>
      </c>
      <c r="N32" s="1063">
        <v>6.25</v>
      </c>
      <c r="O32" s="1063">
        <f t="shared" si="0"/>
        <v>6.25e-6</v>
      </c>
      <c r="P32" s="1063">
        <f t="shared" si="1"/>
        <v>5</v>
      </c>
      <c r="Q32" s="1063">
        <f t="shared" si="2"/>
        <v>10</v>
      </c>
      <c r="R32" s="1063">
        <f t="shared" si="3"/>
        <v>9.99034772931886</v>
      </c>
    </row>
    <row r="33" ht="18.75" spans="9:18">
      <c r="I33" s="1065" t="s">
        <v>259</v>
      </c>
      <c r="J33" s="1065" t="s">
        <v>260</v>
      </c>
      <c r="N33" s="1063">
        <v>6.5</v>
      </c>
      <c r="O33" s="1063">
        <f t="shared" si="0"/>
        <v>6.5e-6</v>
      </c>
      <c r="P33" s="1063">
        <f t="shared" si="1"/>
        <v>5</v>
      </c>
      <c r="Q33" s="1063">
        <f t="shared" si="2"/>
        <v>10</v>
      </c>
      <c r="R33" s="1063">
        <f t="shared" si="3"/>
        <v>9.99248280403511</v>
      </c>
    </row>
    <row r="34" ht="18.75" spans="9:18">
      <c r="I34" s="1065" t="s">
        <v>261</v>
      </c>
      <c r="J34" s="1065" t="s">
        <v>262</v>
      </c>
      <c r="N34" s="1063">
        <v>6.75</v>
      </c>
      <c r="O34" s="1063">
        <f t="shared" si="0"/>
        <v>6.75e-6</v>
      </c>
      <c r="P34" s="1063">
        <f t="shared" si="1"/>
        <v>5</v>
      </c>
      <c r="Q34" s="1063">
        <f t="shared" si="2"/>
        <v>10</v>
      </c>
      <c r="R34" s="1063">
        <f t="shared" si="3"/>
        <v>9.99414560189604</v>
      </c>
    </row>
    <row r="35" ht="18.75" spans="9:18">
      <c r="I35" s="1065" t="s">
        <v>263</v>
      </c>
      <c r="J35" s="1065" t="s">
        <v>264</v>
      </c>
      <c r="N35" s="1063">
        <v>7</v>
      </c>
      <c r="O35" s="1063">
        <f t="shared" si="0"/>
        <v>7e-6</v>
      </c>
      <c r="P35" s="1063">
        <f t="shared" si="1"/>
        <v>5</v>
      </c>
      <c r="Q35" s="1063">
        <f t="shared" si="2"/>
        <v>10</v>
      </c>
      <c r="R35" s="1063">
        <f t="shared" si="3"/>
        <v>9.99544059017223</v>
      </c>
    </row>
  </sheetData>
  <conditionalFormatting sqref="A4:B4">
    <cfRule type="expression" dxfId="2" priority="1">
      <formula>$C$2="kV"</formula>
    </cfRule>
    <cfRule type="expression" dxfId="3" priority="2">
      <formula>$C$2="mV"</formula>
    </cfRule>
  </conditionalFormatting>
  <conditionalFormatting sqref="D6">
    <cfRule type="expression" dxfId="2" priority="15">
      <formula>$C$6="kV"</formula>
    </cfRule>
    <cfRule type="expression" dxfId="3" priority="16">
      <formula>$C$6="mV"</formula>
    </cfRule>
  </conditionalFormatting>
  <conditionalFormatting sqref="D7">
    <cfRule type="expression" dxfId="4" priority="11">
      <formula>$C$7="Ω"</formula>
    </cfRule>
    <cfRule type="expression" dxfId="2" priority="12">
      <formula>$C$7="kΩ"</formula>
    </cfRule>
    <cfRule type="expression" dxfId="3" priority="13">
      <formula>$C$7="mΩ"</formula>
    </cfRule>
    <cfRule type="expression" dxfId="5" priority="14">
      <formula>$C$7="kkΩ"</formula>
    </cfRule>
  </conditionalFormatting>
  <conditionalFormatting sqref="D8">
    <cfRule type="expression" dxfId="6" priority="7">
      <formula>$C$8="pF"</formula>
    </cfRule>
    <cfRule type="expression" dxfId="7" priority="8">
      <formula>$C$8="nF"</formula>
    </cfRule>
    <cfRule type="expression" dxfId="8" priority="9">
      <formula>$C$8="uF"</formula>
    </cfRule>
    <cfRule type="expression" dxfId="4" priority="10">
      <formula>$C$8="F"</formula>
    </cfRule>
  </conditionalFormatting>
  <conditionalFormatting sqref="D9">
    <cfRule type="expression" dxfId="3" priority="5">
      <formula>$C$9="mS"</formula>
    </cfRule>
    <cfRule type="expression" dxfId="4" priority="6">
      <formula>$C$9="S"</formula>
    </cfRule>
  </conditionalFormatting>
  <conditionalFormatting sqref="D10">
    <cfRule type="expression" dxfId="2" priority="3">
      <formula>$C$10="kV"</formula>
    </cfRule>
    <cfRule type="expression" dxfId="3" priority="4">
      <formula>$C$10="mV"</formula>
    </cfRule>
  </conditionalFormatting>
  <dataValidations count="5">
    <dataValidation type="list" allowBlank="1" showInputMessage="1" showErrorMessage="1" sqref="C7">
      <formula1>"mΩ,Ω,kΩ,kkΩ"</formula1>
    </dataValidation>
    <dataValidation type="list" allowBlank="1" showInputMessage="1" showErrorMessage="1" sqref="C6 C10">
      <formula1>"mV,V,kV"</formula1>
    </dataValidation>
    <dataValidation type="list" allowBlank="1" showInputMessage="1" showErrorMessage="1" sqref="C8">
      <formula1>"pF,nF,uF,F"</formula1>
    </dataValidation>
    <dataValidation type="list" allowBlank="1" showInputMessage="1" showErrorMessage="1" sqref="C9">
      <formula1>"S,mS"</formula1>
    </dataValidation>
    <dataValidation type="list" allowBlank="1" showInputMessage="1" showErrorMessage="1" sqref="C15">
      <formula1>"S,mS,uS"</formula1>
    </dataValidation>
  </dataValidations>
  <pageMargins left="0.7" right="0.7" top="0.75" bottom="0.75" header="0.3" footer="0.3"/>
  <pageSetup paperSize="1" orientation="portrait"/>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8000"/>
  </sheetPr>
  <dimension ref="A1:R38"/>
  <sheetViews>
    <sheetView zoomScale="85" zoomScaleNormal="85" workbookViewId="0">
      <selection activeCell="C5" sqref="C5"/>
    </sheetView>
  </sheetViews>
  <sheetFormatPr defaultColWidth="9" defaultRowHeight="13.5"/>
  <cols>
    <col min="1" max="1" width="17.25" style="804" customWidth="1"/>
    <col min="2" max="2" width="18.125" style="804" customWidth="1"/>
    <col min="3" max="3" width="10.375" style="804" customWidth="1"/>
    <col min="4" max="4" width="15.375" style="804" customWidth="1"/>
    <col min="5" max="5" width="23.375" style="804" customWidth="1"/>
    <col min="6" max="6" width="13.25" style="804" hidden="1" customWidth="1"/>
    <col min="7" max="8" width="9" style="804"/>
    <col min="9" max="9" width="55.375" style="804" customWidth="1"/>
    <col min="10" max="10" width="35.375" style="804" customWidth="1"/>
    <col min="11" max="11" width="9" style="804"/>
    <col min="12" max="12" width="12.75" style="804" customWidth="1"/>
    <col min="13" max="14" width="9" style="804"/>
    <col min="15" max="15" width="9.5" style="804" customWidth="1"/>
    <col min="16" max="17" width="9" style="804"/>
    <col min="18" max="18" width="25.5" style="804" customWidth="1"/>
    <col min="19" max="16384" width="9" style="804"/>
  </cols>
  <sheetData>
    <row r="1" ht="33.75" customHeight="1" spans="1:5">
      <c r="A1" s="1053" t="s">
        <v>214</v>
      </c>
      <c r="B1" s="1053" t="s">
        <v>215</v>
      </c>
      <c r="C1" s="1053" t="s">
        <v>216</v>
      </c>
      <c r="D1" s="1053" t="s">
        <v>217</v>
      </c>
      <c r="E1" s="1053" t="s">
        <v>218</v>
      </c>
    </row>
    <row r="2" ht="24" customHeight="1" spans="1:18">
      <c r="A2" s="1054" t="s">
        <v>265</v>
      </c>
      <c r="B2" s="1055">
        <v>5</v>
      </c>
      <c r="C2" s="1056" t="s">
        <v>220</v>
      </c>
      <c r="D2" s="1057">
        <f>B2</f>
        <v>5</v>
      </c>
      <c r="E2" s="1058" t="s">
        <v>220</v>
      </c>
      <c r="F2" s="804">
        <f>VLOOKUP(C2,K2:L4,2,FALSE)*B2</f>
        <v>5</v>
      </c>
      <c r="K2" s="804" t="s">
        <v>221</v>
      </c>
      <c r="L2" s="804">
        <v>0.001</v>
      </c>
      <c r="N2" s="1063" t="s">
        <v>222</v>
      </c>
      <c r="O2" s="1063" t="s">
        <v>223</v>
      </c>
      <c r="P2" s="1063"/>
      <c r="Q2" s="1063" t="s">
        <v>225</v>
      </c>
      <c r="R2" s="1063" t="s">
        <v>226</v>
      </c>
    </row>
    <row r="3" ht="29.25" customHeight="1" spans="1:18">
      <c r="A3" s="1054" t="s">
        <v>227</v>
      </c>
      <c r="B3" s="1055">
        <v>1</v>
      </c>
      <c r="C3" s="1056" t="s">
        <v>238</v>
      </c>
      <c r="D3" s="1059">
        <f>B3</f>
        <v>1</v>
      </c>
      <c r="E3" s="1058" t="s">
        <v>208</v>
      </c>
      <c r="F3" s="804">
        <f>VLOOKUP(C3,K6:L9,2,FALSE)*B3</f>
        <v>1000000</v>
      </c>
      <c r="K3" s="804" t="s">
        <v>220</v>
      </c>
      <c r="L3" s="804">
        <v>1</v>
      </c>
      <c r="N3" s="1063">
        <v>0</v>
      </c>
      <c r="O3" s="1063">
        <f t="shared" ref="O3:O31" si="0">$B$11/$F$11*N3</f>
        <v>0</v>
      </c>
      <c r="P3" s="1063"/>
      <c r="Q3" s="1063">
        <f t="shared" ref="Q3:Q31" si="1">$F$2</f>
        <v>5</v>
      </c>
      <c r="R3" s="1063">
        <f t="shared" ref="R3:R31" si="2">Q3*EXP(-O3/($B$11/$F$11))</f>
        <v>5</v>
      </c>
    </row>
    <row r="4" ht="24" customHeight="1" spans="1:18">
      <c r="A4" s="1054" t="s">
        <v>229</v>
      </c>
      <c r="B4" s="1055">
        <v>1</v>
      </c>
      <c r="C4" s="1056" t="s">
        <v>196</v>
      </c>
      <c r="D4" s="1060">
        <f>B4</f>
        <v>1</v>
      </c>
      <c r="E4" s="1058" t="s">
        <v>231</v>
      </c>
      <c r="F4" s="852">
        <f>VLOOKUP(C4,K11:L14,2,FALSE)*B4</f>
        <v>1e-6</v>
      </c>
      <c r="K4" s="804" t="s">
        <v>232</v>
      </c>
      <c r="L4" s="804">
        <v>1000</v>
      </c>
      <c r="N4" s="1063">
        <v>0.25</v>
      </c>
      <c r="O4" s="1063">
        <f t="shared" si="0"/>
        <v>0.25</v>
      </c>
      <c r="P4" s="1063"/>
      <c r="Q4" s="1063">
        <f t="shared" si="1"/>
        <v>5</v>
      </c>
      <c r="R4" s="1063">
        <f t="shared" si="2"/>
        <v>3.89400391535702</v>
      </c>
    </row>
    <row r="5" ht="26.25" customHeight="1" spans="1:18">
      <c r="A5" s="1054" t="s">
        <v>266</v>
      </c>
      <c r="B5" s="1055">
        <v>1</v>
      </c>
      <c r="C5" s="1056" t="s">
        <v>234</v>
      </c>
      <c r="D5" s="1057">
        <f>B5</f>
        <v>1</v>
      </c>
      <c r="E5" s="1058" t="s">
        <v>235</v>
      </c>
      <c r="F5" s="804">
        <f>VLOOKUP(C5,K16:L17,2,FALSE)*B5</f>
        <v>0.001</v>
      </c>
      <c r="N5" s="1063">
        <v>0.5</v>
      </c>
      <c r="O5" s="1063">
        <f t="shared" si="0"/>
        <v>0.5</v>
      </c>
      <c r="P5" s="1063"/>
      <c r="Q5" s="1063">
        <f t="shared" si="1"/>
        <v>5</v>
      </c>
      <c r="R5" s="1063">
        <f t="shared" si="2"/>
        <v>3.03265329856317</v>
      </c>
    </row>
    <row r="6" spans="1:18">
      <c r="A6" s="1054"/>
      <c r="B6" s="1054"/>
      <c r="C6" s="1054"/>
      <c r="D6" s="1054"/>
      <c r="E6" s="1054"/>
      <c r="K6" s="804" t="s">
        <v>237</v>
      </c>
      <c r="L6" s="804">
        <v>0.001</v>
      </c>
      <c r="N6" s="1063">
        <v>0.75</v>
      </c>
      <c r="O6" s="1063">
        <f t="shared" si="0"/>
        <v>0.75</v>
      </c>
      <c r="P6" s="1063"/>
      <c r="Q6" s="1063">
        <f t="shared" si="1"/>
        <v>5</v>
      </c>
      <c r="R6" s="1063">
        <f t="shared" si="2"/>
        <v>2.36183276370507</v>
      </c>
    </row>
    <row r="7" spans="2:18">
      <c r="B7" s="1054"/>
      <c r="K7" s="804" t="s">
        <v>208</v>
      </c>
      <c r="L7" s="804">
        <v>1</v>
      </c>
      <c r="N7" s="1063">
        <v>1</v>
      </c>
      <c r="O7" s="1063">
        <f t="shared" si="0"/>
        <v>1</v>
      </c>
      <c r="P7" s="1063"/>
      <c r="Q7" s="1063">
        <f t="shared" si="1"/>
        <v>5</v>
      </c>
      <c r="R7" s="1063">
        <f t="shared" si="2"/>
        <v>1.83939720585721</v>
      </c>
    </row>
    <row r="8" spans="2:18">
      <c r="B8" s="1054"/>
      <c r="K8" s="804" t="s">
        <v>228</v>
      </c>
      <c r="L8" s="804">
        <v>1000</v>
      </c>
      <c r="N8" s="1063">
        <v>1.25</v>
      </c>
      <c r="O8" s="1063">
        <f t="shared" si="0"/>
        <v>1.25</v>
      </c>
      <c r="P8" s="1063"/>
      <c r="Q8" s="1063">
        <f t="shared" si="1"/>
        <v>5</v>
      </c>
      <c r="R8" s="1063">
        <f t="shared" si="2"/>
        <v>1.43252398430095</v>
      </c>
    </row>
    <row r="9" spans="2:18">
      <c r="B9" s="1054"/>
      <c r="K9" s="804" t="s">
        <v>238</v>
      </c>
      <c r="L9" s="804">
        <v>1000000</v>
      </c>
      <c r="N9" s="1063">
        <v>1.5</v>
      </c>
      <c r="O9" s="1063">
        <f t="shared" si="0"/>
        <v>1.5</v>
      </c>
      <c r="P9" s="1063"/>
      <c r="Q9" s="1063">
        <f t="shared" si="1"/>
        <v>5</v>
      </c>
      <c r="R9" s="1063">
        <f t="shared" si="2"/>
        <v>1.11565080074215</v>
      </c>
    </row>
    <row r="10" ht="26.25" customHeight="1" spans="1:18">
      <c r="A10" s="1061" t="s">
        <v>239</v>
      </c>
      <c r="B10" s="1061" t="s">
        <v>213</v>
      </c>
      <c r="C10" s="1061" t="s">
        <v>216</v>
      </c>
      <c r="N10" s="1063">
        <v>1.75</v>
      </c>
      <c r="O10" s="1063">
        <f t="shared" si="0"/>
        <v>1.75</v>
      </c>
      <c r="P10" s="1063"/>
      <c r="Q10" s="1063">
        <f t="shared" si="1"/>
        <v>5</v>
      </c>
      <c r="R10" s="1063">
        <f t="shared" si="2"/>
        <v>0.868869717252226</v>
      </c>
    </row>
    <row r="11" ht="29.25" customHeight="1" spans="1:18">
      <c r="A11" s="1054" t="s">
        <v>240</v>
      </c>
      <c r="B11" s="1062">
        <f>F3*F4*F11</f>
        <v>1000</v>
      </c>
      <c r="C11" s="1056" t="s">
        <v>234</v>
      </c>
      <c r="E11" s="1054"/>
      <c r="F11" s="804">
        <f>VLOOKUP(C11,K19:L21,2,FALSE)</f>
        <v>1000</v>
      </c>
      <c r="K11" s="804" t="s">
        <v>242</v>
      </c>
      <c r="L11" s="804">
        <v>1e-12</v>
      </c>
      <c r="N11" s="1063">
        <v>2</v>
      </c>
      <c r="O11" s="1063">
        <f t="shared" si="0"/>
        <v>2</v>
      </c>
      <c r="P11" s="1063"/>
      <c r="Q11" s="1063">
        <f t="shared" si="1"/>
        <v>5</v>
      </c>
      <c r="R11" s="1063">
        <f t="shared" si="2"/>
        <v>0.676676416183064</v>
      </c>
    </row>
    <row r="12" spans="1:18">
      <c r="A12" s="1054" t="s">
        <v>267</v>
      </c>
      <c r="B12" s="1059">
        <f>F2*EXP(-F5/(B11/F11))</f>
        <v>4.99500249916688</v>
      </c>
      <c r="C12" s="1058" t="s">
        <v>220</v>
      </c>
      <c r="K12" s="804" t="s">
        <v>230</v>
      </c>
      <c r="L12" s="804">
        <v>1e-9</v>
      </c>
      <c r="N12" s="1063">
        <v>2.25</v>
      </c>
      <c r="O12" s="1063">
        <f t="shared" si="0"/>
        <v>2.25</v>
      </c>
      <c r="P12" s="1063"/>
      <c r="Q12" s="1063">
        <f t="shared" si="1"/>
        <v>5</v>
      </c>
      <c r="R12" s="1063">
        <f t="shared" si="2"/>
        <v>0.526996122809322</v>
      </c>
    </row>
    <row r="13" spans="11:18">
      <c r="K13" s="804" t="s">
        <v>196</v>
      </c>
      <c r="L13" s="804">
        <v>1e-6</v>
      </c>
      <c r="N13" s="1063">
        <v>2.5</v>
      </c>
      <c r="O13" s="1063">
        <f t="shared" si="0"/>
        <v>2.5</v>
      </c>
      <c r="P13" s="1063"/>
      <c r="Q13" s="1063">
        <f t="shared" si="1"/>
        <v>5</v>
      </c>
      <c r="R13" s="1063">
        <f t="shared" si="2"/>
        <v>0.410424993119494</v>
      </c>
    </row>
    <row r="14" spans="11:18">
      <c r="K14" s="804" t="s">
        <v>231</v>
      </c>
      <c r="L14" s="804">
        <v>1</v>
      </c>
      <c r="N14" s="1063">
        <v>2.75</v>
      </c>
      <c r="O14" s="1063">
        <f t="shared" si="0"/>
        <v>2.75</v>
      </c>
      <c r="P14" s="1063"/>
      <c r="Q14" s="1063">
        <f t="shared" si="1"/>
        <v>5</v>
      </c>
      <c r="R14" s="1063">
        <f t="shared" si="2"/>
        <v>0.319639306033538</v>
      </c>
    </row>
    <row r="15" spans="14:18">
      <c r="N15" s="1063">
        <v>3</v>
      </c>
      <c r="O15" s="1063">
        <f t="shared" si="0"/>
        <v>3</v>
      </c>
      <c r="P15" s="1063"/>
      <c r="Q15" s="1063">
        <f t="shared" si="1"/>
        <v>5</v>
      </c>
      <c r="R15" s="1063">
        <f t="shared" si="2"/>
        <v>0.24893534183932</v>
      </c>
    </row>
    <row r="16" ht="18.75" spans="9:18">
      <c r="I16" s="1064" t="s">
        <v>244</v>
      </c>
      <c r="K16" s="804" t="s">
        <v>234</v>
      </c>
      <c r="L16" s="804">
        <v>0.001</v>
      </c>
      <c r="N16" s="1063">
        <v>3.25</v>
      </c>
      <c r="O16" s="1063">
        <f t="shared" si="0"/>
        <v>3.25</v>
      </c>
      <c r="P16" s="1063"/>
      <c r="Q16" s="1063">
        <f t="shared" si="1"/>
        <v>5</v>
      </c>
      <c r="R16" s="1063">
        <f t="shared" si="2"/>
        <v>0.19387103915861</v>
      </c>
    </row>
    <row r="17" spans="11:18">
      <c r="K17" s="804" t="s">
        <v>235</v>
      </c>
      <c r="L17" s="804">
        <v>1</v>
      </c>
      <c r="N17" s="1063">
        <v>3.5</v>
      </c>
      <c r="O17" s="1063">
        <f t="shared" si="0"/>
        <v>3.5</v>
      </c>
      <c r="P17" s="1063"/>
      <c r="Q17" s="1063">
        <f t="shared" si="1"/>
        <v>5</v>
      </c>
      <c r="R17" s="1063">
        <f t="shared" si="2"/>
        <v>0.150986917111593</v>
      </c>
    </row>
    <row r="18" ht="18.75" spans="9:18">
      <c r="I18" s="1065" t="s">
        <v>245</v>
      </c>
      <c r="J18" s="1065" t="s">
        <v>246</v>
      </c>
      <c r="N18" s="1063">
        <v>3.75</v>
      </c>
      <c r="O18" s="1063">
        <f t="shared" si="0"/>
        <v>3.75</v>
      </c>
      <c r="P18" s="1063"/>
      <c r="Q18" s="1063">
        <f t="shared" si="1"/>
        <v>5</v>
      </c>
      <c r="R18" s="1063">
        <f t="shared" si="2"/>
        <v>0.117588729280046</v>
      </c>
    </row>
    <row r="19" ht="18.75" spans="9:18">
      <c r="I19" s="1065" t="s">
        <v>247</v>
      </c>
      <c r="J19" s="1065" t="s">
        <v>248</v>
      </c>
      <c r="K19" s="804" t="s">
        <v>241</v>
      </c>
      <c r="L19" s="804">
        <v>1000000</v>
      </c>
      <c r="N19" s="1063">
        <v>4</v>
      </c>
      <c r="O19" s="1063">
        <f t="shared" si="0"/>
        <v>4</v>
      </c>
      <c r="P19" s="1063"/>
      <c r="Q19" s="1063">
        <f t="shared" si="1"/>
        <v>5</v>
      </c>
      <c r="R19" s="1063">
        <f t="shared" si="2"/>
        <v>0.0915781944436709</v>
      </c>
    </row>
    <row r="20" ht="18.75" spans="9:18">
      <c r="I20" s="1065"/>
      <c r="J20" s="1065"/>
      <c r="K20" s="804" t="s">
        <v>234</v>
      </c>
      <c r="L20" s="804">
        <v>1000</v>
      </c>
      <c r="N20" s="1063">
        <v>4.25</v>
      </c>
      <c r="O20" s="1063">
        <f t="shared" si="0"/>
        <v>4.25</v>
      </c>
      <c r="P20" s="1063"/>
      <c r="Q20" s="1063">
        <f t="shared" si="1"/>
        <v>5</v>
      </c>
      <c r="R20" s="1063">
        <f t="shared" si="2"/>
        <v>0.0713211695449963</v>
      </c>
    </row>
    <row r="21" ht="18.75" spans="9:18">
      <c r="I21" s="1065"/>
      <c r="J21" s="1065"/>
      <c r="K21" s="804" t="s">
        <v>235</v>
      </c>
      <c r="L21" s="804">
        <v>1</v>
      </c>
      <c r="N21" s="1063">
        <v>4.5</v>
      </c>
      <c r="O21" s="1063">
        <f t="shared" si="0"/>
        <v>4.5</v>
      </c>
      <c r="P21" s="1063"/>
      <c r="Q21" s="1063">
        <f t="shared" si="1"/>
        <v>5</v>
      </c>
      <c r="R21" s="1063">
        <f t="shared" si="2"/>
        <v>0.0555449826912115</v>
      </c>
    </row>
    <row r="22" ht="18.75" spans="9:18">
      <c r="I22" s="1065" t="s">
        <v>249</v>
      </c>
      <c r="J22" s="1065" t="s">
        <v>250</v>
      </c>
      <c r="N22" s="1063">
        <v>4.75</v>
      </c>
      <c r="O22" s="1063">
        <f t="shared" si="0"/>
        <v>4.75</v>
      </c>
      <c r="P22" s="1063"/>
      <c r="Q22" s="1063">
        <f t="shared" si="1"/>
        <v>5</v>
      </c>
      <c r="R22" s="1063">
        <f t="shared" si="2"/>
        <v>0.0432584760156032</v>
      </c>
    </row>
    <row r="23" ht="18.75" spans="9:18">
      <c r="I23" s="1065" t="s">
        <v>268</v>
      </c>
      <c r="J23" s="1065" t="s">
        <v>252</v>
      </c>
      <c r="N23" s="1063">
        <v>5</v>
      </c>
      <c r="O23" s="1063">
        <f t="shared" si="0"/>
        <v>5</v>
      </c>
      <c r="P23" s="1063"/>
      <c r="Q23" s="1063">
        <f t="shared" si="1"/>
        <v>5</v>
      </c>
      <c r="R23" s="1063">
        <f t="shared" si="2"/>
        <v>0.0336897349954273</v>
      </c>
    </row>
    <row r="24" ht="18.75" spans="9:18">
      <c r="I24" s="1065"/>
      <c r="J24" s="1065"/>
      <c r="N24" s="1063">
        <v>5.25</v>
      </c>
      <c r="O24" s="1063">
        <f t="shared" si="0"/>
        <v>5.25</v>
      </c>
      <c r="P24" s="1063"/>
      <c r="Q24" s="1063">
        <f t="shared" si="1"/>
        <v>5</v>
      </c>
      <c r="R24" s="1063">
        <f t="shared" si="2"/>
        <v>0.0262375919959069</v>
      </c>
    </row>
    <row r="25" ht="18.75" spans="9:18">
      <c r="I25" s="1065" t="s">
        <v>254</v>
      </c>
      <c r="J25" s="1065"/>
      <c r="N25" s="1063">
        <v>5.5</v>
      </c>
      <c r="O25" s="1063">
        <f t="shared" si="0"/>
        <v>5.5</v>
      </c>
      <c r="P25" s="1063"/>
      <c r="Q25" s="1063">
        <f t="shared" si="1"/>
        <v>5</v>
      </c>
      <c r="R25" s="1063">
        <f t="shared" si="2"/>
        <v>0.0204338571923203</v>
      </c>
    </row>
    <row r="26" ht="18.75" spans="9:18">
      <c r="I26" s="1065"/>
      <c r="J26" s="1065"/>
      <c r="N26" s="1063">
        <v>5.75</v>
      </c>
      <c r="O26" s="1063">
        <f t="shared" si="0"/>
        <v>5.75</v>
      </c>
      <c r="P26" s="1063"/>
      <c r="Q26" s="1063">
        <f t="shared" si="1"/>
        <v>5</v>
      </c>
      <c r="R26" s="1063">
        <f t="shared" si="2"/>
        <v>0.0159139039825483</v>
      </c>
    </row>
    <row r="27" ht="18.75" spans="9:18">
      <c r="I27" s="1065" t="s">
        <v>269</v>
      </c>
      <c r="J27" s="1065" t="s">
        <v>270</v>
      </c>
      <c r="N27" s="1063">
        <v>6</v>
      </c>
      <c r="O27" s="1063">
        <f t="shared" si="0"/>
        <v>6</v>
      </c>
      <c r="P27" s="1063"/>
      <c r="Q27" s="1063">
        <f t="shared" si="1"/>
        <v>5</v>
      </c>
      <c r="R27" s="1063">
        <f t="shared" si="2"/>
        <v>0.0123937608833318</v>
      </c>
    </row>
    <row r="28" ht="18.75" spans="9:18">
      <c r="I28" s="1065" t="s">
        <v>271</v>
      </c>
      <c r="J28" s="1065" t="s">
        <v>272</v>
      </c>
      <c r="N28" s="1063">
        <v>6.25</v>
      </c>
      <c r="O28" s="1063">
        <f t="shared" si="0"/>
        <v>6.25</v>
      </c>
      <c r="P28" s="1063"/>
      <c r="Q28" s="1063">
        <f t="shared" si="1"/>
        <v>5</v>
      </c>
      <c r="R28" s="1063">
        <f t="shared" si="2"/>
        <v>0.00965227068113855</v>
      </c>
    </row>
    <row r="29" ht="18.75" spans="9:18">
      <c r="I29" s="1065" t="s">
        <v>273</v>
      </c>
      <c r="J29" s="1065" t="s">
        <v>274</v>
      </c>
      <c r="N29" s="1063">
        <v>6.5</v>
      </c>
      <c r="O29" s="1063">
        <f t="shared" si="0"/>
        <v>6.5</v>
      </c>
      <c r="P29" s="1063"/>
      <c r="Q29" s="1063">
        <f t="shared" si="1"/>
        <v>5</v>
      </c>
      <c r="R29" s="1063">
        <f t="shared" si="2"/>
        <v>0.00751719596488786</v>
      </c>
    </row>
    <row r="30" ht="18.75" spans="9:18">
      <c r="I30" s="1065" t="s">
        <v>275</v>
      </c>
      <c r="J30" s="1065" t="s">
        <v>276</v>
      </c>
      <c r="N30" s="1063">
        <v>6.75</v>
      </c>
      <c r="O30" s="1063">
        <f t="shared" si="0"/>
        <v>6.75</v>
      </c>
      <c r="P30" s="1063"/>
      <c r="Q30" s="1063">
        <f t="shared" si="1"/>
        <v>5</v>
      </c>
      <c r="R30" s="1063">
        <f t="shared" si="2"/>
        <v>0.00585439810395587</v>
      </c>
    </row>
    <row r="31" ht="18.75" spans="9:18">
      <c r="I31" s="1065" t="s">
        <v>277</v>
      </c>
      <c r="J31" s="1065" t="s">
        <v>278</v>
      </c>
      <c r="N31" s="1063">
        <v>7</v>
      </c>
      <c r="O31" s="1063">
        <f t="shared" si="0"/>
        <v>7</v>
      </c>
      <c r="P31" s="1063"/>
      <c r="Q31" s="1063">
        <f t="shared" si="1"/>
        <v>5</v>
      </c>
      <c r="R31" s="1063">
        <f t="shared" si="2"/>
        <v>0.00455940982777258</v>
      </c>
    </row>
    <row r="32" ht="18.75" spans="9:10">
      <c r="I32" s="1065"/>
      <c r="J32" s="1065"/>
    </row>
    <row r="33" ht="18.75" spans="9:10">
      <c r="I33" s="1065"/>
      <c r="J33" s="1065"/>
    </row>
    <row r="34" ht="18.75" spans="9:10">
      <c r="I34" s="1065"/>
      <c r="J34" s="1065"/>
    </row>
    <row r="35" ht="18.75" spans="9:10">
      <c r="I35" s="1065"/>
      <c r="J35" s="1065"/>
    </row>
    <row r="36" ht="18.75" spans="9:10">
      <c r="I36" s="1065" t="s">
        <v>279</v>
      </c>
      <c r="J36" s="1065"/>
    </row>
    <row r="37" ht="18.75" spans="9:10">
      <c r="I37" s="1065" t="s">
        <v>280</v>
      </c>
      <c r="J37" s="1065"/>
    </row>
    <row r="38" ht="24.75" customHeight="1" spans="9:9">
      <c r="I38" s="1065" t="s">
        <v>281</v>
      </c>
    </row>
  </sheetData>
  <conditionalFormatting sqref="D2">
    <cfRule type="expression" dxfId="2" priority="11">
      <formula>$C$2="kV"</formula>
    </cfRule>
    <cfRule type="expression" dxfId="3" priority="12">
      <formula>$C$2="mV"</formula>
    </cfRule>
  </conditionalFormatting>
  <conditionalFormatting sqref="D3">
    <cfRule type="expression" dxfId="4" priority="7">
      <formula>$C$3="Ω"</formula>
    </cfRule>
    <cfRule type="expression" dxfId="2" priority="8">
      <formula>$C$3="kΩ"</formula>
    </cfRule>
    <cfRule type="expression" dxfId="3" priority="9">
      <formula>$C$3="mΩ"</formula>
    </cfRule>
    <cfRule type="expression" dxfId="5" priority="10">
      <formula>$C$3="kkΩ"</formula>
    </cfRule>
  </conditionalFormatting>
  <conditionalFormatting sqref="D4">
    <cfRule type="expression" dxfId="6" priority="3">
      <formula>$C$4="pF"</formula>
    </cfRule>
    <cfRule type="expression" dxfId="7" priority="4">
      <formula>$C$4="nF"</formula>
    </cfRule>
    <cfRule type="expression" dxfId="8" priority="5">
      <formula>$C$4="uF"</formula>
    </cfRule>
    <cfRule type="expression" dxfId="4" priority="6">
      <formula>$C$4="F"</formula>
    </cfRule>
  </conditionalFormatting>
  <conditionalFormatting sqref="D5">
    <cfRule type="expression" dxfId="3" priority="1">
      <formula>$C$5="mS"</formula>
    </cfRule>
    <cfRule type="expression" dxfId="4" priority="2">
      <formula>$C$5="S"</formula>
    </cfRule>
  </conditionalFormatting>
  <dataValidations count="5">
    <dataValidation type="list" allowBlank="1" showInputMessage="1" showErrorMessage="1" sqref="C3">
      <formula1>"mΩ,Ω,kΩ,kkΩ"</formula1>
    </dataValidation>
    <dataValidation type="list" allowBlank="1" showInputMessage="1" showErrorMessage="1" sqref="C2 C6">
      <formula1>"mV,V,kV"</formula1>
    </dataValidation>
    <dataValidation type="list" allowBlank="1" showInputMessage="1" showErrorMessage="1" sqref="C4">
      <formula1>"pF,nF,uF,F"</formula1>
    </dataValidation>
    <dataValidation type="list" allowBlank="1" showInputMessage="1" showErrorMessage="1" sqref="C5">
      <formula1>"S,mS"</formula1>
    </dataValidation>
    <dataValidation type="list" allowBlank="1" showInputMessage="1" showErrorMessage="1" sqref="C11">
      <formula1>"S,mS,uS"</formula1>
    </dataValidation>
  </dataValidations>
  <pageMargins left="0.7" right="0.7" top="0.75" bottom="0.75" header="0.3" footer="0.3"/>
  <pageSetup paperSize="1"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8000"/>
  </sheetPr>
  <dimension ref="A2:E20"/>
  <sheetViews>
    <sheetView zoomScale="70" zoomScaleNormal="70" workbookViewId="0">
      <selection activeCell="D18" sqref="D18"/>
    </sheetView>
  </sheetViews>
  <sheetFormatPr defaultColWidth="9" defaultRowHeight="13.5" outlineLevelCol="4"/>
  <cols>
    <col min="1" max="1" width="11.25" style="804" customWidth="1"/>
    <col min="2" max="2" width="9" style="804"/>
    <col min="3" max="3" width="13.875" style="804" customWidth="1"/>
    <col min="4" max="4" width="14.75" style="804" customWidth="1"/>
    <col min="5" max="5" width="14.125" style="804" customWidth="1"/>
    <col min="6" max="16384" width="9" style="804"/>
  </cols>
  <sheetData>
    <row r="2" spans="1:1">
      <c r="A2" s="829" t="s">
        <v>282</v>
      </c>
    </row>
    <row r="3" spans="1:5">
      <c r="A3" s="1037"/>
      <c r="B3" s="1038"/>
      <c r="C3" s="1039" t="s">
        <v>283</v>
      </c>
      <c r="D3" s="1040" t="s">
        <v>283</v>
      </c>
      <c r="E3" s="1041" t="s">
        <v>283</v>
      </c>
    </row>
    <row r="4" spans="1:5">
      <c r="A4" s="1042" t="s">
        <v>284</v>
      </c>
      <c r="B4" s="802"/>
      <c r="C4" s="1043">
        <v>25</v>
      </c>
      <c r="D4" s="1044">
        <v>125</v>
      </c>
      <c r="E4" s="1045">
        <v>-55</v>
      </c>
    </row>
    <row r="5" spans="1:5">
      <c r="A5" s="1046" t="s">
        <v>285</v>
      </c>
      <c r="B5" s="802"/>
      <c r="C5" s="1047" t="s">
        <v>286</v>
      </c>
      <c r="D5" s="1048" t="s">
        <v>286</v>
      </c>
      <c r="E5" s="1049" t="s">
        <v>286</v>
      </c>
    </row>
    <row r="6" spans="1:5">
      <c r="A6" s="1050">
        <v>10000</v>
      </c>
      <c r="B6" s="1051"/>
      <c r="C6" s="1052">
        <f>SQRT(4*1.38E-23*(C$4+273)*$A6)</f>
        <v>1.28255994011976e-8</v>
      </c>
      <c r="D6" s="1052">
        <f>SQRT(4*1.38E-23*(D$4+273)*$A6)</f>
        <v>1.48221455936717e-8</v>
      </c>
      <c r="E6" s="1052">
        <f>SQRT(4*1.38E-23*(E$4+273)*$A6)</f>
        <v>1.09697766613546e-8</v>
      </c>
    </row>
    <row r="10" spans="1:3">
      <c r="A10" s="829" t="s">
        <v>287</v>
      </c>
      <c r="B10" s="829"/>
      <c r="C10" s="829"/>
    </row>
    <row r="11" spans="3:5">
      <c r="C11" s="1039" t="s">
        <v>283</v>
      </c>
      <c r="D11" s="1040" t="s">
        <v>283</v>
      </c>
      <c r="E11" s="1041" t="s">
        <v>283</v>
      </c>
    </row>
    <row r="12" spans="3:5">
      <c r="C12" s="1043">
        <v>25</v>
      </c>
      <c r="D12" s="1044">
        <v>125</v>
      </c>
      <c r="E12" s="1045">
        <v>-55</v>
      </c>
    </row>
    <row r="13" ht="14.25" spans="1:5">
      <c r="A13" s="807" t="s">
        <v>284</v>
      </c>
      <c r="B13" s="807"/>
      <c r="C13" s="807" t="s">
        <v>286</v>
      </c>
      <c r="D13" s="807" t="s">
        <v>286</v>
      </c>
      <c r="E13" s="807" t="s">
        <v>286</v>
      </c>
    </row>
    <row r="14" spans="1:5">
      <c r="A14" s="803">
        <v>10</v>
      </c>
      <c r="B14" s="803">
        <v>10</v>
      </c>
      <c r="C14" s="850">
        <f t="shared" ref="C14:E20" si="0">SQRT(4*1.38E-23*(C$12+273)*$A14)</f>
        <v>4.05581064646761e-10</v>
      </c>
      <c r="D14" s="850">
        <f t="shared" si="0"/>
        <v>4.68717398866311e-10</v>
      </c>
      <c r="E14" s="850">
        <f t="shared" si="0"/>
        <v>3.46894796732381e-10</v>
      </c>
    </row>
    <row r="15" spans="1:5">
      <c r="A15" s="803">
        <v>100</v>
      </c>
      <c r="B15" s="803">
        <v>100</v>
      </c>
      <c r="C15" s="850">
        <f t="shared" si="0"/>
        <v>1.28255994011976e-9</v>
      </c>
      <c r="D15" s="850">
        <f t="shared" si="0"/>
        <v>1.48221455936717e-9</v>
      </c>
      <c r="E15" s="850">
        <f t="shared" si="0"/>
        <v>1.09697766613546e-9</v>
      </c>
    </row>
    <row r="16" spans="1:5">
      <c r="A16" s="803">
        <v>1000</v>
      </c>
      <c r="B16" s="803" t="s">
        <v>288</v>
      </c>
      <c r="C16" s="850">
        <f t="shared" si="0"/>
        <v>4.05581064646761e-9</v>
      </c>
      <c r="D16" s="850">
        <f t="shared" si="0"/>
        <v>4.68717398866311e-9</v>
      </c>
      <c r="E16" s="850">
        <f t="shared" si="0"/>
        <v>3.46894796732381e-9</v>
      </c>
    </row>
    <row r="17" spans="1:5">
      <c r="A17" s="803">
        <v>10000</v>
      </c>
      <c r="B17" s="803" t="s">
        <v>289</v>
      </c>
      <c r="C17" s="850">
        <f t="shared" si="0"/>
        <v>1.28255994011976e-8</v>
      </c>
      <c r="D17" s="850">
        <f t="shared" si="0"/>
        <v>1.48221455936717e-8</v>
      </c>
      <c r="E17" s="850">
        <f t="shared" si="0"/>
        <v>1.09697766613546e-8</v>
      </c>
    </row>
    <row r="18" spans="1:5">
      <c r="A18" s="803">
        <v>100000</v>
      </c>
      <c r="B18" s="803" t="s">
        <v>290</v>
      </c>
      <c r="C18" s="850">
        <f t="shared" si="0"/>
        <v>4.05581064646761e-8</v>
      </c>
      <c r="D18" s="850">
        <f t="shared" si="0"/>
        <v>4.6871739886631e-8</v>
      </c>
      <c r="E18" s="850">
        <f t="shared" si="0"/>
        <v>3.46894796732381e-8</v>
      </c>
    </row>
    <row r="19" spans="1:5">
      <c r="A19" s="822">
        <v>1000000</v>
      </c>
      <c r="B19" s="822" t="s">
        <v>291</v>
      </c>
      <c r="C19" s="850">
        <f t="shared" si="0"/>
        <v>1.28255994011976e-7</v>
      </c>
      <c r="D19" s="850">
        <f t="shared" si="0"/>
        <v>1.48221455936717e-7</v>
      </c>
      <c r="E19" s="850">
        <f t="shared" si="0"/>
        <v>1.09697766613546e-7</v>
      </c>
    </row>
    <row r="20" spans="1:5">
      <c r="A20" s="822">
        <v>10000000</v>
      </c>
      <c r="B20" s="822" t="s">
        <v>292</v>
      </c>
      <c r="C20" s="850">
        <f t="shared" si="0"/>
        <v>4.05581064646761e-7</v>
      </c>
      <c r="D20" s="850">
        <f t="shared" si="0"/>
        <v>4.6871739886631e-7</v>
      </c>
      <c r="E20" s="850">
        <f t="shared" si="0"/>
        <v>3.46894796732381e-7</v>
      </c>
    </row>
  </sheetData>
  <pageMargins left="0.7" right="0.7" top="0.75" bottom="0.75" header="0.3" footer="0.3"/>
  <pageSetup paperSize="9" orientation="portrait"/>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F14"/>
  <sheetViews>
    <sheetView workbookViewId="0">
      <selection activeCell="D18" sqref="D18"/>
    </sheetView>
  </sheetViews>
  <sheetFormatPr defaultColWidth="9" defaultRowHeight="14.25" outlineLevelCol="5"/>
  <cols>
    <col min="1" max="1" width="28.25" style="60" customWidth="1"/>
    <col min="2" max="2" width="7.5" style="60" customWidth="1"/>
    <col min="3" max="3" width="18.75" style="60" customWidth="1"/>
    <col min="4" max="4" width="21" style="60" customWidth="1"/>
    <col min="5" max="5" width="16.875" style="60" customWidth="1"/>
    <col min="6" max="6" width="23.625" style="60" customWidth="1"/>
    <col min="7" max="7" width="30.75" style="60" customWidth="1"/>
    <col min="8" max="16384" width="9" style="60"/>
  </cols>
  <sheetData>
    <row r="1" ht="22.5" spans="1:6">
      <c r="A1" s="1011" t="s">
        <v>293</v>
      </c>
      <c r="B1" s="1011"/>
      <c r="C1" s="1011"/>
      <c r="D1" s="1011"/>
      <c r="E1" s="1011"/>
      <c r="F1" s="1011"/>
    </row>
    <row r="2" ht="18.75" spans="1:6">
      <c r="A2" s="1012" t="s">
        <v>294</v>
      </c>
      <c r="C2" s="1013"/>
      <c r="D2" s="1013"/>
      <c r="E2" s="1013"/>
      <c r="F2" s="1013"/>
    </row>
    <row r="3" ht="19.5" spans="2:6">
      <c r="B3" s="1014" t="s">
        <v>295</v>
      </c>
      <c r="C3" s="1015" t="s">
        <v>296</v>
      </c>
      <c r="D3" s="1015"/>
      <c r="E3" s="1016" t="s">
        <v>297</v>
      </c>
      <c r="F3" s="1016"/>
    </row>
    <row r="4" ht="19.5" spans="3:6">
      <c r="C4" s="1017" t="s">
        <v>298</v>
      </c>
      <c r="D4" s="1017"/>
      <c r="E4" s="1015" t="s">
        <v>299</v>
      </c>
      <c r="F4" s="1015"/>
    </row>
    <row r="5" s="1010" customFormat="1" ht="16.5" spans="2:6">
      <c r="B5" s="1018" t="s">
        <v>300</v>
      </c>
      <c r="C5" s="1019" t="s">
        <v>301</v>
      </c>
      <c r="D5" s="1020" t="s">
        <v>302</v>
      </c>
      <c r="E5" s="1021" t="s">
        <v>303</v>
      </c>
      <c r="F5" s="1022" t="s">
        <v>304</v>
      </c>
    </row>
    <row r="6" s="1010" customFormat="1" spans="2:6">
      <c r="B6" s="1023">
        <f>C6+D6+E6+F6</f>
        <v>146</v>
      </c>
      <c r="C6" s="1024">
        <v>18</v>
      </c>
      <c r="D6" s="1021">
        <v>59</v>
      </c>
      <c r="E6" s="1025">
        <v>11</v>
      </c>
      <c r="F6" s="1019">
        <v>58</v>
      </c>
    </row>
    <row r="7" ht="18.75" spans="1:6">
      <c r="A7" s="1026" t="s">
        <v>305</v>
      </c>
      <c r="C7" s="1013"/>
      <c r="D7" s="1013"/>
      <c r="E7" s="1013"/>
      <c r="F7" s="1013"/>
    </row>
    <row r="8" ht="18" spans="2:6">
      <c r="B8" s="1027" t="s">
        <v>306</v>
      </c>
      <c r="C8" s="1028" t="s">
        <v>307</v>
      </c>
      <c r="D8" s="1028"/>
      <c r="E8" s="1013"/>
      <c r="F8" s="1013"/>
    </row>
    <row r="9" s="1010" customFormat="1" ht="15.75" spans="2:6">
      <c r="B9" s="1029"/>
      <c r="C9" s="1030"/>
      <c r="D9" s="1030"/>
      <c r="E9" s="1031"/>
      <c r="F9" s="1031"/>
    </row>
    <row r="10" ht="15.75" spans="3:6">
      <c r="C10" s="1032" t="s">
        <v>308</v>
      </c>
      <c r="D10" s="1020" t="s">
        <v>309</v>
      </c>
      <c r="E10" s="1019" t="s">
        <v>310</v>
      </c>
      <c r="F10" s="1033" t="s">
        <v>311</v>
      </c>
    </row>
    <row r="11" spans="3:6">
      <c r="C11" s="1034">
        <f>0.5*F11*D11*E11/1000</f>
        <v>14.5</v>
      </c>
      <c r="D11" s="1024">
        <v>29</v>
      </c>
      <c r="E11" s="1020">
        <v>10</v>
      </c>
      <c r="F11" s="1025">
        <v>100</v>
      </c>
    </row>
    <row r="13" ht="18.75" spans="1:1">
      <c r="A13" s="1035" t="s">
        <v>312</v>
      </c>
    </row>
    <row r="14" ht="19.5" spans="2:4">
      <c r="B14" s="1036" t="s">
        <v>313</v>
      </c>
      <c r="C14" s="1015" t="s">
        <v>314</v>
      </c>
      <c r="D14" s="1019" t="s">
        <v>315</v>
      </c>
    </row>
  </sheetData>
  <mergeCells count="11">
    <mergeCell ref="A1:F1"/>
    <mergeCell ref="C2:D2"/>
    <mergeCell ref="E2:F2"/>
    <mergeCell ref="C3:D3"/>
    <mergeCell ref="E3:F3"/>
    <mergeCell ref="C4:D4"/>
    <mergeCell ref="E4:F4"/>
    <mergeCell ref="C7:D7"/>
    <mergeCell ref="E7:F7"/>
    <mergeCell ref="C8:D8"/>
    <mergeCell ref="E8:F8"/>
  </mergeCells>
  <pageMargins left="0.75" right="0.75" top="1" bottom="1" header="0.5" footer="0.5"/>
  <pageSetup paperSize="9" orientation="portrait"/>
  <headerFooter alignWithMargins="0"/>
  <drawing r:id="rId1"/>
  <legacyDrawing r:id="rId2"/>
  <oleObjects>
    <mc:AlternateContent xmlns:mc="http://schemas.openxmlformats.org/markup-compatibility/2006">
      <mc:Choice Requires="x14">
        <oleObject shapeId="46081" progId="Equation.3" r:id="rId3">
          <objectPr defaultSize="0" r:id="rId4">
            <anchor moveWithCells="1" sizeWithCells="1">
              <from>
                <xdr:col>0</xdr:col>
                <xdr:colOff>0</xdr:colOff>
                <xdr:row>2</xdr:row>
                <xdr:rowOff>0</xdr:rowOff>
              </from>
              <to>
                <xdr:col>0</xdr:col>
                <xdr:colOff>190500</xdr:colOff>
                <xdr:row>2</xdr:row>
                <xdr:rowOff>0</xdr:rowOff>
              </to>
            </anchor>
          </objectPr>
        </oleObject>
      </mc:Choice>
      <mc:Fallback>
        <oleObject shapeId="46081" progId="Equation.3" r:id="rId3"/>
      </mc:Fallback>
    </mc:AlternateContent>
  </oleObjec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8000"/>
  </sheetPr>
  <dimension ref="A1:S37"/>
  <sheetViews>
    <sheetView zoomScale="115" zoomScaleNormal="115" workbookViewId="0">
      <selection activeCell="B10" sqref="B10:D10"/>
    </sheetView>
  </sheetViews>
  <sheetFormatPr defaultColWidth="9" defaultRowHeight="13.5"/>
  <cols>
    <col min="1" max="1" width="24.125" style="804" customWidth="1"/>
    <col min="2" max="2" width="5.375" style="804" customWidth="1"/>
    <col min="3" max="3" width="3.625" style="804" customWidth="1"/>
    <col min="4" max="4" width="18.375" style="804" customWidth="1"/>
    <col min="5" max="5" width="4.75" style="804" customWidth="1"/>
    <col min="6" max="6" width="3.25" style="804" customWidth="1"/>
    <col min="7" max="7" width="11.375" style="804" customWidth="1"/>
    <col min="8" max="8" width="7.625" style="804" customWidth="1"/>
    <col min="9" max="9" width="3.25" style="804" customWidth="1"/>
    <col min="10" max="10" width="7.75" style="804" customWidth="1"/>
    <col min="11" max="11" width="10.5" style="804" customWidth="1"/>
    <col min="12" max="16384" width="9" style="804"/>
  </cols>
  <sheetData>
    <row r="1" ht="30.75" spans="1:19">
      <c r="A1" s="878" t="s">
        <v>316</v>
      </c>
      <c r="B1" s="879"/>
      <c r="C1" s="879"/>
      <c r="D1" s="879"/>
      <c r="E1" s="879"/>
      <c r="F1" s="879"/>
      <c r="G1" s="879"/>
      <c r="H1" s="879"/>
      <c r="I1" s="879"/>
      <c r="J1" s="879"/>
      <c r="K1" s="951"/>
      <c r="L1" s="952" t="s">
        <v>317</v>
      </c>
      <c r="M1" s="952"/>
      <c r="N1" s="952"/>
      <c r="O1" s="953"/>
      <c r="P1" s="954"/>
      <c r="Q1" s="1005"/>
      <c r="R1" s="1005"/>
      <c r="S1" s="1005"/>
    </row>
    <row r="2" ht="21" customHeight="1" spans="1:19">
      <c r="A2" s="880" t="s">
        <v>318</v>
      </c>
      <c r="B2" s="880"/>
      <c r="C2" s="880"/>
      <c r="D2" s="880"/>
      <c r="E2" s="880"/>
      <c r="F2" s="880"/>
      <c r="G2" s="880"/>
      <c r="H2" s="880"/>
      <c r="I2" s="880"/>
      <c r="J2" s="880"/>
      <c r="K2" s="955"/>
      <c r="L2" s="956" t="s">
        <v>319</v>
      </c>
      <c r="M2" s="957"/>
      <c r="N2" s="958" t="s">
        <v>320</v>
      </c>
      <c r="O2" s="959"/>
      <c r="P2" s="954"/>
      <c r="Q2" s="1005"/>
      <c r="R2" s="1005"/>
      <c r="S2" s="1005"/>
    </row>
    <row r="3" ht="17.25" customHeight="1" spans="1:19">
      <c r="A3" s="881" t="s">
        <v>321</v>
      </c>
      <c r="B3" s="882"/>
      <c r="C3" s="882"/>
      <c r="D3" s="882"/>
      <c r="E3" s="882"/>
      <c r="F3" s="882"/>
      <c r="G3" s="882"/>
      <c r="H3" s="882"/>
      <c r="I3" s="882"/>
      <c r="J3" s="882"/>
      <c r="K3" s="960"/>
      <c r="L3" s="961" t="s">
        <v>322</v>
      </c>
      <c r="M3" s="962" t="s">
        <v>323</v>
      </c>
      <c r="N3" s="963" t="s">
        <v>322</v>
      </c>
      <c r="O3" s="964" t="s">
        <v>323</v>
      </c>
      <c r="P3" s="954"/>
      <c r="Q3" s="1005"/>
      <c r="R3" s="1005"/>
      <c r="S3" s="1005"/>
    </row>
    <row r="4" ht="17.25" customHeight="1" spans="1:19">
      <c r="A4" s="883" t="s">
        <v>324</v>
      </c>
      <c r="B4" s="884">
        <v>220</v>
      </c>
      <c r="C4" s="884"/>
      <c r="D4" s="884"/>
      <c r="E4" s="885" t="s">
        <v>325</v>
      </c>
      <c r="F4" s="886" t="s">
        <v>326</v>
      </c>
      <c r="G4" s="887"/>
      <c r="H4" s="887"/>
      <c r="I4" s="887"/>
      <c r="J4" s="887"/>
      <c r="K4" s="965"/>
      <c r="L4" s="966">
        <v>1</v>
      </c>
      <c r="M4" s="967">
        <v>700</v>
      </c>
      <c r="N4" s="914">
        <v>0</v>
      </c>
      <c r="O4" s="968">
        <f>B7</f>
        <v>2000</v>
      </c>
      <c r="P4" s="954"/>
      <c r="Q4" s="1005"/>
      <c r="R4" s="1005"/>
      <c r="S4" s="1005"/>
    </row>
    <row r="5" ht="17.25" customHeight="1" spans="1:19">
      <c r="A5" s="888"/>
      <c r="B5" s="889"/>
      <c r="C5" s="889"/>
      <c r="D5" s="889"/>
      <c r="E5" s="890" t="s">
        <v>327</v>
      </c>
      <c r="F5" s="891"/>
      <c r="G5" s="892"/>
      <c r="H5" s="892"/>
      <c r="I5" s="892"/>
      <c r="J5" s="892"/>
      <c r="K5" s="969"/>
      <c r="L5" s="966">
        <v>10</v>
      </c>
      <c r="M5" s="967">
        <v>740</v>
      </c>
      <c r="N5" s="914">
        <f>B7/B11</f>
        <v>1000</v>
      </c>
      <c r="O5" s="968">
        <v>0</v>
      </c>
      <c r="P5" s="954"/>
      <c r="Q5" s="1005"/>
      <c r="R5" s="1005"/>
      <c r="S5" s="1005"/>
    </row>
    <row r="6" ht="17.25" customHeight="1" spans="1:19">
      <c r="A6" s="893" t="s">
        <v>328</v>
      </c>
      <c r="B6" s="889" t="s">
        <v>329</v>
      </c>
      <c r="C6" s="889"/>
      <c r="D6" s="889"/>
      <c r="E6" s="894"/>
      <c r="F6" s="895" t="s">
        <v>330</v>
      </c>
      <c r="G6" s="896"/>
      <c r="H6" s="896"/>
      <c r="I6" s="896"/>
      <c r="J6" s="896"/>
      <c r="K6" s="970"/>
      <c r="L6" s="966">
        <v>100</v>
      </c>
      <c r="M6" s="967">
        <v>880</v>
      </c>
      <c r="N6" s="914"/>
      <c r="O6" s="968"/>
      <c r="P6" s="954"/>
      <c r="Q6" s="1005"/>
      <c r="R6" s="1005"/>
      <c r="S6" s="1005"/>
    </row>
    <row r="7" ht="17.25" customHeight="1" spans="1:19">
      <c r="A7" s="893" t="s">
        <v>331</v>
      </c>
      <c r="B7" s="889">
        <v>2000</v>
      </c>
      <c r="C7" s="889"/>
      <c r="D7" s="889"/>
      <c r="E7" s="890" t="s">
        <v>220</v>
      </c>
      <c r="F7" s="891" t="s">
        <v>332</v>
      </c>
      <c r="G7" s="892"/>
      <c r="H7" s="892"/>
      <c r="I7" s="892"/>
      <c r="J7" s="892"/>
      <c r="K7" s="969"/>
      <c r="L7" s="966">
        <v>1000</v>
      </c>
      <c r="M7" s="967">
        <v>1300</v>
      </c>
      <c r="N7" s="914"/>
      <c r="O7" s="968"/>
      <c r="P7" s="954"/>
      <c r="Q7" s="1005"/>
      <c r="R7" s="1005"/>
      <c r="S7" s="1005"/>
    </row>
    <row r="8" ht="17.25" customHeight="1" spans="1:19">
      <c r="A8" s="893" t="s">
        <v>333</v>
      </c>
      <c r="B8" s="889" t="s">
        <v>334</v>
      </c>
      <c r="C8" s="889"/>
      <c r="D8" s="889"/>
      <c r="E8" s="890" t="s">
        <v>335</v>
      </c>
      <c r="F8" s="891" t="s">
        <v>336</v>
      </c>
      <c r="G8" s="892"/>
      <c r="H8" s="892"/>
      <c r="I8" s="892"/>
      <c r="J8" s="892"/>
      <c r="K8" s="969"/>
      <c r="L8" s="971">
        <v>2000</v>
      </c>
      <c r="M8" s="972">
        <v>1500</v>
      </c>
      <c r="N8" s="973"/>
      <c r="O8" s="974"/>
      <c r="P8" s="975"/>
      <c r="Q8" s="1006"/>
      <c r="R8" s="1006"/>
      <c r="S8" s="1006"/>
    </row>
    <row r="9" ht="17.25" customHeight="1" spans="1:19">
      <c r="A9" s="893" t="s">
        <v>337</v>
      </c>
      <c r="B9" s="889">
        <v>40</v>
      </c>
      <c r="C9" s="889"/>
      <c r="D9" s="889"/>
      <c r="E9" s="890" t="s">
        <v>338</v>
      </c>
      <c r="F9" s="891"/>
      <c r="G9" s="892"/>
      <c r="H9" s="892"/>
      <c r="I9" s="892"/>
      <c r="J9" s="892"/>
      <c r="K9" s="969"/>
      <c r="L9" s="976" t="s">
        <v>339</v>
      </c>
      <c r="M9" s="977"/>
      <c r="N9" s="977"/>
      <c r="O9" s="977"/>
      <c r="P9" s="977"/>
      <c r="Q9" s="977"/>
      <c r="R9" s="977"/>
      <c r="S9" s="1007"/>
    </row>
    <row r="10" ht="17.25" customHeight="1" spans="1:19">
      <c r="A10" s="893" t="s">
        <v>340</v>
      </c>
      <c r="B10" s="889">
        <v>60</v>
      </c>
      <c r="C10" s="889"/>
      <c r="D10" s="889"/>
      <c r="E10" s="890" t="s">
        <v>341</v>
      </c>
      <c r="F10" s="891"/>
      <c r="G10" s="892"/>
      <c r="H10" s="892"/>
      <c r="I10" s="892"/>
      <c r="J10" s="892"/>
      <c r="K10" s="969"/>
      <c r="L10" s="978"/>
      <c r="M10" s="979"/>
      <c r="N10" s="979"/>
      <c r="O10" s="979"/>
      <c r="P10" s="979"/>
      <c r="Q10" s="979"/>
      <c r="R10" s="979"/>
      <c r="S10" s="1008"/>
    </row>
    <row r="11" ht="17.25" customHeight="1" spans="1:19">
      <c r="A11" s="893" t="s">
        <v>342</v>
      </c>
      <c r="B11" s="889">
        <v>2</v>
      </c>
      <c r="C11" s="889"/>
      <c r="D11" s="889"/>
      <c r="E11" s="890" t="s">
        <v>208</v>
      </c>
      <c r="F11" s="891" t="s">
        <v>343</v>
      </c>
      <c r="G11" s="892"/>
      <c r="H11" s="892"/>
      <c r="I11" s="892"/>
      <c r="J11" s="892"/>
      <c r="K11" s="969"/>
      <c r="L11" s="978"/>
      <c r="M11" s="979"/>
      <c r="N11" s="979"/>
      <c r="O11" s="979"/>
      <c r="P11" s="979"/>
      <c r="Q11" s="979"/>
      <c r="R11" s="979"/>
      <c r="S11" s="1008"/>
    </row>
    <row r="12" ht="17.25" customHeight="1" spans="1:19">
      <c r="A12" s="893" t="s">
        <v>344</v>
      </c>
      <c r="B12" s="889">
        <f>B7/B11</f>
        <v>1000</v>
      </c>
      <c r="C12" s="889"/>
      <c r="D12" s="889"/>
      <c r="E12" s="890" t="s">
        <v>345</v>
      </c>
      <c r="F12" s="891"/>
      <c r="G12" s="892"/>
      <c r="H12" s="892"/>
      <c r="I12" s="892"/>
      <c r="J12" s="892"/>
      <c r="K12" s="969"/>
      <c r="L12" s="978"/>
      <c r="M12" s="979"/>
      <c r="N12" s="979"/>
      <c r="O12" s="979"/>
      <c r="P12" s="979"/>
      <c r="Q12" s="979"/>
      <c r="R12" s="979"/>
      <c r="S12" s="1008"/>
    </row>
    <row r="13" ht="17.25" customHeight="1" spans="1:19">
      <c r="A13" s="893" t="s">
        <v>346</v>
      </c>
      <c r="B13" s="889" t="s">
        <v>347</v>
      </c>
      <c r="C13" s="889"/>
      <c r="D13" s="889"/>
      <c r="E13" s="890" t="s">
        <v>335</v>
      </c>
      <c r="F13" s="891" t="s">
        <v>348</v>
      </c>
      <c r="G13" s="892"/>
      <c r="H13" s="892"/>
      <c r="I13" s="892"/>
      <c r="J13" s="892"/>
      <c r="K13" s="969"/>
      <c r="L13" s="978"/>
      <c r="M13" s="979"/>
      <c r="N13" s="979"/>
      <c r="O13" s="979"/>
      <c r="P13" s="979"/>
      <c r="Q13" s="979"/>
      <c r="R13" s="979"/>
      <c r="S13" s="1008"/>
    </row>
    <row r="14" ht="17.25" customHeight="1" spans="1:19">
      <c r="A14" s="893" t="s">
        <v>349</v>
      </c>
      <c r="B14" s="889"/>
      <c r="C14" s="889"/>
      <c r="D14" s="889"/>
      <c r="E14" s="890" t="s">
        <v>335</v>
      </c>
      <c r="F14" s="891"/>
      <c r="G14" s="892"/>
      <c r="H14" s="892"/>
      <c r="I14" s="892"/>
      <c r="J14" s="892"/>
      <c r="K14" s="969"/>
      <c r="L14" s="978"/>
      <c r="M14" s="979"/>
      <c r="N14" s="979"/>
      <c r="O14" s="979"/>
      <c r="P14" s="979"/>
      <c r="Q14" s="979"/>
      <c r="R14" s="979"/>
      <c r="S14" s="1008"/>
    </row>
    <row r="15" ht="17.25" customHeight="1" spans="1:19">
      <c r="A15" s="897" t="s">
        <v>350</v>
      </c>
      <c r="B15" s="898" t="s">
        <v>351</v>
      </c>
      <c r="C15" s="898"/>
      <c r="D15" s="898"/>
      <c r="E15" s="899" t="s">
        <v>220</v>
      </c>
      <c r="F15" s="900" t="s">
        <v>352</v>
      </c>
      <c r="G15" s="900"/>
      <c r="H15" s="900"/>
      <c r="I15" s="900"/>
      <c r="J15" s="900"/>
      <c r="K15" s="980"/>
      <c r="L15" s="978"/>
      <c r="M15" s="979"/>
      <c r="N15" s="979"/>
      <c r="O15" s="979"/>
      <c r="P15" s="979"/>
      <c r="Q15" s="979"/>
      <c r="R15" s="979"/>
      <c r="S15" s="1008"/>
    </row>
    <row r="16" ht="14.25" spans="1:19">
      <c r="A16" s="901" t="s">
        <v>353</v>
      </c>
      <c r="B16" s="902"/>
      <c r="C16" s="902"/>
      <c r="D16" s="902"/>
      <c r="E16" s="902"/>
      <c r="F16" s="902"/>
      <c r="G16" s="902"/>
      <c r="H16" s="902"/>
      <c r="I16" s="902"/>
      <c r="J16" s="902"/>
      <c r="K16" s="981"/>
      <c r="L16" s="978"/>
      <c r="M16" s="979"/>
      <c r="N16" s="979"/>
      <c r="O16" s="979"/>
      <c r="P16" s="979"/>
      <c r="Q16" s="979"/>
      <c r="R16" s="979"/>
      <c r="S16" s="1008"/>
    </row>
    <row r="17" ht="15.75" spans="1:19">
      <c r="A17" s="903" t="s">
        <v>354</v>
      </c>
      <c r="B17" s="904">
        <v>10</v>
      </c>
      <c r="C17" s="905" t="s">
        <v>355</v>
      </c>
      <c r="D17" s="906"/>
      <c r="E17" s="907"/>
      <c r="F17" s="907"/>
      <c r="G17" s="907"/>
      <c r="H17" s="907"/>
      <c r="I17" s="907"/>
      <c r="J17" s="907"/>
      <c r="K17" s="982"/>
      <c r="L17" s="978"/>
      <c r="M17" s="979"/>
      <c r="N17" s="979"/>
      <c r="O17" s="979"/>
      <c r="P17" s="979"/>
      <c r="Q17" s="979"/>
      <c r="R17" s="979"/>
      <c r="S17" s="1008"/>
    </row>
    <row r="18" spans="1:19">
      <c r="A18" s="908" t="s">
        <v>356</v>
      </c>
      <c r="B18" s="909"/>
      <c r="C18" s="910"/>
      <c r="D18" s="907" t="s">
        <v>357</v>
      </c>
      <c r="E18" s="907"/>
      <c r="F18" s="907"/>
      <c r="G18" s="911"/>
      <c r="H18" s="911"/>
      <c r="I18" s="911"/>
      <c r="J18" s="911"/>
      <c r="K18" s="983"/>
      <c r="L18" s="978"/>
      <c r="M18" s="979"/>
      <c r="N18" s="979"/>
      <c r="O18" s="979"/>
      <c r="P18" s="979"/>
      <c r="Q18" s="979"/>
      <c r="R18" s="979"/>
      <c r="S18" s="1008"/>
    </row>
    <row r="19" ht="15.75" spans="1:19">
      <c r="A19" s="903" t="s">
        <v>358</v>
      </c>
      <c r="B19" s="889">
        <f>B4</f>
        <v>220</v>
      </c>
      <c r="C19" s="912" t="s">
        <v>220</v>
      </c>
      <c r="D19" s="913" t="s">
        <v>359</v>
      </c>
      <c r="E19" s="914">
        <f>B5</f>
        <v>0</v>
      </c>
      <c r="F19" s="905" t="s">
        <v>220</v>
      </c>
      <c r="G19" s="911"/>
      <c r="H19" s="911"/>
      <c r="I19" s="911"/>
      <c r="J19" s="911"/>
      <c r="K19" s="983"/>
      <c r="L19" s="978"/>
      <c r="M19" s="979"/>
      <c r="N19" s="979"/>
      <c r="O19" s="979"/>
      <c r="P19" s="979"/>
      <c r="Q19" s="979"/>
      <c r="R19" s="979"/>
      <c r="S19" s="1008"/>
    </row>
    <row r="20" ht="15.75" spans="1:19">
      <c r="A20" s="903" t="s">
        <v>360</v>
      </c>
      <c r="B20" s="915">
        <f>100*1.41421356*B19/(100-B17)</f>
        <v>345.696648</v>
      </c>
      <c r="C20" s="912" t="s">
        <v>220</v>
      </c>
      <c r="D20" s="913" t="s">
        <v>361</v>
      </c>
      <c r="E20" s="916">
        <f>100*E19/83</f>
        <v>0</v>
      </c>
      <c r="F20" s="905" t="s">
        <v>220</v>
      </c>
      <c r="G20" s="911"/>
      <c r="H20" s="911"/>
      <c r="I20" s="911"/>
      <c r="J20" s="911"/>
      <c r="K20" s="983"/>
      <c r="L20" s="978"/>
      <c r="M20" s="979"/>
      <c r="N20" s="979"/>
      <c r="O20" s="979"/>
      <c r="P20" s="979"/>
      <c r="Q20" s="979"/>
      <c r="R20" s="979"/>
      <c r="S20" s="1008"/>
    </row>
    <row r="21" ht="15.75" spans="1:19">
      <c r="A21" s="903" t="s">
        <v>362</v>
      </c>
      <c r="B21" s="917" t="s">
        <v>363</v>
      </c>
      <c r="C21" s="917"/>
      <c r="D21" s="917"/>
      <c r="E21" s="917"/>
      <c r="F21" s="918"/>
      <c r="G21" s="906" t="s">
        <v>364</v>
      </c>
      <c r="H21" s="917" t="s">
        <v>365</v>
      </c>
      <c r="I21" s="984" t="s">
        <v>220</v>
      </c>
      <c r="J21" s="927" t="s">
        <v>366</v>
      </c>
      <c r="K21" s="985" t="s">
        <v>367</v>
      </c>
      <c r="L21" s="978"/>
      <c r="M21" s="979"/>
      <c r="N21" s="979"/>
      <c r="O21" s="979"/>
      <c r="P21" s="979"/>
      <c r="Q21" s="979"/>
      <c r="R21" s="979"/>
      <c r="S21" s="1008"/>
    </row>
    <row r="22" ht="16.5" spans="1:19">
      <c r="A22" s="919" t="s">
        <v>368</v>
      </c>
      <c r="B22" s="920"/>
      <c r="C22" s="920"/>
      <c r="D22" s="920"/>
      <c r="E22" s="920"/>
      <c r="F22" s="920"/>
      <c r="G22" s="920"/>
      <c r="H22" s="920"/>
      <c r="I22" s="920"/>
      <c r="J22" s="920"/>
      <c r="K22" s="986"/>
      <c r="L22" s="978"/>
      <c r="M22" s="979"/>
      <c r="N22" s="979"/>
      <c r="O22" s="979"/>
      <c r="P22" s="979"/>
      <c r="Q22" s="979"/>
      <c r="R22" s="979"/>
      <c r="S22" s="1008"/>
    </row>
    <row r="23" ht="16.5" spans="1:19">
      <c r="A23" s="921" t="s">
        <v>369</v>
      </c>
      <c r="B23" s="922"/>
      <c r="C23" s="922"/>
      <c r="D23" s="922"/>
      <c r="E23" s="922"/>
      <c r="F23" s="922"/>
      <c r="G23" s="922"/>
      <c r="H23" s="922"/>
      <c r="I23" s="922"/>
      <c r="J23" s="922"/>
      <c r="K23" s="987"/>
      <c r="L23" s="988" t="s">
        <v>370</v>
      </c>
      <c r="M23" s="989">
        <v>1100</v>
      </c>
      <c r="N23" s="988" t="s">
        <v>220</v>
      </c>
      <c r="O23" s="979"/>
      <c r="P23" s="979"/>
      <c r="Q23" s="979"/>
      <c r="R23" s="979"/>
      <c r="S23" s="1008"/>
    </row>
    <row r="24" ht="15.75" spans="1:19">
      <c r="A24" s="923" t="s">
        <v>371</v>
      </c>
      <c r="B24" s="917">
        <f>M23</f>
        <v>1100</v>
      </c>
      <c r="C24" s="924" t="s">
        <v>220</v>
      </c>
      <c r="D24" s="925" t="s">
        <v>372</v>
      </c>
      <c r="E24" s="926">
        <f>(B7-((100-B17)/100*B24/1.1))/B11</f>
        <v>550</v>
      </c>
      <c r="F24" s="924" t="s">
        <v>345</v>
      </c>
      <c r="G24" s="927" t="s">
        <v>373</v>
      </c>
      <c r="H24" s="892"/>
      <c r="I24" s="990"/>
      <c r="J24" s="917">
        <v>600</v>
      </c>
      <c r="K24" s="991" t="s">
        <v>345</v>
      </c>
      <c r="L24" s="978"/>
      <c r="M24" s="979"/>
      <c r="N24" s="979"/>
      <c r="O24" s="979"/>
      <c r="P24" s="979"/>
      <c r="Q24" s="979"/>
      <c r="R24" s="979"/>
      <c r="S24" s="1008"/>
    </row>
    <row r="25" ht="15.75" spans="1:19">
      <c r="A25" s="928" t="s">
        <v>374</v>
      </c>
      <c r="B25" s="929"/>
      <c r="C25" s="929"/>
      <c r="D25" s="929"/>
      <c r="E25" s="929"/>
      <c r="F25" s="929"/>
      <c r="G25" s="929"/>
      <c r="H25" s="929"/>
      <c r="I25" s="929"/>
      <c r="J25" s="929"/>
      <c r="K25" s="992"/>
      <c r="L25" s="978"/>
      <c r="M25" s="979"/>
      <c r="N25" s="979"/>
      <c r="O25" s="979"/>
      <c r="P25" s="979"/>
      <c r="Q25" s="979"/>
      <c r="R25" s="979"/>
      <c r="S25" s="1008"/>
    </row>
    <row r="26" ht="14.25" spans="1:19">
      <c r="A26" s="930" t="s">
        <v>375</v>
      </c>
      <c r="B26" s="931"/>
      <c r="C26" s="931"/>
      <c r="D26" s="931"/>
      <c r="E26" s="931"/>
      <c r="F26" s="931"/>
      <c r="G26" s="931"/>
      <c r="H26" s="931"/>
      <c r="I26" s="931"/>
      <c r="J26" s="931"/>
      <c r="K26" s="993"/>
      <c r="L26" s="978"/>
      <c r="M26" s="979"/>
      <c r="N26" s="979"/>
      <c r="O26" s="979"/>
      <c r="P26" s="979"/>
      <c r="Q26" s="979"/>
      <c r="R26" s="979"/>
      <c r="S26" s="1008"/>
    </row>
    <row r="27" ht="15.75" spans="1:19">
      <c r="A27" s="909" t="s">
        <v>376</v>
      </c>
      <c r="B27" s="926">
        <f>16.4*B24*E24*0.000001/B10</f>
        <v>0.165366666666667</v>
      </c>
      <c r="C27" s="924" t="s">
        <v>377</v>
      </c>
      <c r="D27" s="925" t="s">
        <v>378</v>
      </c>
      <c r="E27" s="917">
        <v>0.4</v>
      </c>
      <c r="F27" s="924" t="s">
        <v>377</v>
      </c>
      <c r="G27" s="932"/>
      <c r="H27" s="933"/>
      <c r="I27" s="933"/>
      <c r="J27" s="933"/>
      <c r="K27" s="994"/>
      <c r="L27" s="978"/>
      <c r="M27" s="979"/>
      <c r="N27" s="979"/>
      <c r="O27" s="979"/>
      <c r="P27" s="979"/>
      <c r="Q27" s="979"/>
      <c r="R27" s="979"/>
      <c r="S27" s="1008"/>
    </row>
    <row r="28" ht="16.5" spans="1:19">
      <c r="A28" s="934" t="s">
        <v>379</v>
      </c>
      <c r="B28" s="935"/>
      <c r="C28" s="935"/>
      <c r="D28" s="935"/>
      <c r="E28" s="935"/>
      <c r="F28" s="935"/>
      <c r="G28" s="935"/>
      <c r="H28" s="935"/>
      <c r="I28" s="935"/>
      <c r="J28" s="935"/>
      <c r="K28" s="995"/>
      <c r="L28" s="996"/>
      <c r="M28" s="997"/>
      <c r="N28" s="997"/>
      <c r="O28" s="997"/>
      <c r="P28" s="997"/>
      <c r="Q28" s="997"/>
      <c r="R28" s="997"/>
      <c r="S28" s="1009"/>
    </row>
    <row r="29" ht="18.75" spans="1:11">
      <c r="A29" s="936" t="s">
        <v>380</v>
      </c>
      <c r="B29" s="937"/>
      <c r="C29" s="937"/>
      <c r="D29" s="937"/>
      <c r="E29" s="937"/>
      <c r="F29" s="937"/>
      <c r="G29" s="937"/>
      <c r="H29" s="937"/>
      <c r="I29" s="937"/>
      <c r="J29" s="937"/>
      <c r="K29" s="998"/>
    </row>
    <row r="30" ht="15.75" spans="1:11">
      <c r="A30" s="938" t="s">
        <v>381</v>
      </c>
      <c r="B30" s="939"/>
      <c r="C30" s="939"/>
      <c r="D30" s="939"/>
      <c r="E30" s="939"/>
      <c r="F30" s="939"/>
      <c r="G30" s="939"/>
      <c r="H30" s="939"/>
      <c r="I30" s="939"/>
      <c r="J30" s="939"/>
      <c r="K30" s="999"/>
    </row>
    <row r="31" ht="62.25" customHeight="1" spans="1:11">
      <c r="A31" s="940"/>
      <c r="B31" s="933"/>
      <c r="C31" s="933"/>
      <c r="D31" s="933"/>
      <c r="E31" s="933"/>
      <c r="F31" s="933"/>
      <c r="G31" s="933"/>
      <c r="H31" s="933"/>
      <c r="I31" s="933"/>
      <c r="J31" s="933"/>
      <c r="K31" s="994"/>
    </row>
    <row r="32" spans="1:11">
      <c r="A32" s="941" t="s">
        <v>382</v>
      </c>
      <c r="B32" s="942"/>
      <c r="C32" s="942"/>
      <c r="D32" s="942"/>
      <c r="E32" s="942"/>
      <c r="F32" s="942"/>
      <c r="G32" s="942"/>
      <c r="H32" s="942"/>
      <c r="I32" s="942"/>
      <c r="J32" s="942"/>
      <c r="K32" s="1000"/>
    </row>
    <row r="33" ht="63" customHeight="1" spans="1:11">
      <c r="A33" s="940"/>
      <c r="B33" s="933"/>
      <c r="C33" s="933"/>
      <c r="D33" s="933"/>
      <c r="E33" s="933"/>
      <c r="F33" s="933"/>
      <c r="G33" s="933"/>
      <c r="H33" s="933"/>
      <c r="I33" s="933"/>
      <c r="J33" s="933"/>
      <c r="K33" s="994"/>
    </row>
    <row r="34" ht="35.25" customHeight="1" spans="1:11">
      <c r="A34" s="943" t="s">
        <v>383</v>
      </c>
      <c r="B34" s="944"/>
      <c r="C34" s="944"/>
      <c r="D34" s="944"/>
      <c r="E34" s="944"/>
      <c r="F34" s="944"/>
      <c r="G34" s="944"/>
      <c r="H34" s="944"/>
      <c r="I34" s="944"/>
      <c r="J34" s="944"/>
      <c r="K34" s="1001"/>
    </row>
    <row r="35" ht="74.25" customHeight="1" spans="1:11">
      <c r="A35" s="945"/>
      <c r="B35" s="946"/>
      <c r="C35" s="946"/>
      <c r="D35" s="946"/>
      <c r="E35" s="946"/>
      <c r="F35" s="946"/>
      <c r="G35" s="946"/>
      <c r="H35" s="946"/>
      <c r="I35" s="946"/>
      <c r="J35" s="946"/>
      <c r="K35" s="1002"/>
    </row>
    <row r="36" ht="78.75" customHeight="1" spans="1:11">
      <c r="A36" s="947" t="s">
        <v>384</v>
      </c>
      <c r="B36" s="948"/>
      <c r="C36" s="948"/>
      <c r="D36" s="948"/>
      <c r="E36" s="948"/>
      <c r="F36" s="948"/>
      <c r="G36" s="948"/>
      <c r="H36" s="948"/>
      <c r="I36" s="948"/>
      <c r="J36" s="948"/>
      <c r="K36" s="1003"/>
    </row>
    <row r="37" ht="14.25" spans="1:11">
      <c r="A37" s="949" t="s">
        <v>385</v>
      </c>
      <c r="B37" s="950"/>
      <c r="C37" s="950"/>
      <c r="D37" s="950"/>
      <c r="E37" s="950"/>
      <c r="F37" s="950"/>
      <c r="G37" s="950"/>
      <c r="H37" s="950"/>
      <c r="I37" s="950"/>
      <c r="J37" s="950"/>
      <c r="K37" s="1004"/>
    </row>
  </sheetData>
  <mergeCells count="53">
    <mergeCell ref="A1:K1"/>
    <mergeCell ref="L1:O1"/>
    <mergeCell ref="A2:K2"/>
    <mergeCell ref="L2:M2"/>
    <mergeCell ref="N2:O2"/>
    <mergeCell ref="B4:D4"/>
    <mergeCell ref="F4:K4"/>
    <mergeCell ref="B5:D5"/>
    <mergeCell ref="F5:K5"/>
    <mergeCell ref="B6:D6"/>
    <mergeCell ref="F6:K6"/>
    <mergeCell ref="B7:D7"/>
    <mergeCell ref="F7:K7"/>
    <mergeCell ref="B8:D8"/>
    <mergeCell ref="F8:K8"/>
    <mergeCell ref="B9:D9"/>
    <mergeCell ref="F9:K9"/>
    <mergeCell ref="L9:O9"/>
    <mergeCell ref="B10:D10"/>
    <mergeCell ref="F10:K10"/>
    <mergeCell ref="B11:D11"/>
    <mergeCell ref="F11:K11"/>
    <mergeCell ref="B12:D12"/>
    <mergeCell ref="F12:K12"/>
    <mergeCell ref="B13:D13"/>
    <mergeCell ref="F13:K13"/>
    <mergeCell ref="B14:D14"/>
    <mergeCell ref="F14:K14"/>
    <mergeCell ref="B15:D15"/>
    <mergeCell ref="A16:K16"/>
    <mergeCell ref="D17:K17"/>
    <mergeCell ref="A18:C18"/>
    <mergeCell ref="D18:F18"/>
    <mergeCell ref="B21:F21"/>
    <mergeCell ref="A22:K22"/>
    <mergeCell ref="A23:K23"/>
    <mergeCell ref="G24:I24"/>
    <mergeCell ref="A25:K25"/>
    <mergeCell ref="A26:K26"/>
    <mergeCell ref="G27:K27"/>
    <mergeCell ref="A28:K28"/>
    <mergeCell ref="A29:K29"/>
    <mergeCell ref="A30:K30"/>
    <mergeCell ref="A31:K31"/>
    <mergeCell ref="A32:K32"/>
    <mergeCell ref="A33:K33"/>
    <mergeCell ref="A34:K34"/>
    <mergeCell ref="A35:K35"/>
    <mergeCell ref="A36:K36"/>
    <mergeCell ref="A37:K37"/>
    <mergeCell ref="A4:A5"/>
    <mergeCell ref="P1:S8"/>
    <mergeCell ref="G18:K20"/>
  </mergeCell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
  <sheetViews>
    <sheetView workbookViewId="0">
      <selection activeCell="I15" sqref="I15"/>
    </sheetView>
  </sheetViews>
  <sheetFormatPr defaultColWidth="9" defaultRowHeight="13.5"/>
  <sheetData/>
  <pageMargins left="0.7" right="0.7" top="0.75" bottom="0.75" header="0.3" footer="0.3"/>
  <pageSetup paperSize="9"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tabColor rgb="FF008000"/>
  </sheetPr>
  <dimension ref="B14:O34"/>
  <sheetViews>
    <sheetView workbookViewId="0">
      <selection activeCell="N23" sqref="N23"/>
    </sheetView>
  </sheetViews>
  <sheetFormatPr defaultColWidth="7.5" defaultRowHeight="13.5"/>
  <cols>
    <col min="1" max="1" width="2.625" style="492" customWidth="1"/>
    <col min="2" max="9" width="7.5" style="492"/>
    <col min="10" max="10" width="10.875" style="492" customWidth="1"/>
    <col min="11" max="11" width="7.5" style="492"/>
    <col min="12" max="12" width="8.5" style="492" customWidth="1"/>
    <col min="13" max="13" width="12" style="492" customWidth="1"/>
    <col min="14" max="14" width="7.5" style="492"/>
    <col min="15" max="15" width="10.625" style="492" customWidth="1"/>
    <col min="16" max="16384" width="7.5" style="492"/>
  </cols>
  <sheetData>
    <row r="14" spans="2:15">
      <c r="B14" s="624" t="s">
        <v>386</v>
      </c>
      <c r="C14" s="624">
        <v>2.2</v>
      </c>
      <c r="D14" s="875" t="s">
        <v>387</v>
      </c>
      <c r="E14" s="875">
        <f>C14</f>
        <v>2.2</v>
      </c>
      <c r="G14" s="624" t="s">
        <v>388</v>
      </c>
      <c r="H14" s="624">
        <v>110</v>
      </c>
      <c r="I14" s="624" t="s">
        <v>389</v>
      </c>
      <c r="J14" s="624">
        <v>15</v>
      </c>
      <c r="L14" s="624" t="s">
        <v>388</v>
      </c>
      <c r="M14" s="624">
        <v>510</v>
      </c>
      <c r="N14" s="624" t="s">
        <v>389</v>
      </c>
      <c r="O14" s="624">
        <v>470</v>
      </c>
    </row>
    <row r="15" spans="7:15">
      <c r="G15" s="624" t="s">
        <v>390</v>
      </c>
      <c r="H15" s="624">
        <v>0.6</v>
      </c>
      <c r="I15" s="875" t="s">
        <v>387</v>
      </c>
      <c r="J15" s="876">
        <f>H15*((H14/J14)+1)</f>
        <v>5</v>
      </c>
      <c r="L15" s="624" t="s">
        <v>390</v>
      </c>
      <c r="M15" s="877">
        <f>O32</f>
        <v>0</v>
      </c>
      <c r="N15" s="875" t="s">
        <v>387</v>
      </c>
      <c r="O15" s="876">
        <f>M15*((-M14)/O14)</f>
        <v>0</v>
      </c>
    </row>
    <row r="19" spans="11:11">
      <c r="K19" s="594"/>
    </row>
    <row r="20" spans="11:11">
      <c r="K20" s="594"/>
    </row>
    <row r="30" spans="2:10">
      <c r="B30" s="624" t="s">
        <v>391</v>
      </c>
      <c r="C30" s="624">
        <v>1000</v>
      </c>
      <c r="D30" s="624" t="s">
        <v>392</v>
      </c>
      <c r="E30" s="624">
        <v>1000</v>
      </c>
      <c r="G30" s="624" t="s">
        <v>391</v>
      </c>
      <c r="H30" s="624">
        <v>100</v>
      </c>
      <c r="I30" s="624" t="s">
        <v>393</v>
      </c>
      <c r="J30" s="624">
        <v>0</v>
      </c>
    </row>
    <row r="31" spans="2:10">
      <c r="B31" s="624" t="s">
        <v>393</v>
      </c>
      <c r="C31" s="624">
        <v>5</v>
      </c>
      <c r="D31" s="624" t="s">
        <v>394</v>
      </c>
      <c r="E31" s="624">
        <v>15</v>
      </c>
      <c r="G31" s="624" t="s">
        <v>392</v>
      </c>
      <c r="H31" s="624">
        <v>10</v>
      </c>
      <c r="I31" s="624" t="s">
        <v>394</v>
      </c>
      <c r="J31" s="624">
        <v>0</v>
      </c>
    </row>
    <row r="32" spans="2:10">
      <c r="B32" s="875" t="s">
        <v>387</v>
      </c>
      <c r="C32" s="875">
        <f>(E31-C31)*(E30/C30)</f>
        <v>10</v>
      </c>
      <c r="D32" s="624"/>
      <c r="E32" s="624"/>
      <c r="G32" s="624" t="s">
        <v>395</v>
      </c>
      <c r="H32" s="624">
        <v>10</v>
      </c>
      <c r="I32" s="624" t="s">
        <v>396</v>
      </c>
      <c r="J32" s="624">
        <v>0</v>
      </c>
    </row>
    <row r="33" spans="7:10">
      <c r="G33" s="671" t="s">
        <v>397</v>
      </c>
      <c r="H33" s="624">
        <v>100</v>
      </c>
      <c r="I33" s="671" t="s">
        <v>398</v>
      </c>
      <c r="J33" s="624">
        <v>5</v>
      </c>
    </row>
    <row r="34" spans="7:10">
      <c r="G34" s="624" t="s">
        <v>399</v>
      </c>
      <c r="H34" s="624">
        <v>100</v>
      </c>
      <c r="I34" s="875" t="s">
        <v>387</v>
      </c>
      <c r="J34" s="875">
        <f>(J30/H30+J31/H31+J32/H32+J33/H33)*(-H34)</f>
        <v>-5</v>
      </c>
    </row>
  </sheetData>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8000"/>
  </sheetPr>
  <dimension ref="A1:Q51"/>
  <sheetViews>
    <sheetView workbookViewId="0">
      <selection activeCell="G20" sqref="G20"/>
    </sheetView>
  </sheetViews>
  <sheetFormatPr defaultColWidth="9" defaultRowHeight="13.5"/>
  <cols>
    <col min="1" max="1" width="16.25" style="803" customWidth="1"/>
    <col min="2" max="2" width="9.875" style="803" customWidth="1"/>
    <col min="3" max="3" width="10.75" style="804" customWidth="1"/>
    <col min="4" max="4" width="7.875" style="804" customWidth="1"/>
    <col min="5" max="5" width="14.75" style="803" customWidth="1"/>
    <col min="6" max="6" width="11.875" style="804" customWidth="1"/>
    <col min="7" max="7" width="11.375" style="804" customWidth="1"/>
    <col min="8" max="9" width="9" style="804"/>
    <col min="10" max="10" width="12" style="804" customWidth="1"/>
    <col min="11" max="11" width="11" style="804" customWidth="1"/>
    <col min="12" max="12" width="9" style="804"/>
    <col min="13" max="13" width="13.125" style="804" customWidth="1"/>
    <col min="14" max="14" width="9" style="804"/>
    <col min="15" max="15" width="14.375" style="804" customWidth="1"/>
    <col min="16" max="16" width="11.625" style="804" customWidth="1"/>
    <col min="17" max="16384" width="9" style="804"/>
  </cols>
  <sheetData>
    <row r="1" ht="15.75" spans="2:10">
      <c r="B1" s="805" t="s">
        <v>400</v>
      </c>
      <c r="J1" s="804" t="s">
        <v>401</v>
      </c>
    </row>
    <row r="2" ht="14.25" spans="1:12">
      <c r="A2" s="806" t="s">
        <v>402</v>
      </c>
      <c r="B2" s="807"/>
      <c r="C2" s="840"/>
      <c r="D2" s="840"/>
      <c r="E2" s="807"/>
      <c r="F2" s="840"/>
      <c r="G2" s="840"/>
      <c r="H2" s="840"/>
      <c r="I2" s="840"/>
      <c r="J2" s="840"/>
      <c r="L2" s="829" t="s">
        <v>403</v>
      </c>
    </row>
    <row r="3" ht="15" spans="1:12">
      <c r="A3" s="841"/>
      <c r="B3" s="842"/>
      <c r="C3" s="841" t="s">
        <v>404</v>
      </c>
      <c r="D3" s="803"/>
      <c r="E3" s="843" t="s">
        <v>405</v>
      </c>
      <c r="F3" s="844" t="s">
        <v>406</v>
      </c>
      <c r="L3" s="830" t="s">
        <v>407</v>
      </c>
    </row>
    <row r="4" ht="15.75" spans="1:12">
      <c r="A4" s="845" t="s">
        <v>408</v>
      </c>
      <c r="B4" s="846" t="s">
        <v>409</v>
      </c>
      <c r="C4" s="817" t="s">
        <v>410</v>
      </c>
      <c r="D4" s="817" t="s">
        <v>411</v>
      </c>
      <c r="E4" s="845" t="s">
        <v>412</v>
      </c>
      <c r="F4" s="845" t="s">
        <v>413</v>
      </c>
      <c r="G4" s="847" t="s">
        <v>414</v>
      </c>
      <c r="H4" s="840"/>
      <c r="I4" s="840"/>
      <c r="J4" s="840"/>
      <c r="L4" s="830" t="s">
        <v>415</v>
      </c>
    </row>
    <row r="5" ht="15" spans="1:12">
      <c r="A5" s="848" t="s">
        <v>416</v>
      </c>
      <c r="B5" s="849">
        <v>5000000000000</v>
      </c>
      <c r="C5" s="850">
        <f>SQRT(4*1.38E-23*($B$12+273)*B5)</f>
        <v>0.000286789121132584</v>
      </c>
      <c r="D5" s="803"/>
      <c r="E5" s="850">
        <f>C5</f>
        <v>0.000286789121132584</v>
      </c>
      <c r="F5" s="851">
        <f>E5*E5/$E$13/$E$13</f>
        <v>2.05619995772042e-8</v>
      </c>
      <c r="G5" s="804" t="s">
        <v>417</v>
      </c>
      <c r="L5" s="830" t="s">
        <v>418</v>
      </c>
    </row>
    <row r="6" ht="15" spans="1:13">
      <c r="A6" s="848" t="s">
        <v>419</v>
      </c>
      <c r="B6" s="849">
        <v>1e-9</v>
      </c>
      <c r="C6" s="852"/>
      <c r="D6" s="803"/>
      <c r="E6" s="850">
        <f>B6</f>
        <v>1e-9</v>
      </c>
      <c r="F6" s="851">
        <f>E6*E6/$E$13/$E$13</f>
        <v>2.499999948595e-19</v>
      </c>
      <c r="G6" s="804" t="s">
        <v>420</v>
      </c>
      <c r="J6" s="873"/>
      <c r="K6" s="873"/>
      <c r="M6" s="830" t="s">
        <v>421</v>
      </c>
    </row>
    <row r="7" spans="1:11">
      <c r="A7" s="848" t="s">
        <v>422</v>
      </c>
      <c r="B7" s="849">
        <v>4e-13</v>
      </c>
      <c r="C7" s="853"/>
      <c r="D7" s="803"/>
      <c r="E7" s="850">
        <f>B7*B5</f>
        <v>2</v>
      </c>
      <c r="F7" s="851">
        <f>E7*E7/$E$13/$E$13</f>
        <v>0.999999979438</v>
      </c>
      <c r="G7" s="804" t="s">
        <v>423</v>
      </c>
      <c r="J7" s="873"/>
      <c r="K7" s="873"/>
    </row>
    <row r="8" spans="1:17">
      <c r="A8" s="848"/>
      <c r="B8" s="854"/>
      <c r="C8" s="852"/>
      <c r="D8" s="803"/>
      <c r="E8" s="850">
        <f>B7*B10/D11</f>
        <v>3.63636363636364e-10</v>
      </c>
      <c r="F8" s="851">
        <f>P8*P8/$E$13/$E$13</f>
        <v>3.30578505599339e-20</v>
      </c>
      <c r="G8" s="804" t="s">
        <v>424</v>
      </c>
      <c r="J8" s="874"/>
      <c r="K8" s="873"/>
      <c r="P8" s="850">
        <f>+B7*B9*B10/(B9+B10)</f>
        <v>3.63636363636364e-10</v>
      </c>
      <c r="Q8" s="804" t="s">
        <v>425</v>
      </c>
    </row>
    <row r="9" spans="1:17">
      <c r="A9" s="848" t="s">
        <v>426</v>
      </c>
      <c r="B9" s="855">
        <v>1000</v>
      </c>
      <c r="C9" s="850">
        <f>SQRT(4*1.38E-23*($B$12+273)*B9)</f>
        <v>4.05581064646761e-9</v>
      </c>
      <c r="D9" s="803"/>
      <c r="E9" s="850">
        <f>C9*B10/B9/D11</f>
        <v>3.68710058769783e-9</v>
      </c>
      <c r="F9" s="851">
        <f>E9*E9/$E$13/$E$13</f>
        <v>3.3986776160668e-18</v>
      </c>
      <c r="G9" s="804" t="s">
        <v>427</v>
      </c>
      <c r="J9" s="873"/>
      <c r="K9" s="873"/>
      <c r="P9" s="850">
        <f>SQRT(E9*E9+E10*E10)</f>
        <v>3.86706372047085e-9</v>
      </c>
      <c r="Q9" s="804" t="s">
        <v>428</v>
      </c>
    </row>
    <row r="10" spans="1:17">
      <c r="A10" s="848" t="s">
        <v>429</v>
      </c>
      <c r="B10" s="856">
        <v>10000</v>
      </c>
      <c r="C10" s="850">
        <f>SQRT(4*1.38E-23*($B$12+273)*B10)</f>
        <v>1.28255994011976e-8</v>
      </c>
      <c r="D10" s="803"/>
      <c r="E10" s="850">
        <f>C10/D11</f>
        <v>1.16596358192705e-9</v>
      </c>
      <c r="F10" s="851">
        <f>E10*E10/$E$13/$E$13</f>
        <v>3.3986776160668e-19</v>
      </c>
      <c r="G10" s="804" t="s">
        <v>430</v>
      </c>
      <c r="J10" s="873"/>
      <c r="K10" s="873"/>
      <c r="P10" s="850">
        <f>SQRT(4*1.38E-23*($B$12+273)*(B9*B10/(B9+B10)))</f>
        <v>3.86706372047085e-9</v>
      </c>
      <c r="Q10" s="804" t="s">
        <v>431</v>
      </c>
    </row>
    <row r="11" spans="1:7">
      <c r="A11" s="857"/>
      <c r="B11" s="858"/>
      <c r="D11" s="859">
        <f>1+B10/B9</f>
        <v>11</v>
      </c>
      <c r="E11" s="850"/>
      <c r="G11" s="804" t="s">
        <v>432</v>
      </c>
    </row>
    <row r="12" spans="1:6">
      <c r="A12" s="848" t="s">
        <v>433</v>
      </c>
      <c r="B12" s="856">
        <v>25</v>
      </c>
      <c r="D12" s="803"/>
      <c r="E12" s="850"/>
      <c r="F12" s="860"/>
    </row>
    <row r="13" ht="14.25" spans="1:11">
      <c r="A13" s="807"/>
      <c r="B13" s="861"/>
      <c r="C13" s="840"/>
      <c r="D13" s="862"/>
      <c r="E13" s="863">
        <f>+SQRT(E5*E5+E6*E6+E7*E7+E8*E8+E9*E9+E10*E10)</f>
        <v>2.000000020562</v>
      </c>
      <c r="F13" s="864">
        <v>1</v>
      </c>
      <c r="G13" s="840" t="s">
        <v>434</v>
      </c>
      <c r="H13" s="840"/>
      <c r="I13" s="840"/>
      <c r="J13" s="840"/>
      <c r="K13" s="840"/>
    </row>
    <row r="14" spans="2:6">
      <c r="B14" s="804"/>
      <c r="D14" s="865"/>
      <c r="E14" s="850"/>
      <c r="F14" s="851"/>
    </row>
    <row r="15" spans="1:6">
      <c r="A15" s="804"/>
      <c r="B15" s="848"/>
      <c r="D15" s="841"/>
      <c r="E15" s="866">
        <f>E13*D11</f>
        <v>22.000000226182</v>
      </c>
      <c r="F15" s="867" t="s">
        <v>435</v>
      </c>
    </row>
    <row r="16" spans="2:4">
      <c r="B16" s="804"/>
      <c r="D16" s="857"/>
    </row>
    <row r="17" spans="1:17">
      <c r="A17" s="841" t="s">
        <v>436</v>
      </c>
      <c r="B17" s="803">
        <f>B9+B10</f>
        <v>11000</v>
      </c>
      <c r="C17" s="804" t="s">
        <v>437</v>
      </c>
      <c r="P17" s="803">
        <v>2000</v>
      </c>
      <c r="Q17" s="804" t="s">
        <v>438</v>
      </c>
    </row>
    <row r="18" spans="1:3">
      <c r="A18" s="841" t="s">
        <v>439</v>
      </c>
      <c r="B18" s="868">
        <f>20*LOG10(E13/C5)</f>
        <v>76.8693465411645</v>
      </c>
      <c r="C18" s="869" t="s">
        <v>440</v>
      </c>
    </row>
    <row r="20" ht="14.25" spans="1:16">
      <c r="A20" s="807"/>
      <c r="B20" s="807"/>
      <c r="C20" s="840"/>
      <c r="D20" s="840"/>
      <c r="E20" s="807"/>
      <c r="F20" s="840"/>
      <c r="G20" s="840"/>
      <c r="H20" s="840"/>
      <c r="I20" s="840"/>
      <c r="J20" s="840"/>
      <c r="K20" s="840"/>
      <c r="L20" s="840"/>
      <c r="M20" s="840"/>
      <c r="N20" s="840"/>
      <c r="O20" s="840"/>
      <c r="P20" s="840"/>
    </row>
    <row r="21" spans="1:1">
      <c r="A21" s="867" t="s">
        <v>441</v>
      </c>
    </row>
    <row r="22" ht="14.25" spans="1:5">
      <c r="A22" s="817" t="s">
        <v>442</v>
      </c>
      <c r="B22" s="817"/>
      <c r="C22" s="817" t="s">
        <v>443</v>
      </c>
      <c r="D22" s="847"/>
      <c r="E22" s="817" t="s">
        <v>444</v>
      </c>
    </row>
    <row r="23" spans="1:5">
      <c r="A23" s="803">
        <v>10</v>
      </c>
      <c r="B23" s="803">
        <v>10</v>
      </c>
      <c r="C23" s="852">
        <f t="shared" ref="C23:C39" si="0">SQRT(4*1.38E-23*(B$12+273)*$A23)</f>
        <v>4.05581064646761e-10</v>
      </c>
      <c r="D23" s="852"/>
      <c r="E23" s="850">
        <f t="shared" ref="E23:E39" si="1">SQRT(C23*C23+B$6*B$6+B$7*B$7*A23*A23+E$8*E$8+E$9*E$9+E$10*E$10)</f>
        <v>4.03124363232247e-9</v>
      </c>
    </row>
    <row r="24" spans="1:5">
      <c r="A24" s="803">
        <v>33</v>
      </c>
      <c r="C24" s="852">
        <f t="shared" si="0"/>
        <v>7.36774592395802e-10</v>
      </c>
      <c r="D24" s="852"/>
      <c r="E24" s="850">
        <f t="shared" si="1"/>
        <v>4.07791910944056e-9</v>
      </c>
    </row>
    <row r="25" spans="1:5">
      <c r="A25" s="803">
        <v>100</v>
      </c>
      <c r="B25" s="803">
        <v>100</v>
      </c>
      <c r="C25" s="852">
        <f t="shared" si="0"/>
        <v>1.28255994011976e-9</v>
      </c>
      <c r="D25" s="852"/>
      <c r="E25" s="850">
        <f t="shared" si="1"/>
        <v>4.21105369511486e-9</v>
      </c>
    </row>
    <row r="26" spans="1:5">
      <c r="A26" s="803">
        <v>330</v>
      </c>
      <c r="C26" s="852">
        <f t="shared" si="0"/>
        <v>2.32988583411291e-9</v>
      </c>
      <c r="D26" s="852"/>
      <c r="E26" s="850">
        <f t="shared" si="1"/>
        <v>4.64028072676002e-9</v>
      </c>
    </row>
    <row r="27" spans="1:5">
      <c r="A27" s="803">
        <v>1000</v>
      </c>
      <c r="B27" s="803" t="s">
        <v>288</v>
      </c>
      <c r="C27" s="852">
        <f t="shared" si="0"/>
        <v>4.05581064646761e-9</v>
      </c>
      <c r="D27" s="852"/>
      <c r="E27" s="850">
        <f t="shared" si="1"/>
        <v>5.71804277905828e-9</v>
      </c>
    </row>
    <row r="28" spans="1:5">
      <c r="A28" s="803">
        <v>3300</v>
      </c>
      <c r="C28" s="852">
        <f t="shared" si="0"/>
        <v>7.36774592395802e-9</v>
      </c>
      <c r="D28" s="852"/>
      <c r="E28" s="850">
        <f t="shared" si="1"/>
        <v>8.49190751381222e-9</v>
      </c>
    </row>
    <row r="29" spans="1:5">
      <c r="A29" s="803">
        <v>10000</v>
      </c>
      <c r="B29" s="803" t="s">
        <v>289</v>
      </c>
      <c r="C29" s="852">
        <f t="shared" si="0"/>
        <v>1.28255994011976e-8</v>
      </c>
      <c r="D29" s="852"/>
      <c r="E29" s="850">
        <f t="shared" si="1"/>
        <v>1.40207850430402e-8</v>
      </c>
    </row>
    <row r="30" spans="1:5">
      <c r="A30" s="803">
        <v>33000</v>
      </c>
      <c r="C30" s="852">
        <f t="shared" si="0"/>
        <v>2.32988583411291e-8</v>
      </c>
      <c r="D30" s="852"/>
      <c r="E30" s="850">
        <f t="shared" si="1"/>
        <v>2.70769867825639e-8</v>
      </c>
    </row>
    <row r="31" spans="1:5">
      <c r="A31" s="803">
        <v>100000</v>
      </c>
      <c r="B31" s="803" t="s">
        <v>290</v>
      </c>
      <c r="C31" s="852">
        <f t="shared" si="0"/>
        <v>4.05581064646761e-8</v>
      </c>
      <c r="D31" s="852"/>
      <c r="E31" s="850">
        <f t="shared" si="1"/>
        <v>5.71055725233811e-8</v>
      </c>
    </row>
    <row r="32" spans="1:5">
      <c r="A32" s="803">
        <v>330000</v>
      </c>
      <c r="C32" s="852">
        <f t="shared" si="0"/>
        <v>7.36774592395802e-8</v>
      </c>
      <c r="D32" s="852"/>
      <c r="E32" s="850">
        <f t="shared" si="1"/>
        <v>1.51223194031945e-7</v>
      </c>
    </row>
    <row r="33" spans="1:5">
      <c r="A33" s="822">
        <v>1000000</v>
      </c>
      <c r="B33" s="822" t="s">
        <v>291</v>
      </c>
      <c r="C33" s="852">
        <f t="shared" si="0"/>
        <v>1.28255994011976e-7</v>
      </c>
      <c r="D33" s="852"/>
      <c r="E33" s="850">
        <f t="shared" si="1"/>
        <v>4.20078190832639e-7</v>
      </c>
    </row>
    <row r="34" spans="1:5">
      <c r="A34" s="822">
        <v>3300000</v>
      </c>
      <c r="B34" s="822"/>
      <c r="C34" s="852">
        <f t="shared" si="0"/>
        <v>2.32988583411291e-7</v>
      </c>
      <c r="D34" s="852"/>
      <c r="E34" s="850">
        <f t="shared" si="1"/>
        <v>1.34041029778692e-6</v>
      </c>
    </row>
    <row r="35" spans="1:5">
      <c r="A35" s="822">
        <v>10000000</v>
      </c>
      <c r="B35" s="822" t="s">
        <v>292</v>
      </c>
      <c r="C35" s="852">
        <f t="shared" si="0"/>
        <v>4.05581064646761e-7</v>
      </c>
      <c r="D35" s="852"/>
      <c r="E35" s="850">
        <f t="shared" si="1"/>
        <v>4.02051142100271e-6</v>
      </c>
    </row>
    <row r="36" spans="1:5">
      <c r="A36" s="822">
        <v>33000000</v>
      </c>
      <c r="B36" s="822"/>
      <c r="C36" s="852">
        <f t="shared" si="0"/>
        <v>7.36774592395802e-7</v>
      </c>
      <c r="D36" s="852"/>
      <c r="E36" s="850">
        <f t="shared" si="1"/>
        <v>1.32205466182913e-5</v>
      </c>
    </row>
    <row r="37" spans="1:5">
      <c r="A37" s="822">
        <v>100000000</v>
      </c>
      <c r="B37" s="803" t="s">
        <v>445</v>
      </c>
      <c r="C37" s="852">
        <f t="shared" si="0"/>
        <v>1.28255994011976e-6</v>
      </c>
      <c r="D37" s="852"/>
      <c r="E37" s="850">
        <f t="shared" si="1"/>
        <v>4.00205569187438e-5</v>
      </c>
    </row>
    <row r="38" spans="1:5">
      <c r="A38" s="822">
        <v>330000000</v>
      </c>
      <c r="C38" s="852">
        <f t="shared" si="0"/>
        <v>2.32988583411291e-6</v>
      </c>
      <c r="D38" s="852"/>
      <c r="E38" s="850">
        <f t="shared" si="1"/>
        <v>0.000132020560459674</v>
      </c>
    </row>
    <row r="39" spans="1:5">
      <c r="A39" s="822">
        <v>1000000000</v>
      </c>
      <c r="B39" s="803" t="s">
        <v>446</v>
      </c>
      <c r="C39" s="852">
        <f t="shared" si="0"/>
        <v>4.05581064646761e-6</v>
      </c>
      <c r="D39" s="852"/>
      <c r="E39" s="850">
        <f t="shared" si="1"/>
        <v>0.000400020561491639</v>
      </c>
    </row>
    <row r="47" ht="14.25" spans="2:11">
      <c r="B47" s="840"/>
      <c r="C47" s="840"/>
      <c r="D47" s="840"/>
      <c r="E47" s="807"/>
      <c r="F47" s="840"/>
      <c r="G47" s="840"/>
      <c r="H47" s="840"/>
      <c r="I47" s="840"/>
      <c r="J47" s="840"/>
      <c r="K47" s="840"/>
    </row>
    <row r="48" spans="2:2">
      <c r="B48" s="829" t="s">
        <v>447</v>
      </c>
    </row>
    <row r="49" spans="2:4">
      <c r="B49" s="870" t="s">
        <v>448</v>
      </c>
      <c r="C49" s="870"/>
      <c r="D49" s="871">
        <v>30</v>
      </c>
    </row>
    <row r="50" spans="2:5">
      <c r="B50" s="870" t="s">
        <v>449</v>
      </c>
      <c r="C50" s="870"/>
      <c r="D50" s="872">
        <f>IF(D49&gt;(INT(0.5+100*POWER(10,IF(96*(LOG(D49)-INT(LOG(D49)))-ROUND(96*(LOG(D49)-INT(LOG(D49))),0)&lt;0,ROUND(96*(LOG(D49)-INT(LOG(D49))),0)-1,ROUND(96*(LOG(D49)-INT(LOG(D49))),0))/96))*POWER(10,INT(LOG(D49))-2)+INT(0.5+100*POWER(10,(IF(96*(LOG(D49)-INT(LOG(D49)))-ROUND(96*(LOG(D49)-INT(LOG(D49))),0)&lt;0,ROUND(96*(LOG(D49)-INT(LOG(D49))),0)-1,ROUND(96*(LOG(D49)-INT(LOG(D49))),0))+1)/96))*POWER(10,INT(LOG(D49))-2))/2,INT(0.5+100*POWER(10,(IF(96*(LOG(D49)-INT(LOG(D49)))-ROUND(96*(LOG(D49)-INT(LOG(D49))),0)&lt;0,ROUND(96*(LOG(D49)-INT(LOG(D49))),0)-1,ROUND(96*(LOG(D49)-INT(LOG(D49))),0))+1)/96))*POWER(10,INT(LOG(D49))-2),INT(0.5+100*POWER(10,IF(96*(LOG(D49)-INT(LOG(D49)))-ROUND(96*(LOG(D49)-INT(LOG(D49))),0)&lt;0,ROUND(96*(LOG(D49)-INT(LOG(D49))),0)-1,ROUND(96*(LOG(D49)-INT(LOG(D49))),0))/96))*POWER(10,INT(LOG(D49))-2))</f>
        <v>30.1</v>
      </c>
      <c r="E50" s="804" t="s">
        <v>450</v>
      </c>
    </row>
    <row r="51" ht="14.25" spans="2:11">
      <c r="B51" s="807"/>
      <c r="C51" s="840"/>
      <c r="D51" s="840"/>
      <c r="E51" s="806" t="s">
        <v>451</v>
      </c>
      <c r="F51" s="840"/>
      <c r="G51" s="840"/>
      <c r="H51" s="840"/>
      <c r="I51" s="840"/>
      <c r="J51" s="840"/>
      <c r="K51" s="840"/>
    </row>
  </sheetData>
  <conditionalFormatting sqref="P17 B17">
    <cfRule type="cellIs" dxfId="9" priority="1" operator="lessThan">
      <formula>$P$17</formula>
    </cfRule>
  </conditionalFormatting>
  <hyperlinks>
    <hyperlink ref="L3" r:id="rId4" display="Resistor Noise—reviewing basics, plus a Fun Quiz"/>
    <hyperlink ref="L4" r:id="rId5" display="Op Amp Noise—the non-inverting amplifier"/>
    <hyperlink ref="M6" r:id="rId6" display="Other interesting “The Signal” Blog Topics"/>
    <hyperlink ref="L5" r:id="rId7" display="Op Amp Noise—but what about the feedback?"/>
  </hyperlinks>
  <pageMargins left="0.7" right="0.7" top="0.75" bottom="0.75" header="0.3" footer="0.3"/>
  <pageSetup paperSize="1" orientation="portrait" horizontalDpi="300" verticalDpi="300"/>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
  <sheetViews>
    <sheetView tabSelected="1" zoomScale="130" zoomScaleNormal="130" workbookViewId="0">
      <selection activeCell="E36" sqref="E36"/>
    </sheetView>
  </sheetViews>
  <sheetFormatPr defaultColWidth="9" defaultRowHeight="13.5" outlineLevelCol="4"/>
  <cols>
    <col min="1" max="1" width="11.75" customWidth="1"/>
    <col min="2" max="2" width="39.875" customWidth="1"/>
    <col min="3" max="3" width="6" customWidth="1"/>
    <col min="5" max="5" width="85.8666666666667" customWidth="1"/>
  </cols>
  <sheetData>
    <row r="1" ht="28.5" customHeight="1" spans="1:3">
      <c r="A1" s="1248" t="s">
        <v>0</v>
      </c>
      <c r="B1" s="1248"/>
      <c r="C1" s="1248"/>
    </row>
    <row r="2" spans="1:3">
      <c r="A2" s="1249" t="s">
        <v>1</v>
      </c>
      <c r="B2" s="1249" t="s">
        <v>2</v>
      </c>
      <c r="C2" s="1249" t="s">
        <v>3</v>
      </c>
    </row>
    <row r="3" spans="1:3">
      <c r="A3" s="1250" t="s">
        <v>4</v>
      </c>
      <c r="B3" s="624" t="s">
        <v>5</v>
      </c>
      <c r="C3" s="624">
        <v>1</v>
      </c>
    </row>
    <row r="4" spans="1:3">
      <c r="A4" s="1250"/>
      <c r="B4" s="624" t="s">
        <v>6</v>
      </c>
      <c r="C4" s="624">
        <v>2</v>
      </c>
    </row>
    <row r="5" spans="1:3">
      <c r="A5" s="1250"/>
      <c r="B5" s="624" t="s">
        <v>7</v>
      </c>
      <c r="C5" s="624">
        <v>3</v>
      </c>
    </row>
    <row r="6" spans="1:3">
      <c r="A6" s="1250"/>
      <c r="B6" s="624" t="s">
        <v>8</v>
      </c>
      <c r="C6" s="624">
        <v>4</v>
      </c>
    </row>
    <row r="7" spans="1:3">
      <c r="A7" s="1250"/>
      <c r="B7" s="624" t="s">
        <v>9</v>
      </c>
      <c r="C7" s="624">
        <v>5</v>
      </c>
    </row>
    <row r="8" spans="1:3">
      <c r="A8" s="1250"/>
      <c r="B8" s="624" t="s">
        <v>10</v>
      </c>
      <c r="C8" s="624">
        <v>6</v>
      </c>
    </row>
    <row r="9" spans="1:3">
      <c r="A9" s="1250"/>
      <c r="B9" s="624" t="s">
        <v>11</v>
      </c>
      <c r="C9" s="624">
        <v>7</v>
      </c>
    </row>
    <row r="10" spans="1:3">
      <c r="A10" s="1250"/>
      <c r="B10" s="624" t="s">
        <v>12</v>
      </c>
      <c r="C10" s="624">
        <v>8</v>
      </c>
    </row>
    <row r="11" spans="1:3">
      <c r="A11" s="1250" t="s">
        <v>13</v>
      </c>
      <c r="B11" s="624" t="s">
        <v>14</v>
      </c>
      <c r="C11" s="624">
        <v>9</v>
      </c>
    </row>
    <row r="12" spans="1:3">
      <c r="A12" s="1250"/>
      <c r="B12" s="624" t="s">
        <v>15</v>
      </c>
      <c r="C12" s="624">
        <v>10</v>
      </c>
    </row>
    <row r="13" spans="1:3">
      <c r="A13" s="1250"/>
      <c r="B13" s="624" t="s">
        <v>16</v>
      </c>
      <c r="C13" s="624">
        <v>11</v>
      </c>
    </row>
    <row r="14" spans="1:3">
      <c r="A14" s="1250" t="s">
        <v>17</v>
      </c>
      <c r="B14" s="624" t="s">
        <v>18</v>
      </c>
      <c r="C14" s="624">
        <v>12</v>
      </c>
    </row>
    <row r="15" spans="1:3">
      <c r="A15" s="1250"/>
      <c r="B15" s="624" t="s">
        <v>19</v>
      </c>
      <c r="C15" s="624">
        <v>13</v>
      </c>
    </row>
    <row r="16" spans="1:3">
      <c r="A16" s="1250" t="s">
        <v>20</v>
      </c>
      <c r="B16" s="624" t="s">
        <v>21</v>
      </c>
      <c r="C16" s="624">
        <v>14</v>
      </c>
    </row>
    <row r="17" spans="1:3">
      <c r="A17" s="1250"/>
      <c r="B17" s="624" t="s">
        <v>22</v>
      </c>
      <c r="C17" s="624">
        <v>15</v>
      </c>
    </row>
    <row r="18" spans="1:5">
      <c r="A18" s="1250" t="s">
        <v>23</v>
      </c>
      <c r="B18" s="624" t="s">
        <v>24</v>
      </c>
      <c r="C18" s="1251">
        <v>16</v>
      </c>
      <c r="E18" s="1252" t="s">
        <v>25</v>
      </c>
    </row>
    <row r="19" spans="1:5">
      <c r="A19" s="1250"/>
      <c r="B19" s="624" t="s">
        <v>26</v>
      </c>
      <c r="C19" s="1253"/>
      <c r="E19" s="1254"/>
    </row>
    <row r="20" spans="1:5">
      <c r="A20" s="1250"/>
      <c r="B20" s="624" t="s">
        <v>27</v>
      </c>
      <c r="C20" s="1253"/>
      <c r="E20" s="1254"/>
    </row>
    <row r="21" ht="13" customHeight="1" spans="1:5">
      <c r="A21" s="1250"/>
      <c r="B21" s="624" t="s">
        <v>28</v>
      </c>
      <c r="C21" s="1253"/>
      <c r="E21" s="1254"/>
    </row>
    <row r="22" spans="1:5">
      <c r="A22" s="1250"/>
      <c r="B22" s="624" t="s">
        <v>29</v>
      </c>
      <c r="C22" s="1255"/>
      <c r="E22" s="1254"/>
    </row>
    <row r="23" spans="1:5">
      <c r="A23" s="1250" t="s">
        <v>30</v>
      </c>
      <c r="B23" s="624" t="s">
        <v>31</v>
      </c>
      <c r="C23" s="624">
        <v>17</v>
      </c>
      <c r="E23" s="1254"/>
    </row>
    <row r="24" spans="1:5">
      <c r="A24" s="1250"/>
      <c r="B24" s="624" t="s">
        <v>32</v>
      </c>
      <c r="C24" s="624">
        <v>18</v>
      </c>
      <c r="E24" s="1254"/>
    </row>
    <row r="25" spans="1:5">
      <c r="A25" s="1250" t="s">
        <v>33</v>
      </c>
      <c r="B25" s="624" t="s">
        <v>34</v>
      </c>
      <c r="C25" s="624">
        <v>19</v>
      </c>
      <c r="E25" s="1254"/>
    </row>
    <row r="26" spans="1:5">
      <c r="A26" s="1250"/>
      <c r="B26" s="624" t="s">
        <v>35</v>
      </c>
      <c r="C26" s="624">
        <v>20</v>
      </c>
      <c r="E26" s="1254"/>
    </row>
    <row r="27" spans="1:5">
      <c r="A27" s="1250"/>
      <c r="B27" s="624" t="s">
        <v>36</v>
      </c>
      <c r="C27" s="624">
        <v>21</v>
      </c>
      <c r="E27" s="493" t="s">
        <v>37</v>
      </c>
    </row>
    <row r="28" spans="1:5">
      <c r="A28" s="1250" t="s">
        <v>38</v>
      </c>
      <c r="B28" s="624" t="s">
        <v>39</v>
      </c>
      <c r="C28" s="624">
        <v>22</v>
      </c>
      <c r="E28" s="493" t="s">
        <v>40</v>
      </c>
    </row>
    <row r="29" spans="1:5">
      <c r="A29" s="1250"/>
      <c r="B29" s="624" t="s">
        <v>41</v>
      </c>
      <c r="C29" s="624">
        <v>23</v>
      </c>
      <c r="E29" s="493" t="s">
        <v>42</v>
      </c>
    </row>
    <row r="30" spans="1:5">
      <c r="A30" s="1250"/>
      <c r="B30" s="624" t="s">
        <v>43</v>
      </c>
      <c r="C30" s="624">
        <v>24</v>
      </c>
      <c r="E30" t="s">
        <v>44</v>
      </c>
    </row>
    <row r="31" spans="1:5">
      <c r="A31" s="1250" t="s">
        <v>45</v>
      </c>
      <c r="B31" s="624" t="s">
        <v>46</v>
      </c>
      <c r="C31" s="624">
        <v>25</v>
      </c>
      <c r="E31" t="s">
        <v>47</v>
      </c>
    </row>
    <row r="32" spans="1:5">
      <c r="A32" s="1250"/>
      <c r="B32" s="624" t="s">
        <v>48</v>
      </c>
      <c r="C32" s="624">
        <v>26</v>
      </c>
      <c r="E32" t="s">
        <v>49</v>
      </c>
    </row>
    <row r="33" spans="1:3">
      <c r="A33" s="1256" t="s">
        <v>50</v>
      </c>
      <c r="B33" s="671" t="s">
        <v>51</v>
      </c>
      <c r="C33" s="671">
        <v>27</v>
      </c>
    </row>
  </sheetData>
  <sheetProtection formatCells="0" formatColumns="0" formatRows="0" insertRows="0" insertColumns="0" insertHyperlinks="0" deleteColumns="0" deleteRows="0" sort="0" autoFilter="0" pivotTables="0"/>
  <mergeCells count="12">
    <mergeCell ref="A1:C1"/>
    <mergeCell ref="A3:A10"/>
    <mergeCell ref="A11:A13"/>
    <mergeCell ref="A14:A15"/>
    <mergeCell ref="A16:A17"/>
    <mergeCell ref="A18:A22"/>
    <mergeCell ref="A23:A24"/>
    <mergeCell ref="A25:A27"/>
    <mergeCell ref="A28:A30"/>
    <mergeCell ref="A31:A32"/>
    <mergeCell ref="C18:C22"/>
    <mergeCell ref="E18:E26"/>
  </mergeCells>
  <pageMargins left="0.7" right="0.7" top="0.75" bottom="0.75" header="0.3" footer="0.3"/>
  <pageSetup paperSize="9" orientation="portrait"/>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8000"/>
  </sheetPr>
  <dimension ref="A1:O35"/>
  <sheetViews>
    <sheetView workbookViewId="0">
      <selection activeCell="C40" sqref="C40"/>
    </sheetView>
  </sheetViews>
  <sheetFormatPr defaultColWidth="9" defaultRowHeight="13.5"/>
  <cols>
    <col min="1" max="1" width="5.875" style="803" customWidth="1"/>
    <col min="2" max="2" width="12" style="803" customWidth="1"/>
    <col min="3" max="3" width="10.75" style="804" customWidth="1"/>
    <col min="4" max="4" width="12.75" style="803" customWidth="1"/>
    <col min="5" max="5" width="14.75" style="803" customWidth="1"/>
    <col min="6" max="6" width="11.875" style="804" customWidth="1"/>
    <col min="7" max="7" width="8.375" style="804" customWidth="1"/>
    <col min="8" max="8" width="8.875" style="804" customWidth="1"/>
    <col min="9" max="9" width="12.375" style="804" customWidth="1"/>
    <col min="10" max="10" width="12" style="804" customWidth="1"/>
    <col min="11" max="11" width="11.375" style="804" customWidth="1"/>
    <col min="12" max="12" width="13.125" style="804" customWidth="1"/>
    <col min="13" max="13" width="9" style="804"/>
    <col min="14" max="14" width="14.375" style="804" customWidth="1"/>
    <col min="15" max="15" width="11.625" style="804" customWidth="1"/>
    <col min="16" max="16384" width="9" style="804"/>
  </cols>
  <sheetData>
    <row r="1" ht="15.75" spans="2:9">
      <c r="B1" s="805" t="s">
        <v>452</v>
      </c>
      <c r="I1" s="804" t="s">
        <v>453</v>
      </c>
    </row>
    <row r="2" ht="14.25" spans="1:2">
      <c r="A2" s="806" t="s">
        <v>402</v>
      </c>
      <c r="B2" s="807"/>
    </row>
    <row r="3" spans="1:4">
      <c r="A3" s="808"/>
      <c r="B3" s="809" t="s">
        <v>454</v>
      </c>
      <c r="C3" s="810" t="s">
        <v>455</v>
      </c>
      <c r="D3" s="811" t="s">
        <v>456</v>
      </c>
    </row>
    <row r="4" ht="14.25" spans="1:15">
      <c r="A4" s="807"/>
      <c r="B4" s="812">
        <v>1</v>
      </c>
      <c r="C4" s="813">
        <v>1e-7</v>
      </c>
      <c r="D4" s="814">
        <v>1e-8</v>
      </c>
      <c r="F4" s="802"/>
      <c r="G4" s="802"/>
      <c r="H4" s="802"/>
      <c r="I4" s="802"/>
      <c r="J4" s="802"/>
      <c r="K4" s="802"/>
      <c r="L4" s="802"/>
      <c r="M4" s="802"/>
      <c r="N4" s="802"/>
      <c r="O4" s="802"/>
    </row>
    <row r="5" s="802" customFormat="1" spans="1:5">
      <c r="A5" s="815"/>
      <c r="B5" s="815"/>
      <c r="D5" s="815"/>
      <c r="E5" s="815"/>
    </row>
    <row r="6" spans="1:15">
      <c r="A6" s="815"/>
      <c r="B6" s="816" t="s">
        <v>457</v>
      </c>
      <c r="C6" s="802"/>
      <c r="D6" s="815"/>
      <c r="E6" s="815"/>
      <c r="F6" s="802"/>
      <c r="G6" s="802"/>
      <c r="H6" s="802"/>
      <c r="I6" s="802"/>
      <c r="J6" s="802"/>
      <c r="K6" s="802"/>
      <c r="L6" s="802"/>
      <c r="M6" s="802"/>
      <c r="N6" s="802"/>
      <c r="O6" s="802"/>
    </row>
    <row r="7" ht="14.25" spans="1:5">
      <c r="A7" s="817"/>
      <c r="B7" s="817" t="s">
        <v>454</v>
      </c>
      <c r="C7" s="817" t="s">
        <v>458</v>
      </c>
      <c r="D7" s="817" t="s">
        <v>459</v>
      </c>
      <c r="E7" s="817" t="s">
        <v>444</v>
      </c>
    </row>
    <row r="8" spans="1:5">
      <c r="A8" s="818">
        <v>0.01</v>
      </c>
      <c r="B8" s="818">
        <v>0.01</v>
      </c>
      <c r="C8" s="819">
        <f t="shared" ref="C8:C26" si="0">C$4/SQRT(B8/B$4)</f>
        <v>1e-6</v>
      </c>
      <c r="D8" s="819">
        <f t="shared" ref="D8:D26" si="1">D$4</f>
        <v>1e-8</v>
      </c>
      <c r="E8" s="820">
        <f t="shared" ref="E8:E26" si="2">SQRT(C8*C8+D8*D8)</f>
        <v>1.00004999875006e-6</v>
      </c>
    </row>
    <row r="9" spans="1:5">
      <c r="A9" s="818"/>
      <c r="B9" s="818">
        <v>0.033</v>
      </c>
      <c r="C9" s="819">
        <f t="shared" si="0"/>
        <v>5.5048188256318e-7</v>
      </c>
      <c r="D9" s="819">
        <f t="shared" si="1"/>
        <v>1e-8</v>
      </c>
      <c r="E9" s="820">
        <f t="shared" si="2"/>
        <v>5.50572704581605e-7</v>
      </c>
    </row>
    <row r="10" spans="1:5">
      <c r="A10" s="818">
        <v>0.1</v>
      </c>
      <c r="B10" s="818">
        <v>0.1</v>
      </c>
      <c r="C10" s="819">
        <f t="shared" si="0"/>
        <v>3.16227766016838e-7</v>
      </c>
      <c r="D10" s="819">
        <f t="shared" si="1"/>
        <v>1e-8</v>
      </c>
      <c r="E10" s="820">
        <f t="shared" si="2"/>
        <v>3.16385840391127e-7</v>
      </c>
    </row>
    <row r="11" spans="1:5">
      <c r="A11" s="818"/>
      <c r="B11" s="818">
        <v>0.33</v>
      </c>
      <c r="C11" s="819">
        <f t="shared" si="0"/>
        <v>1.74077655955698e-7</v>
      </c>
      <c r="D11" s="819">
        <f t="shared" si="1"/>
        <v>1e-8</v>
      </c>
      <c r="E11" s="820">
        <f t="shared" si="2"/>
        <v>1.74364647515e-7</v>
      </c>
    </row>
    <row r="12" spans="1:5">
      <c r="A12" s="818">
        <v>1</v>
      </c>
      <c r="B12" s="818">
        <v>1</v>
      </c>
      <c r="C12" s="819">
        <f t="shared" si="0"/>
        <v>1e-7</v>
      </c>
      <c r="D12" s="819">
        <f t="shared" si="1"/>
        <v>1e-8</v>
      </c>
      <c r="E12" s="820">
        <f t="shared" si="2"/>
        <v>1.00498756211209e-7</v>
      </c>
    </row>
    <row r="13" spans="1:5">
      <c r="A13" s="821"/>
      <c r="B13" s="818">
        <v>3.3</v>
      </c>
      <c r="C13" s="819">
        <f t="shared" si="0"/>
        <v>5.5048188256318e-8</v>
      </c>
      <c r="D13" s="819">
        <f t="shared" si="1"/>
        <v>1e-8</v>
      </c>
      <c r="E13" s="820">
        <f t="shared" si="2"/>
        <v>5.59491110769691e-8</v>
      </c>
    </row>
    <row r="14" spans="1:5">
      <c r="A14" s="803">
        <v>10</v>
      </c>
      <c r="B14" s="803">
        <v>10</v>
      </c>
      <c r="C14" s="819">
        <f t="shared" si="0"/>
        <v>3.16227766016838e-8</v>
      </c>
      <c r="D14" s="819">
        <f t="shared" si="1"/>
        <v>1e-8</v>
      </c>
      <c r="E14" s="820">
        <f t="shared" si="2"/>
        <v>3.3166247903554e-8</v>
      </c>
    </row>
    <row r="15" spans="2:5">
      <c r="B15" s="803">
        <v>33</v>
      </c>
      <c r="C15" s="819">
        <f t="shared" si="0"/>
        <v>1.74077655955698e-8</v>
      </c>
      <c r="D15" s="819">
        <f t="shared" si="1"/>
        <v>1e-8</v>
      </c>
      <c r="E15" s="820">
        <f t="shared" si="2"/>
        <v>2.00756146364265e-8</v>
      </c>
    </row>
    <row r="16" spans="1:5">
      <c r="A16" s="803">
        <v>100</v>
      </c>
      <c r="B16" s="803">
        <v>100</v>
      </c>
      <c r="C16" s="819">
        <f t="shared" si="0"/>
        <v>1e-8</v>
      </c>
      <c r="D16" s="819">
        <f t="shared" si="1"/>
        <v>1e-8</v>
      </c>
      <c r="E16" s="820">
        <f t="shared" si="2"/>
        <v>1.4142135623731e-8</v>
      </c>
    </row>
    <row r="17" spans="2:5">
      <c r="B17" s="803">
        <v>330</v>
      </c>
      <c r="C17" s="819">
        <f t="shared" si="0"/>
        <v>5.5048188256318e-9</v>
      </c>
      <c r="D17" s="819">
        <f t="shared" si="1"/>
        <v>1e-8</v>
      </c>
      <c r="E17" s="820">
        <f t="shared" si="2"/>
        <v>1.14150352738408e-8</v>
      </c>
    </row>
    <row r="18" spans="1:5">
      <c r="A18" s="803" t="s">
        <v>288</v>
      </c>
      <c r="B18" s="803">
        <v>1000</v>
      </c>
      <c r="C18" s="819">
        <f t="shared" si="0"/>
        <v>3.16227766016838e-9</v>
      </c>
      <c r="D18" s="819">
        <f t="shared" si="1"/>
        <v>1e-8</v>
      </c>
      <c r="E18" s="820">
        <f t="shared" si="2"/>
        <v>1.04880884817015e-8</v>
      </c>
    </row>
    <row r="19" spans="2:5">
      <c r="B19" s="803">
        <v>3300</v>
      </c>
      <c r="C19" s="819">
        <f t="shared" si="0"/>
        <v>1.74077655955698e-9</v>
      </c>
      <c r="D19" s="819">
        <f t="shared" si="1"/>
        <v>1e-8</v>
      </c>
      <c r="E19" s="820">
        <f t="shared" si="2"/>
        <v>1.0150384378451e-8</v>
      </c>
    </row>
    <row r="20" spans="1:5">
      <c r="A20" s="803" t="s">
        <v>289</v>
      </c>
      <c r="B20" s="803">
        <v>10000</v>
      </c>
      <c r="C20" s="819">
        <f t="shared" si="0"/>
        <v>1e-9</v>
      </c>
      <c r="D20" s="819">
        <f t="shared" si="1"/>
        <v>1e-8</v>
      </c>
      <c r="E20" s="820">
        <f t="shared" si="2"/>
        <v>1.00498756211209e-8</v>
      </c>
    </row>
    <row r="21" spans="2:5">
      <c r="B21" s="803">
        <v>33000</v>
      </c>
      <c r="C21" s="819">
        <f t="shared" si="0"/>
        <v>5.5048188256318e-10</v>
      </c>
      <c r="D21" s="819">
        <f t="shared" si="1"/>
        <v>1e-8</v>
      </c>
      <c r="E21" s="820">
        <f t="shared" si="2"/>
        <v>1.00151400540896e-8</v>
      </c>
    </row>
    <row r="22" spans="1:5">
      <c r="A22" s="803" t="s">
        <v>290</v>
      </c>
      <c r="B22" s="803">
        <v>100000</v>
      </c>
      <c r="C22" s="819">
        <f t="shared" si="0"/>
        <v>3.16227766016838e-10</v>
      </c>
      <c r="D22" s="819">
        <f t="shared" si="1"/>
        <v>1e-8</v>
      </c>
      <c r="E22" s="820">
        <f t="shared" si="2"/>
        <v>1.00049987506246e-8</v>
      </c>
    </row>
    <row r="23" spans="2:5">
      <c r="B23" s="803">
        <v>330000</v>
      </c>
      <c r="C23" s="819">
        <f t="shared" si="0"/>
        <v>1.74077655955698e-10</v>
      </c>
      <c r="D23" s="819">
        <f t="shared" si="1"/>
        <v>1e-8</v>
      </c>
      <c r="E23" s="820">
        <f t="shared" si="2"/>
        <v>1.00015150367483e-8</v>
      </c>
    </row>
    <row r="24" spans="1:5">
      <c r="A24" s="822" t="s">
        <v>291</v>
      </c>
      <c r="B24" s="822">
        <v>1000000</v>
      </c>
      <c r="C24" s="819">
        <f t="shared" si="0"/>
        <v>1e-10</v>
      </c>
      <c r="D24" s="819">
        <f t="shared" si="1"/>
        <v>1e-8</v>
      </c>
      <c r="E24" s="820">
        <f t="shared" si="2"/>
        <v>1.00004999875006e-8</v>
      </c>
    </row>
    <row r="25" ht="14.25" spans="1:5">
      <c r="A25" s="822"/>
      <c r="B25" s="822">
        <v>3300000</v>
      </c>
      <c r="C25" s="819">
        <f t="shared" si="0"/>
        <v>5.5048188256318e-11</v>
      </c>
      <c r="D25" s="819">
        <f t="shared" si="1"/>
        <v>1e-8</v>
      </c>
      <c r="E25" s="820">
        <f t="shared" si="2"/>
        <v>1.00001515140037e-8</v>
      </c>
    </row>
    <row r="26" ht="14.25" spans="1:11">
      <c r="A26" s="822" t="s">
        <v>292</v>
      </c>
      <c r="B26" s="822">
        <v>10000000</v>
      </c>
      <c r="C26" s="819">
        <f t="shared" si="0"/>
        <v>3.16227766016838e-11</v>
      </c>
      <c r="D26" s="819">
        <f t="shared" si="1"/>
        <v>1e-8</v>
      </c>
      <c r="E26" s="820">
        <f t="shared" si="2"/>
        <v>1.0000049999875e-8</v>
      </c>
      <c r="G26" s="823" t="s">
        <v>460</v>
      </c>
      <c r="H26" s="824"/>
      <c r="I26" s="831" t="s">
        <v>455</v>
      </c>
      <c r="J26" s="832" t="s">
        <v>461</v>
      </c>
      <c r="K26" s="833"/>
    </row>
    <row r="27" spans="7:11">
      <c r="G27" s="825" t="s">
        <v>462</v>
      </c>
      <c r="H27" s="826">
        <v>10</v>
      </c>
      <c r="I27" s="821" t="s">
        <v>413</v>
      </c>
      <c r="J27" s="834" t="s">
        <v>413</v>
      </c>
      <c r="K27" s="835" t="s">
        <v>463</v>
      </c>
    </row>
    <row r="28" ht="14.25" spans="7:11">
      <c r="G28" s="827" t="s">
        <v>464</v>
      </c>
      <c r="H28" s="828">
        <v>100</v>
      </c>
      <c r="I28" s="836">
        <f>C4*SQRT(B4*LN(H28/H27))</f>
        <v>1.51742712938515e-7</v>
      </c>
      <c r="J28" s="837">
        <f>D4*SQRT(H28-H27)</f>
        <v>9.48683298050514e-8</v>
      </c>
      <c r="K28" s="838">
        <f>SQRT(I28*I28+J28*J28)</f>
        <v>1.78957679158902e-7</v>
      </c>
    </row>
    <row r="29" ht="14.25" spans="4:11">
      <c r="D29" s="815"/>
      <c r="E29" s="815"/>
      <c r="I29" s="839">
        <f>I28*I28/K28/K28</f>
        <v>0.71897702204109</v>
      </c>
      <c r="J29" s="839">
        <f>J28*J28/K28/K28</f>
        <v>0.28102297795891</v>
      </c>
      <c r="K29" s="839">
        <v>1</v>
      </c>
    </row>
    <row r="30" spans="4:5">
      <c r="D30" s="815"/>
      <c r="E30" s="815"/>
    </row>
    <row r="31" spans="2:2">
      <c r="B31" s="829" t="s">
        <v>403</v>
      </c>
    </row>
    <row r="32" ht="15" spans="2:2">
      <c r="B32" s="830" t="s">
        <v>407</v>
      </c>
    </row>
    <row r="33" ht="15" spans="2:2">
      <c r="B33" s="830" t="s">
        <v>415</v>
      </c>
    </row>
    <row r="34" ht="15" spans="2:2">
      <c r="B34" s="830" t="s">
        <v>418</v>
      </c>
    </row>
    <row r="35" ht="15" spans="2:3">
      <c r="B35" s="804"/>
      <c r="C35" s="830" t="s">
        <v>421</v>
      </c>
    </row>
  </sheetData>
  <hyperlinks>
    <hyperlink ref="B32" r:id="rId4" display="Resistor Noise—reviewing basics, plus a Fun Quiz"/>
    <hyperlink ref="B33" r:id="rId5" display="Op Amp Noise—the non-inverting amplifier"/>
    <hyperlink ref="C35" r:id="rId6" display="Other interesting “The Signal” Blog Topics"/>
    <hyperlink ref="B34" r:id="rId7" display="Op Amp Noise—but what about the feedback?"/>
  </hyperlinks>
  <pageMargins left="0.7" right="0.7" top="0.75" bottom="0.75" header="0.3" footer="0.3"/>
  <pageSetup paperSize="1" orientation="portrait" horizontalDpi="300" verticalDpi="300"/>
  <headerFooter/>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8000"/>
  </sheetPr>
  <dimension ref="B1:C7"/>
  <sheetViews>
    <sheetView workbookViewId="0">
      <selection activeCell="D8" sqref="D8"/>
    </sheetView>
  </sheetViews>
  <sheetFormatPr defaultColWidth="9" defaultRowHeight="13.5" outlineLevelRow="6" outlineLevelCol="2"/>
  <cols>
    <col min="2" max="2" width="22.625" customWidth="1"/>
  </cols>
  <sheetData>
    <row r="1" spans="2:3">
      <c r="B1" s="624" t="s">
        <v>465</v>
      </c>
      <c r="C1" s="796">
        <v>255793</v>
      </c>
    </row>
    <row r="2" ht="14.25" spans="2:3">
      <c r="B2" s="624" t="s">
        <v>466</v>
      </c>
      <c r="C2" s="797" t="e">
        <f>change_10TO36(C1)</f>
        <v>#NAME?</v>
      </c>
    </row>
    <row r="3" ht="14.25" spans="2:3">
      <c r="B3" s="624" t="s">
        <v>467</v>
      </c>
      <c r="C3" s="798" t="str">
        <f>DEC2HEX(C1)</f>
        <v>3E731</v>
      </c>
    </row>
    <row r="4" ht="14.25" spans="3:3">
      <c r="C4" s="799" t="s">
        <v>468</v>
      </c>
    </row>
    <row r="5" ht="14.25" spans="2:3">
      <c r="B5" s="624" t="s">
        <v>469</v>
      </c>
      <c r="C5" s="800" t="e">
        <f>CHANGE_36TO10(C4)</f>
        <v>#NAME?</v>
      </c>
    </row>
    <row r="6" ht="14.25" spans="3:3">
      <c r="C6" s="801"/>
    </row>
    <row r="7" ht="14.25" spans="2:3">
      <c r="B7" s="624" t="s">
        <v>470</v>
      </c>
      <c r="C7" s="797" t="e">
        <f>CHANGE_10TOBase64(C1)</f>
        <v>#NAME?</v>
      </c>
    </row>
  </sheetData>
  <pageMargins left="0.7" right="0.7" top="0.75" bottom="0.75" header="0.3" footer="0.3"/>
  <pageSetup paperSize="9"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tabColor rgb="FF008000"/>
    <outlinePr summaryRight="0"/>
  </sheetPr>
  <dimension ref="A1:HP55"/>
  <sheetViews>
    <sheetView zoomScale="85" zoomScaleNormal="85" workbookViewId="0">
      <pane xSplit="8" ySplit="34" topLeftCell="I175" activePane="bottomRight" state="frozen"/>
      <selection/>
      <selection pane="topRight"/>
      <selection pane="bottomLeft"/>
      <selection pane="bottomRight" activeCell="F14" sqref="F14"/>
    </sheetView>
  </sheetViews>
  <sheetFormatPr defaultColWidth="9" defaultRowHeight="30" customHeight="1"/>
  <cols>
    <col min="1" max="1" width="4.875" style="759" customWidth="1"/>
    <col min="2" max="2" width="18.5" style="759" customWidth="1"/>
    <col min="3" max="3" width="15.625" style="759" customWidth="1"/>
    <col min="4" max="4" width="21.5" style="759" customWidth="1"/>
    <col min="5" max="5" width="41.5" style="759" customWidth="1"/>
    <col min="6" max="6" width="18.75" style="759" customWidth="1"/>
    <col min="7" max="7" width="11.25" style="759" hidden="1" customWidth="1"/>
    <col min="8" max="8" width="12" style="759" hidden="1" customWidth="1"/>
    <col min="9" max="9" width="10.625" style="759" customWidth="1"/>
    <col min="10" max="10" width="9" style="759"/>
    <col min="11" max="12" width="9" style="760"/>
    <col min="13" max="13" width="14.25" style="760" customWidth="1"/>
    <col min="14" max="18" width="9" style="760"/>
    <col min="19" max="19" width="9" style="760" collapsed="1"/>
    <col min="20" max="20" width="22.75" style="760" hidden="1" customWidth="1" outlineLevel="1"/>
    <col min="21" max="21" width="18.375" style="760" hidden="1" customWidth="1" outlineLevel="1"/>
    <col min="22" max="26" width="13.875" style="760" hidden="1" customWidth="1" outlineLevel="1"/>
    <col min="27" max="27" width="18.625" style="760" hidden="1" customWidth="1" outlineLevel="1"/>
    <col min="28" max="31" width="13.875" style="760" hidden="1" customWidth="1" outlineLevel="1"/>
    <col min="32" max="37" width="2.625" style="760" customWidth="1"/>
    <col min="38" max="38" width="9" style="760" hidden="1" customWidth="1"/>
    <col min="39" max="39" width="16.375" style="760" hidden="1" customWidth="1"/>
    <col min="40" max="48" width="9" style="760" hidden="1" customWidth="1"/>
    <col min="49" max="54" width="2.625" style="760" customWidth="1"/>
    <col min="55" max="55" width="5.625" style="760" customWidth="1" collapsed="1"/>
    <col min="56" max="73" width="5.625" style="760" hidden="1" customWidth="1" outlineLevel="1"/>
    <col min="74" max="80" width="2.625" style="760" customWidth="1"/>
    <col min="81" max="81" width="5.625" style="760" customWidth="1" collapsed="1"/>
    <col min="82" max="82" width="5.625" style="761" hidden="1" customWidth="1" outlineLevel="1"/>
    <col min="83" max="99" width="5.625" style="760" hidden="1" customWidth="1" outlineLevel="1"/>
    <col min="100" max="102" width="9" style="760"/>
    <col min="103" max="103" width="9" style="760" collapsed="1"/>
    <col min="104" max="104" width="11.625" style="760" hidden="1" customWidth="1" outlineLevel="1"/>
    <col min="105" max="106" width="9" style="760" hidden="1" customWidth="1" outlineLevel="1"/>
    <col min="107" max="107" width="11.625" style="760" hidden="1" customWidth="1" outlineLevel="1"/>
    <col min="108" max="119" width="9" style="760" hidden="1" customWidth="1" outlineLevel="1"/>
    <col min="120" max="122" width="9" style="760"/>
    <col min="123" max="123" width="9" style="760" collapsed="1"/>
    <col min="124" max="124" width="13.25" style="760" hidden="1" customWidth="1" outlineLevel="1"/>
    <col min="125" max="142" width="9" style="760" hidden="1" customWidth="1" outlineLevel="1"/>
    <col min="143" max="147" width="9" style="760"/>
    <col min="148" max="148" width="9" style="760" collapsed="1"/>
    <col min="149" max="158" width="9" style="760" hidden="1" customWidth="1" outlineLevel="1"/>
    <col min="159" max="161" width="9" style="760"/>
    <col min="162" max="162" width="9" style="760" collapsed="1"/>
    <col min="163" max="166" width="9" style="760" hidden="1" customWidth="1" outlineLevel="1"/>
    <col min="167" max="169" width="12.75" style="760" hidden="1" customWidth="1" outlineLevel="1"/>
    <col min="170" max="171" width="9" style="760" hidden="1" customWidth="1" outlineLevel="1"/>
    <col min="172" max="224" width="9" style="760"/>
    <col min="225" max="16384" width="9" style="759"/>
  </cols>
  <sheetData>
    <row r="1" ht="20.1" customHeight="1" spans="2:199">
      <c r="B1" s="762" t="s">
        <v>471</v>
      </c>
      <c r="F1" s="763"/>
      <c r="K1" s="774"/>
      <c r="L1" s="774"/>
      <c r="M1" s="775" t="s">
        <v>472</v>
      </c>
      <c r="N1" s="774"/>
      <c r="O1" s="774"/>
      <c r="P1" s="774"/>
      <c r="Q1" s="774"/>
      <c r="R1" s="774"/>
      <c r="S1" s="774" t="s">
        <v>473</v>
      </c>
      <c r="T1" s="774"/>
      <c r="U1" s="774"/>
      <c r="V1" s="774"/>
      <c r="W1" s="774"/>
      <c r="X1" s="774"/>
      <c r="Y1" s="774"/>
      <c r="Z1" s="774"/>
      <c r="AA1" s="774"/>
      <c r="AB1" s="774"/>
      <c r="AC1" s="774"/>
      <c r="AD1" s="774"/>
      <c r="AE1" s="774"/>
      <c r="AF1" s="774"/>
      <c r="AG1" s="774"/>
      <c r="AH1" s="774"/>
      <c r="AI1" s="774"/>
      <c r="AJ1" s="774"/>
      <c r="AK1" s="774"/>
      <c r="AL1" s="774"/>
      <c r="AM1" s="774"/>
      <c r="AN1" s="774"/>
      <c r="AO1" s="774"/>
      <c r="AP1" s="774"/>
      <c r="AQ1" s="774"/>
      <c r="AR1" s="774"/>
      <c r="AS1" s="774"/>
      <c r="AT1" s="774"/>
      <c r="AU1" s="774"/>
      <c r="AV1" s="774"/>
      <c r="AW1" s="774"/>
      <c r="AX1" s="774"/>
      <c r="AY1" s="774"/>
      <c r="AZ1" s="774"/>
      <c r="BA1" s="774"/>
      <c r="BB1" s="774"/>
      <c r="BC1" s="774"/>
      <c r="BD1" s="774"/>
      <c r="BE1" s="774"/>
      <c r="BF1" s="774"/>
      <c r="BG1" s="774"/>
      <c r="BH1" s="774"/>
      <c r="BI1" s="774"/>
      <c r="BJ1" s="774"/>
      <c r="BK1" s="774"/>
      <c r="BL1" s="774"/>
      <c r="BM1" s="774"/>
      <c r="BN1" s="774"/>
      <c r="BO1" s="774"/>
      <c r="BP1" s="774"/>
      <c r="BQ1" s="774"/>
      <c r="BR1" s="774"/>
      <c r="BS1" s="774"/>
      <c r="BT1" s="774"/>
      <c r="BU1" s="774"/>
      <c r="BV1" s="774"/>
      <c r="BW1" s="774"/>
      <c r="BX1" s="774"/>
      <c r="BY1" s="774"/>
      <c r="BZ1" s="774"/>
      <c r="CA1" s="774"/>
      <c r="CB1" s="774"/>
      <c r="CC1" s="774"/>
      <c r="CD1" s="788"/>
      <c r="CE1" s="774"/>
      <c r="CF1" s="774"/>
      <c r="CG1" s="774"/>
      <c r="CH1" s="774"/>
      <c r="CI1" s="774"/>
      <c r="CJ1" s="774"/>
      <c r="CK1" s="774"/>
      <c r="CL1" s="774"/>
      <c r="CM1" s="774"/>
      <c r="CN1" s="774"/>
      <c r="CO1" s="774"/>
      <c r="CP1" s="774"/>
      <c r="CQ1" s="774"/>
      <c r="CR1" s="774"/>
      <c r="CS1" s="774"/>
      <c r="CT1" s="774"/>
      <c r="CU1" s="774"/>
      <c r="CV1" s="774"/>
      <c r="CW1" s="774"/>
      <c r="CX1" s="774"/>
      <c r="CY1" s="774"/>
      <c r="CZ1" s="774"/>
      <c r="DA1" s="774"/>
      <c r="DB1" s="774"/>
      <c r="DC1" s="774"/>
      <c r="DD1" s="774"/>
      <c r="DE1" s="774"/>
      <c r="DF1" s="774"/>
      <c r="DG1" s="774"/>
      <c r="DH1" s="774"/>
      <c r="DI1" s="774"/>
      <c r="DJ1" s="774"/>
      <c r="DK1" s="774"/>
      <c r="DL1" s="774"/>
      <c r="DM1" s="774"/>
      <c r="DN1" s="774"/>
      <c r="DO1" s="774"/>
      <c r="DP1" s="774"/>
      <c r="DQ1" s="774"/>
      <c r="DR1" s="774"/>
      <c r="DS1" s="790" t="s">
        <v>474</v>
      </c>
      <c r="DT1" s="774"/>
      <c r="DU1" s="774"/>
      <c r="DV1" s="774"/>
      <c r="DW1" s="774"/>
      <c r="DX1" s="774"/>
      <c r="DY1" s="774"/>
      <c r="DZ1" s="774"/>
      <c r="EA1" s="774"/>
      <c r="EB1" s="774"/>
      <c r="EC1" s="774"/>
      <c r="ED1" s="774"/>
      <c r="EE1" s="774"/>
      <c r="EF1" s="774"/>
      <c r="EG1" s="774"/>
      <c r="EH1" s="774"/>
      <c r="EI1" s="774"/>
      <c r="EJ1" s="774"/>
      <c r="EK1" s="774"/>
      <c r="EL1" s="774"/>
      <c r="EM1" s="774"/>
      <c r="EN1" s="774"/>
      <c r="EO1" s="774"/>
      <c r="EP1" s="774"/>
      <c r="EQ1" s="774"/>
      <c r="ER1" s="774"/>
      <c r="ES1" s="774"/>
      <c r="ET1" s="774"/>
      <c r="EU1" s="774"/>
      <c r="EV1" s="774"/>
      <c r="EW1" s="774"/>
      <c r="EX1" s="774"/>
      <c r="EY1" s="774"/>
      <c r="EZ1" s="774"/>
      <c r="FA1" s="774"/>
      <c r="FB1" s="774"/>
      <c r="FC1" s="774"/>
      <c r="FD1" s="774"/>
      <c r="FE1" s="774"/>
      <c r="FF1" s="774"/>
      <c r="FG1" s="774"/>
      <c r="FH1" s="774"/>
      <c r="FI1" s="774"/>
      <c r="FJ1" s="774"/>
      <c r="FK1" s="774"/>
      <c r="FL1" s="774"/>
      <c r="FM1" s="774"/>
      <c r="FN1" s="774"/>
      <c r="FO1" s="774"/>
      <c r="FP1" s="774"/>
      <c r="FQ1" s="774"/>
      <c r="FR1" s="774"/>
      <c r="FS1" s="774"/>
      <c r="FT1" s="774"/>
      <c r="FU1" s="774"/>
      <c r="FV1" s="774"/>
      <c r="FW1" s="774"/>
      <c r="FX1" s="774"/>
      <c r="FY1" s="774"/>
      <c r="FZ1" s="774"/>
      <c r="GA1" s="774"/>
      <c r="GB1" s="774"/>
      <c r="GC1" s="774"/>
      <c r="GD1" s="774"/>
      <c r="GE1" s="774"/>
      <c r="GF1" s="791" t="s">
        <v>475</v>
      </c>
      <c r="GG1" s="774"/>
      <c r="GH1" s="774"/>
      <c r="GI1" s="774"/>
      <c r="GJ1" s="774"/>
      <c r="GK1" s="774"/>
      <c r="GL1" s="774"/>
      <c r="GM1" s="774"/>
      <c r="GN1" s="774"/>
      <c r="GO1" s="774"/>
      <c r="GP1" s="774"/>
      <c r="GQ1" s="774"/>
    </row>
    <row r="2" s="758" customFormat="1" ht="2.1" customHeight="1" spans="11:224">
      <c r="K2" s="776"/>
      <c r="L2" s="776"/>
      <c r="M2" s="776"/>
      <c r="N2" s="776"/>
      <c r="O2" s="776"/>
      <c r="P2" s="776"/>
      <c r="Q2" s="776"/>
      <c r="R2" s="776"/>
      <c r="S2" s="776"/>
      <c r="T2" s="776"/>
      <c r="U2" s="776"/>
      <c r="V2" s="776"/>
      <c r="W2" s="776"/>
      <c r="X2" s="776"/>
      <c r="Y2" s="776"/>
      <c r="Z2" s="776"/>
      <c r="AA2" s="776"/>
      <c r="AB2" s="776"/>
      <c r="AC2" s="776"/>
      <c r="AD2" s="776"/>
      <c r="AE2" s="776"/>
      <c r="AF2" s="776"/>
      <c r="AG2" s="776"/>
      <c r="AH2" s="776"/>
      <c r="AI2" s="776"/>
      <c r="AJ2" s="776"/>
      <c r="AK2" s="776"/>
      <c r="AL2" s="776"/>
      <c r="AM2" s="776"/>
      <c r="AN2" s="776"/>
      <c r="AO2" s="776"/>
      <c r="AP2" s="776"/>
      <c r="AQ2" s="776"/>
      <c r="AR2" s="776"/>
      <c r="AS2" s="776"/>
      <c r="AT2" s="776"/>
      <c r="AU2" s="776"/>
      <c r="AV2" s="776"/>
      <c r="AW2" s="776"/>
      <c r="AX2" s="776"/>
      <c r="AY2" s="776"/>
      <c r="AZ2" s="776"/>
      <c r="BA2" s="776"/>
      <c r="BB2" s="776"/>
      <c r="BC2" s="776"/>
      <c r="BD2" s="776"/>
      <c r="BE2" s="776" t="s">
        <v>476</v>
      </c>
      <c r="BF2" s="776"/>
      <c r="BG2" s="785">
        <v>299792458</v>
      </c>
      <c r="BH2" s="776"/>
      <c r="BI2" s="776"/>
      <c r="BJ2" s="776"/>
      <c r="BK2" s="776"/>
      <c r="BL2" s="776"/>
      <c r="BM2" s="776"/>
      <c r="BN2" s="776"/>
      <c r="BO2" s="776"/>
      <c r="BP2" s="776"/>
      <c r="BQ2" s="776"/>
      <c r="BR2" s="776"/>
      <c r="BS2" s="776"/>
      <c r="BT2" s="776"/>
      <c r="BU2" s="776"/>
      <c r="BV2" s="776"/>
      <c r="BW2" s="776"/>
      <c r="BX2" s="776"/>
      <c r="BY2" s="776"/>
      <c r="BZ2" s="776"/>
      <c r="CA2" s="776"/>
      <c r="CB2" s="776"/>
      <c r="CC2" s="776"/>
      <c r="CD2" s="789"/>
      <c r="CE2" s="776"/>
      <c r="CF2" s="776"/>
      <c r="CG2" s="776"/>
      <c r="CH2" s="776"/>
      <c r="CI2" s="776"/>
      <c r="CJ2" s="776"/>
      <c r="CK2" s="776"/>
      <c r="CL2" s="776"/>
      <c r="CM2" s="776"/>
      <c r="CN2" s="776"/>
      <c r="CO2" s="776"/>
      <c r="CP2" s="776"/>
      <c r="CQ2" s="776"/>
      <c r="CR2" s="776"/>
      <c r="CS2" s="776"/>
      <c r="CT2" s="776"/>
      <c r="CU2" s="776"/>
      <c r="CV2" s="776"/>
      <c r="CW2" s="776"/>
      <c r="CX2" s="776"/>
      <c r="CY2" s="780"/>
      <c r="CZ2" s="776"/>
      <c r="DA2" s="776"/>
      <c r="DB2" s="776"/>
      <c r="DC2" s="776"/>
      <c r="DD2" s="776"/>
      <c r="DE2" s="776"/>
      <c r="DF2" s="776"/>
      <c r="DG2" s="776"/>
      <c r="DH2" s="776"/>
      <c r="DI2" s="776"/>
      <c r="DJ2" s="776"/>
      <c r="DK2" s="776"/>
      <c r="DL2" s="776"/>
      <c r="DM2" s="776"/>
      <c r="DN2" s="776"/>
      <c r="DO2" s="776"/>
      <c r="DP2" s="776"/>
      <c r="DQ2" s="776"/>
      <c r="DR2" s="776"/>
      <c r="DS2" s="780" t="s">
        <v>477</v>
      </c>
      <c r="DT2" s="776"/>
      <c r="DU2" s="776"/>
      <c r="DV2" s="776"/>
      <c r="DW2" s="776"/>
      <c r="DX2" s="776"/>
      <c r="DY2" s="776"/>
      <c r="DZ2" s="776"/>
      <c r="EA2" s="776"/>
      <c r="EB2" s="776"/>
      <c r="EC2" s="776"/>
      <c r="ED2" s="776"/>
      <c r="EE2" s="776"/>
      <c r="EF2" s="776"/>
      <c r="EG2" s="776"/>
      <c r="EH2" s="776"/>
      <c r="EI2" s="776"/>
      <c r="EJ2" s="776"/>
      <c r="EK2" s="776"/>
      <c r="EL2" s="776"/>
      <c r="EM2" s="776"/>
      <c r="EN2" s="776"/>
      <c r="EO2" s="776"/>
      <c r="EP2" s="776"/>
      <c r="EQ2" s="776"/>
      <c r="ER2" s="776"/>
      <c r="ES2" s="776"/>
      <c r="ET2" s="776"/>
      <c r="EU2" s="776"/>
      <c r="EV2" s="776"/>
      <c r="EW2" s="776"/>
      <c r="EX2" s="776"/>
      <c r="EY2" s="776"/>
      <c r="EZ2" s="776"/>
      <c r="FA2" s="776"/>
      <c r="FB2" s="776"/>
      <c r="FC2" s="776"/>
      <c r="FD2" s="776"/>
      <c r="FE2" s="776"/>
      <c r="FF2" s="781" t="s">
        <v>478</v>
      </c>
      <c r="FG2" s="776"/>
      <c r="FH2" s="776"/>
      <c r="FI2" s="776"/>
      <c r="FJ2" s="776"/>
      <c r="FK2" s="776"/>
      <c r="FL2" s="776"/>
      <c r="FM2" s="776"/>
      <c r="FN2" s="776"/>
      <c r="FO2" s="776"/>
      <c r="FP2" s="776"/>
      <c r="FQ2" s="776"/>
      <c r="FR2" s="776"/>
      <c r="FS2" s="776"/>
      <c r="FT2" s="782" t="s">
        <v>479</v>
      </c>
      <c r="FU2" s="776"/>
      <c r="FV2" s="776"/>
      <c r="FW2" s="776"/>
      <c r="FX2" s="776"/>
      <c r="FY2" s="776"/>
      <c r="FZ2" s="776"/>
      <c r="GA2" s="776"/>
      <c r="GB2" s="776"/>
      <c r="GC2" s="776"/>
      <c r="GD2" s="776"/>
      <c r="GE2" s="776"/>
      <c r="GF2" s="776"/>
      <c r="GG2" s="776"/>
      <c r="GH2" s="776"/>
      <c r="GI2" s="776"/>
      <c r="GJ2" s="776"/>
      <c r="GK2" s="776"/>
      <c r="GL2" s="776"/>
      <c r="GM2" s="776"/>
      <c r="GN2" s="776"/>
      <c r="GO2" s="776"/>
      <c r="GP2" s="776"/>
      <c r="GQ2" s="776"/>
      <c r="GR2" s="795"/>
      <c r="GS2" s="795"/>
      <c r="GT2" s="795"/>
      <c r="GU2" s="795"/>
      <c r="GV2" s="795"/>
      <c r="GW2" s="795"/>
      <c r="GX2" s="795"/>
      <c r="GY2" s="795"/>
      <c r="GZ2" s="795"/>
      <c r="HA2" s="795"/>
      <c r="HB2" s="795"/>
      <c r="HC2" s="795"/>
      <c r="HD2" s="795"/>
      <c r="HE2" s="795"/>
      <c r="HF2" s="795"/>
      <c r="HG2" s="795"/>
      <c r="HH2" s="795"/>
      <c r="HI2" s="795"/>
      <c r="HJ2" s="795"/>
      <c r="HK2" s="795"/>
      <c r="HL2" s="795"/>
      <c r="HM2" s="795"/>
      <c r="HN2" s="795"/>
      <c r="HO2" s="795"/>
      <c r="HP2" s="795"/>
    </row>
    <row r="3" s="758" customFormat="1" ht="2.1" customHeight="1" spans="11:224">
      <c r="K3" s="776"/>
      <c r="L3" s="776"/>
      <c r="M3" s="776"/>
      <c r="N3" s="776"/>
      <c r="O3" s="776"/>
      <c r="P3" s="776"/>
      <c r="Q3" s="776"/>
      <c r="R3" s="776"/>
      <c r="S3" s="776"/>
      <c r="T3" s="776"/>
      <c r="U3" s="776"/>
      <c r="V3" s="776"/>
      <c r="W3" s="776"/>
      <c r="X3" s="776"/>
      <c r="Y3" s="776"/>
      <c r="Z3" s="776"/>
      <c r="AA3" s="776"/>
      <c r="AB3" s="776"/>
      <c r="AC3" s="776"/>
      <c r="AD3" s="776"/>
      <c r="AE3" s="776"/>
      <c r="AF3" s="776"/>
      <c r="AG3" s="776"/>
      <c r="AH3" s="776"/>
      <c r="AI3" s="776"/>
      <c r="AJ3" s="776"/>
      <c r="AK3" s="776"/>
      <c r="AL3" s="776"/>
      <c r="AM3" s="776"/>
      <c r="AN3" s="776"/>
      <c r="AO3" s="776"/>
      <c r="AP3" s="776"/>
      <c r="AQ3" s="776"/>
      <c r="AR3" s="776"/>
      <c r="AS3" s="776"/>
      <c r="AT3" s="776"/>
      <c r="AU3" s="776"/>
      <c r="AV3" s="776"/>
      <c r="AW3" s="776"/>
      <c r="AX3" s="776"/>
      <c r="AY3" s="776"/>
      <c r="AZ3" s="776"/>
      <c r="BA3" s="776"/>
      <c r="BB3" s="776"/>
      <c r="BC3" s="776"/>
      <c r="BD3" s="776"/>
      <c r="BE3" s="776"/>
      <c r="BF3" s="776"/>
      <c r="BG3" s="776"/>
      <c r="BH3" s="776"/>
      <c r="BI3" s="776"/>
      <c r="BJ3" s="776"/>
      <c r="BK3" s="776"/>
      <c r="BL3" s="776"/>
      <c r="BM3" s="776"/>
      <c r="BN3" s="776"/>
      <c r="BO3" s="776"/>
      <c r="BP3" s="776"/>
      <c r="BQ3" s="776"/>
      <c r="BR3" s="776"/>
      <c r="BS3" s="776"/>
      <c r="BT3" s="776"/>
      <c r="BU3" s="776"/>
      <c r="BV3" s="776"/>
      <c r="BW3" s="776"/>
      <c r="BX3" s="776"/>
      <c r="BY3" s="776"/>
      <c r="BZ3" s="776"/>
      <c r="CA3" s="776"/>
      <c r="CB3" s="776"/>
      <c r="CC3" s="776"/>
      <c r="CD3" s="789"/>
      <c r="CE3" s="776"/>
      <c r="CF3" s="776"/>
      <c r="CG3" s="776"/>
      <c r="CH3" s="776"/>
      <c r="CI3" s="776"/>
      <c r="CJ3" s="776"/>
      <c r="CK3" s="776"/>
      <c r="CL3" s="776"/>
      <c r="CM3" s="776"/>
      <c r="CN3" s="776"/>
      <c r="CO3" s="776"/>
      <c r="CP3" s="776"/>
      <c r="CQ3" s="776"/>
      <c r="CR3" s="776"/>
      <c r="CS3" s="776"/>
      <c r="CT3" s="776"/>
      <c r="CU3" s="776"/>
      <c r="CV3" s="776"/>
      <c r="CW3" s="776"/>
      <c r="CX3" s="776"/>
      <c r="CY3" s="780"/>
      <c r="CZ3" s="776"/>
      <c r="DA3" s="776"/>
      <c r="DB3" s="776"/>
      <c r="DC3" s="776"/>
      <c r="DD3" s="776"/>
      <c r="DE3" s="776"/>
      <c r="DF3" s="776"/>
      <c r="DG3" s="776"/>
      <c r="DH3" s="776"/>
      <c r="DI3" s="776"/>
      <c r="DJ3" s="776"/>
      <c r="DK3" s="776"/>
      <c r="DL3" s="776"/>
      <c r="DM3" s="776"/>
      <c r="DN3" s="776"/>
      <c r="DO3" s="776"/>
      <c r="DP3" s="776"/>
      <c r="DQ3" s="776"/>
      <c r="DR3" s="776"/>
      <c r="DS3" s="781" t="s">
        <v>480</v>
      </c>
      <c r="DT3" s="776"/>
      <c r="DU3" s="776"/>
      <c r="DV3" s="776"/>
      <c r="DW3" s="776"/>
      <c r="DX3" s="776"/>
      <c r="DY3" s="776"/>
      <c r="DZ3" s="776"/>
      <c r="EA3" s="776"/>
      <c r="EB3" s="776"/>
      <c r="EC3" s="776"/>
      <c r="ED3" s="776"/>
      <c r="EE3" s="776"/>
      <c r="EF3" s="776"/>
      <c r="EG3" s="776"/>
      <c r="EH3" s="776"/>
      <c r="EI3" s="776"/>
      <c r="EJ3" s="776"/>
      <c r="EK3" s="776"/>
      <c r="EL3" s="776"/>
      <c r="EM3" s="776"/>
      <c r="EN3" s="776"/>
      <c r="EO3" s="776"/>
      <c r="EP3" s="776"/>
      <c r="EQ3" s="776"/>
      <c r="ER3" s="776"/>
      <c r="ES3" s="776"/>
      <c r="ET3" s="776"/>
      <c r="EU3" s="776"/>
      <c r="EV3" s="776"/>
      <c r="EW3" s="776"/>
      <c r="EX3" s="776"/>
      <c r="EY3" s="776"/>
      <c r="EZ3" s="776"/>
      <c r="FA3" s="776"/>
      <c r="FB3" s="776"/>
      <c r="FC3" s="776"/>
      <c r="FD3" s="776"/>
      <c r="FE3" s="776"/>
      <c r="FF3" s="776"/>
      <c r="FG3" s="776"/>
      <c r="FH3" s="776"/>
      <c r="FI3" s="776"/>
      <c r="FJ3" s="776"/>
      <c r="FK3" s="776"/>
      <c r="FL3" s="776"/>
      <c r="FM3" s="776"/>
      <c r="FN3" s="776"/>
      <c r="FO3" s="776"/>
      <c r="FP3" s="776"/>
      <c r="FQ3" s="776"/>
      <c r="FR3" s="776"/>
      <c r="FS3" s="776"/>
      <c r="FT3" s="782"/>
      <c r="FU3" s="776"/>
      <c r="FV3" s="776"/>
      <c r="FW3" s="776"/>
      <c r="FX3" s="776"/>
      <c r="FY3" s="776"/>
      <c r="FZ3" s="776"/>
      <c r="GA3" s="776"/>
      <c r="GB3" s="776"/>
      <c r="GC3" s="776"/>
      <c r="GD3" s="776"/>
      <c r="GE3" s="776"/>
      <c r="GF3" s="776"/>
      <c r="GG3" s="776"/>
      <c r="GH3" s="776"/>
      <c r="GI3" s="776"/>
      <c r="GJ3" s="776"/>
      <c r="GK3" s="776"/>
      <c r="GL3" s="776"/>
      <c r="GM3" s="776"/>
      <c r="GN3" s="776"/>
      <c r="GO3" s="776"/>
      <c r="GP3" s="776"/>
      <c r="GQ3" s="776"/>
      <c r="GR3" s="795"/>
      <c r="GS3" s="795"/>
      <c r="GT3" s="795"/>
      <c r="GU3" s="795"/>
      <c r="GV3" s="795"/>
      <c r="GW3" s="795"/>
      <c r="GX3" s="795"/>
      <c r="GY3" s="795"/>
      <c r="GZ3" s="795"/>
      <c r="HA3" s="795"/>
      <c r="HB3" s="795"/>
      <c r="HC3" s="795"/>
      <c r="HD3" s="795"/>
      <c r="HE3" s="795"/>
      <c r="HF3" s="795"/>
      <c r="HG3" s="795"/>
      <c r="HH3" s="795"/>
      <c r="HI3" s="795"/>
      <c r="HJ3" s="795"/>
      <c r="HK3" s="795"/>
      <c r="HL3" s="795"/>
      <c r="HM3" s="795"/>
      <c r="HN3" s="795"/>
      <c r="HO3" s="795"/>
      <c r="HP3" s="795"/>
    </row>
    <row r="4" s="758" customFormat="1" ht="2.1" customHeight="1" spans="11:224">
      <c r="K4" s="777" t="s">
        <v>481</v>
      </c>
      <c r="L4" s="777" t="s">
        <v>482</v>
      </c>
      <c r="M4" s="777" t="s">
        <v>483</v>
      </c>
      <c r="N4" s="777" t="s">
        <v>484</v>
      </c>
      <c r="O4" s="777" t="s">
        <v>485</v>
      </c>
      <c r="P4" s="777" t="s">
        <v>486</v>
      </c>
      <c r="Q4" s="777" t="s">
        <v>487</v>
      </c>
      <c r="R4" s="777" t="s">
        <v>488</v>
      </c>
      <c r="S4" s="776" t="s">
        <v>216</v>
      </c>
      <c r="T4" s="776" t="s">
        <v>489</v>
      </c>
      <c r="U4" s="776" t="s">
        <v>490</v>
      </c>
      <c r="V4" s="776" t="s">
        <v>491</v>
      </c>
      <c r="W4" s="776" t="s">
        <v>492</v>
      </c>
      <c r="X4" s="776" t="s">
        <v>493</v>
      </c>
      <c r="Y4" s="776" t="s">
        <v>494</v>
      </c>
      <c r="Z4" s="776" t="s">
        <v>495</v>
      </c>
      <c r="AA4" s="782" t="s">
        <v>496</v>
      </c>
      <c r="AB4" s="776" t="s">
        <v>497</v>
      </c>
      <c r="AC4" s="776" t="s">
        <v>498</v>
      </c>
      <c r="AD4" s="776" t="s">
        <v>499</v>
      </c>
      <c r="AE4" s="776" t="s">
        <v>500</v>
      </c>
      <c r="AF4" s="776"/>
      <c r="AG4" s="776"/>
      <c r="AH4" s="776"/>
      <c r="AI4" s="776"/>
      <c r="AJ4" s="776"/>
      <c r="AK4" s="776"/>
      <c r="AL4" s="776" t="s">
        <v>216</v>
      </c>
      <c r="AM4" s="776" t="s">
        <v>501</v>
      </c>
      <c r="AN4" s="776" t="s">
        <v>502</v>
      </c>
      <c r="AO4" s="776" t="s">
        <v>503</v>
      </c>
      <c r="AP4" s="776" t="s">
        <v>504</v>
      </c>
      <c r="AQ4" s="776" t="s">
        <v>505</v>
      </c>
      <c r="AR4" s="776" t="s">
        <v>506</v>
      </c>
      <c r="AS4" s="776" t="s">
        <v>507</v>
      </c>
      <c r="AT4" s="776" t="s">
        <v>508</v>
      </c>
      <c r="AU4" s="776" t="s">
        <v>509</v>
      </c>
      <c r="AV4" s="776" t="s">
        <v>510</v>
      </c>
      <c r="AW4" s="776"/>
      <c r="AX4" s="776"/>
      <c r="AY4" s="776"/>
      <c r="AZ4" s="776"/>
      <c r="BA4" s="776"/>
      <c r="BB4" s="776"/>
      <c r="BC4" s="776"/>
      <c r="BD4" s="784" t="s">
        <v>511</v>
      </c>
      <c r="BE4" s="784" t="s">
        <v>512</v>
      </c>
      <c r="BF4" s="784" t="s">
        <v>513</v>
      </c>
      <c r="BG4" s="784" t="s">
        <v>514</v>
      </c>
      <c r="BH4" s="784" t="s">
        <v>515</v>
      </c>
      <c r="BI4" s="784" t="s">
        <v>516</v>
      </c>
      <c r="BJ4" s="784" t="s">
        <v>517</v>
      </c>
      <c r="BK4" s="784" t="s">
        <v>518</v>
      </c>
      <c r="BL4" s="784" t="s">
        <v>519</v>
      </c>
      <c r="BM4" s="784" t="s">
        <v>520</v>
      </c>
      <c r="BN4" s="784" t="s">
        <v>521</v>
      </c>
      <c r="BO4" s="784" t="s">
        <v>522</v>
      </c>
      <c r="BP4" s="784" t="s">
        <v>523</v>
      </c>
      <c r="BQ4" s="784" t="s">
        <v>524</v>
      </c>
      <c r="BR4" s="784" t="s">
        <v>525</v>
      </c>
      <c r="BS4" s="784" t="s">
        <v>526</v>
      </c>
      <c r="BT4" s="784" t="s">
        <v>527</v>
      </c>
      <c r="BU4" s="776" t="s">
        <v>528</v>
      </c>
      <c r="BV4" s="776"/>
      <c r="BW4" s="776"/>
      <c r="BX4" s="776"/>
      <c r="BY4" s="776"/>
      <c r="BZ4" s="776"/>
      <c r="CA4" s="776"/>
      <c r="CB4" s="776"/>
      <c r="CC4" s="776"/>
      <c r="CD4" s="789" t="s">
        <v>529</v>
      </c>
      <c r="CE4" s="776" t="s">
        <v>530</v>
      </c>
      <c r="CF4" s="776" t="s">
        <v>531</v>
      </c>
      <c r="CG4" s="776" t="s">
        <v>532</v>
      </c>
      <c r="CH4" s="776" t="s">
        <v>533</v>
      </c>
      <c r="CI4" s="776" t="s">
        <v>534</v>
      </c>
      <c r="CJ4" s="776" t="s">
        <v>535</v>
      </c>
      <c r="CK4" s="776" t="s">
        <v>536</v>
      </c>
      <c r="CL4" s="776" t="s">
        <v>537</v>
      </c>
      <c r="CM4" s="776" t="s">
        <v>538</v>
      </c>
      <c r="CN4" s="776" t="s">
        <v>539</v>
      </c>
      <c r="CO4" s="776" t="s">
        <v>540</v>
      </c>
      <c r="CP4" s="776" t="s">
        <v>541</v>
      </c>
      <c r="CQ4" s="776" t="s">
        <v>542</v>
      </c>
      <c r="CR4" s="776" t="s">
        <v>543</v>
      </c>
      <c r="CS4" s="776" t="s">
        <v>544</v>
      </c>
      <c r="CT4" s="776" t="s">
        <v>545</v>
      </c>
      <c r="CU4" s="776"/>
      <c r="CV4" s="776"/>
      <c r="CW4" s="776"/>
      <c r="CX4" s="776"/>
      <c r="CY4" s="776"/>
      <c r="CZ4" s="776" t="s">
        <v>546</v>
      </c>
      <c r="DA4" s="776" t="s">
        <v>547</v>
      </c>
      <c r="DB4" s="776" t="s">
        <v>548</v>
      </c>
      <c r="DC4" s="776" t="s">
        <v>549</v>
      </c>
      <c r="DD4" s="776" t="s">
        <v>550</v>
      </c>
      <c r="DE4" s="776" t="s">
        <v>551</v>
      </c>
      <c r="DF4" s="776" t="s">
        <v>552</v>
      </c>
      <c r="DG4" s="776" t="s">
        <v>553</v>
      </c>
      <c r="DH4" s="776" t="s">
        <v>554</v>
      </c>
      <c r="DI4" s="776" t="s">
        <v>555</v>
      </c>
      <c r="DJ4" s="776" t="s">
        <v>556</v>
      </c>
      <c r="DK4" s="776" t="s">
        <v>557</v>
      </c>
      <c r="DL4" s="776" t="s">
        <v>558</v>
      </c>
      <c r="DM4" s="776" t="s">
        <v>559</v>
      </c>
      <c r="DN4" s="776" t="s">
        <v>560</v>
      </c>
      <c r="DO4" s="776" t="s">
        <v>561</v>
      </c>
      <c r="DP4" s="776"/>
      <c r="DQ4" s="776"/>
      <c r="DR4" s="776"/>
      <c r="DS4" s="776"/>
      <c r="DT4" s="776" t="s">
        <v>562</v>
      </c>
      <c r="DU4" s="776" t="s">
        <v>563</v>
      </c>
      <c r="DV4" s="776" t="s">
        <v>564</v>
      </c>
      <c r="DW4" s="776" t="s">
        <v>565</v>
      </c>
      <c r="DX4" s="776" t="s">
        <v>566</v>
      </c>
      <c r="DY4" s="776" t="s">
        <v>567</v>
      </c>
      <c r="DZ4" s="776" t="s">
        <v>568</v>
      </c>
      <c r="EA4" s="776" t="s">
        <v>569</v>
      </c>
      <c r="EB4" s="776" t="s">
        <v>570</v>
      </c>
      <c r="EC4" s="776" t="s">
        <v>571</v>
      </c>
      <c r="ED4" s="776" t="s">
        <v>572</v>
      </c>
      <c r="EE4" s="776" t="s">
        <v>573</v>
      </c>
      <c r="EF4" s="776" t="s">
        <v>574</v>
      </c>
      <c r="EG4" s="776" t="s">
        <v>575</v>
      </c>
      <c r="EH4" s="776" t="s">
        <v>576</v>
      </c>
      <c r="EI4" s="776" t="s">
        <v>577</v>
      </c>
      <c r="EJ4" s="776" t="s">
        <v>578</v>
      </c>
      <c r="EK4" s="776" t="s">
        <v>579</v>
      </c>
      <c r="EL4" s="776" t="s">
        <v>580</v>
      </c>
      <c r="EM4" s="776"/>
      <c r="EN4" s="776"/>
      <c r="EO4" s="776"/>
      <c r="EP4" s="776"/>
      <c r="EQ4" s="776"/>
      <c r="ER4" s="776"/>
      <c r="ES4" s="776" t="s">
        <v>581</v>
      </c>
      <c r="ET4" s="776" t="s">
        <v>582</v>
      </c>
      <c r="EU4" s="776" t="s">
        <v>583</v>
      </c>
      <c r="EV4" s="780" t="s">
        <v>584</v>
      </c>
      <c r="EW4" s="776" t="s">
        <v>585</v>
      </c>
      <c r="EX4" s="776" t="s">
        <v>586</v>
      </c>
      <c r="EY4" s="776" t="s">
        <v>587</v>
      </c>
      <c r="EZ4" s="776" t="s">
        <v>588</v>
      </c>
      <c r="FA4" s="776" t="s">
        <v>589</v>
      </c>
      <c r="FB4" s="776" t="s">
        <v>590</v>
      </c>
      <c r="FC4" s="776"/>
      <c r="FD4" s="776"/>
      <c r="FE4" s="776"/>
      <c r="FF4" s="776"/>
      <c r="FG4" s="776" t="s">
        <v>591</v>
      </c>
      <c r="FH4" s="776" t="s">
        <v>592</v>
      </c>
      <c r="FI4" s="776" t="s">
        <v>593</v>
      </c>
      <c r="FJ4" s="781" t="s">
        <v>594</v>
      </c>
      <c r="FK4" s="776" t="s">
        <v>595</v>
      </c>
      <c r="FL4" s="776" t="s">
        <v>596</v>
      </c>
      <c r="FM4" s="776" t="s">
        <v>597</v>
      </c>
      <c r="FN4" s="776" t="s">
        <v>598</v>
      </c>
      <c r="FO4" s="776" t="s">
        <v>599</v>
      </c>
      <c r="FP4" s="776"/>
      <c r="FQ4" s="776"/>
      <c r="FR4" s="776"/>
      <c r="FS4" s="776"/>
      <c r="FT4" s="782" t="s">
        <v>600</v>
      </c>
      <c r="FU4" s="776"/>
      <c r="FV4" s="776"/>
      <c r="FW4" s="776"/>
      <c r="FX4" s="776"/>
      <c r="FY4" s="776"/>
      <c r="FZ4" s="776"/>
      <c r="GA4" s="776"/>
      <c r="GB4" s="776"/>
      <c r="GC4" s="776"/>
      <c r="GD4" s="776"/>
      <c r="GE4" s="776"/>
      <c r="GF4" s="776"/>
      <c r="GG4" s="776"/>
      <c r="GH4" s="776"/>
      <c r="GI4" s="776"/>
      <c r="GJ4" s="776"/>
      <c r="GK4" s="776"/>
      <c r="GL4" s="776"/>
      <c r="GM4" s="776"/>
      <c r="GN4" s="776"/>
      <c r="GO4" s="776"/>
      <c r="GP4" s="776"/>
      <c r="GQ4" s="776"/>
      <c r="GR4" s="795"/>
      <c r="GS4" s="795"/>
      <c r="GT4" s="795"/>
      <c r="GU4" s="795"/>
      <c r="GV4" s="795"/>
      <c r="GW4" s="795"/>
      <c r="GX4" s="795"/>
      <c r="GY4" s="795"/>
      <c r="GZ4" s="795"/>
      <c r="HA4" s="795"/>
      <c r="HB4" s="795"/>
      <c r="HC4" s="795"/>
      <c r="HD4" s="795"/>
      <c r="HE4" s="795"/>
      <c r="HF4" s="795"/>
      <c r="HG4" s="795"/>
      <c r="HH4" s="795"/>
      <c r="HI4" s="795"/>
      <c r="HJ4" s="795"/>
      <c r="HK4" s="795"/>
      <c r="HL4" s="795"/>
      <c r="HM4" s="795"/>
      <c r="HN4" s="795"/>
      <c r="HO4" s="795"/>
      <c r="HP4" s="795"/>
    </row>
    <row r="5" ht="20.1" customHeight="1" spans="2:199">
      <c r="B5" s="764" t="s">
        <v>601</v>
      </c>
      <c r="C5" s="764"/>
      <c r="D5" s="764"/>
      <c r="E5" s="764"/>
      <c r="F5" s="764"/>
      <c r="G5" s="764"/>
      <c r="H5" s="764"/>
      <c r="K5" s="774" t="s">
        <v>489</v>
      </c>
      <c r="L5" s="774" t="s">
        <v>602</v>
      </c>
      <c r="M5" s="778" t="s">
        <v>511</v>
      </c>
      <c r="N5" s="774" t="s">
        <v>603</v>
      </c>
      <c r="O5" s="774" t="s">
        <v>546</v>
      </c>
      <c r="P5" s="774" t="s">
        <v>562</v>
      </c>
      <c r="Q5" s="774" t="s">
        <v>581</v>
      </c>
      <c r="R5" s="774" t="s">
        <v>591</v>
      </c>
      <c r="S5" s="774" t="s">
        <v>489</v>
      </c>
      <c r="T5" s="779">
        <v>1</v>
      </c>
      <c r="U5" s="779">
        <f>T5*0.001</f>
        <v>0.001</v>
      </c>
      <c r="V5" s="779">
        <f>T5*0.000001</f>
        <v>1e-6</v>
      </c>
      <c r="W5" s="779">
        <f>T5*0.00001</f>
        <v>1e-5</v>
      </c>
      <c r="X5" s="779">
        <f>T5/100</f>
        <v>0.01</v>
      </c>
      <c r="Y5" s="779">
        <f>T5*1.0197162129779*0.00001</f>
        <v>1.0197162129779e-5</v>
      </c>
      <c r="Z5" s="779">
        <f>0.10197162129779</f>
        <v>0.10197162129779</v>
      </c>
      <c r="AA5" s="779">
        <f>T5/T12</f>
        <v>9.86923266716013e-6</v>
      </c>
      <c r="AB5" s="779">
        <f>T5*1.01977*0.001</f>
        <v>0.00101977</v>
      </c>
      <c r="AC5" s="779">
        <f>T5*101.97*0.001</f>
        <v>0.10197</v>
      </c>
      <c r="AD5" s="779">
        <f>T5*7.5*0.001</f>
        <v>0.0075</v>
      </c>
      <c r="AE5" s="779">
        <f>T5*0.145038*0.001</f>
        <v>0.000145038</v>
      </c>
      <c r="AF5" s="774"/>
      <c r="AG5" s="774"/>
      <c r="AH5" s="774"/>
      <c r="AI5" s="774"/>
      <c r="AJ5" s="774"/>
      <c r="AK5" s="774"/>
      <c r="AL5" s="774" t="s">
        <v>602</v>
      </c>
      <c r="AM5" s="774">
        <v>1</v>
      </c>
      <c r="AN5" s="774">
        <f>AM5*1000</f>
        <v>1000</v>
      </c>
      <c r="AO5" s="774">
        <f>AM5*1000000</f>
        <v>1000000</v>
      </c>
      <c r="AP5" s="774">
        <f>AM5*3.6*1000</f>
        <v>3600</v>
      </c>
      <c r="AQ5" s="774">
        <f>AM5*60</f>
        <v>60</v>
      </c>
      <c r="AR5" s="774">
        <f>AM5*3.6*1000000</f>
        <v>3600000</v>
      </c>
      <c r="AS5" s="774">
        <f>AM5*60*1000</f>
        <v>60000</v>
      </c>
      <c r="AT5" s="774">
        <f>AM5*2.12*1000</f>
        <v>2120</v>
      </c>
      <c r="AU5" s="774">
        <f>AM5/AM13</f>
        <v>13194.3528169943</v>
      </c>
      <c r="AV5" s="774">
        <f>15.85*1000</f>
        <v>15850</v>
      </c>
      <c r="AW5" s="774"/>
      <c r="AX5" s="774"/>
      <c r="AY5" s="774"/>
      <c r="AZ5" s="774"/>
      <c r="BA5" s="774"/>
      <c r="BB5" s="774"/>
      <c r="BC5" s="778" t="s">
        <v>511</v>
      </c>
      <c r="BD5" s="774">
        <v>1</v>
      </c>
      <c r="BE5" s="774">
        <f>BD5*1000</f>
        <v>1000</v>
      </c>
      <c r="BF5" s="774">
        <f t="shared" ref="BF5:BK5" si="0">BE5*10</f>
        <v>10000</v>
      </c>
      <c r="BG5" s="774">
        <f t="shared" si="0"/>
        <v>100000</v>
      </c>
      <c r="BH5" s="774">
        <f t="shared" si="0"/>
        <v>1000000</v>
      </c>
      <c r="BI5" s="774">
        <f t="shared" si="0"/>
        <v>10000000</v>
      </c>
      <c r="BJ5" s="774">
        <f t="shared" si="0"/>
        <v>100000000</v>
      </c>
      <c r="BK5" s="774">
        <f t="shared" si="0"/>
        <v>1000000000</v>
      </c>
      <c r="BL5" s="786">
        <f>BK5*1000</f>
        <v>1000000000000</v>
      </c>
      <c r="BM5" s="786">
        <f>BL5*1000</f>
        <v>1000000000000000</v>
      </c>
      <c r="BN5" s="774">
        <f>BE5*3</f>
        <v>3000</v>
      </c>
      <c r="BO5" s="774">
        <f>BN5/10</f>
        <v>300</v>
      </c>
      <c r="BP5" s="774">
        <f>BO5/10</f>
        <v>30</v>
      </c>
      <c r="BQ5" s="787">
        <f>1.0936*1000</f>
        <v>1093.6</v>
      </c>
      <c r="BR5" s="774">
        <f>BD5*BG5/2.54</f>
        <v>39370.0787401575</v>
      </c>
      <c r="BS5" s="774">
        <f>BR5/12</f>
        <v>3280.83989501312</v>
      </c>
      <c r="BT5" s="774">
        <f>BD5*0.62136</f>
        <v>0.62136</v>
      </c>
      <c r="BU5" s="774">
        <f>BD5*0.54</f>
        <v>0.54</v>
      </c>
      <c r="BV5" s="774"/>
      <c r="BW5" s="774"/>
      <c r="BX5" s="774"/>
      <c r="BY5" s="774"/>
      <c r="BZ5" s="774"/>
      <c r="CA5" s="774"/>
      <c r="CB5" s="774"/>
      <c r="CC5" s="774" t="s">
        <v>603</v>
      </c>
      <c r="CD5" s="788">
        <v>1</v>
      </c>
      <c r="CE5" s="774">
        <f>100*CD5</f>
        <v>100</v>
      </c>
      <c r="CF5" s="774">
        <f>10000*CD5</f>
        <v>10000</v>
      </c>
      <c r="CG5" s="774">
        <f>1000000*CD5</f>
        <v>1000000</v>
      </c>
      <c r="CH5" s="774">
        <f>100000000*CD5</f>
        <v>100000000</v>
      </c>
      <c r="CI5" s="774">
        <f>10000000000*CD5</f>
        <v>10000000000</v>
      </c>
      <c r="CJ5" s="774">
        <f>1000000000000*CD5</f>
        <v>1000000000000</v>
      </c>
      <c r="CK5" s="774">
        <f>CD5*15</f>
        <v>15</v>
      </c>
      <c r="CL5" s="774">
        <f>CD5*1500</f>
        <v>1500</v>
      </c>
      <c r="CM5" s="774">
        <v>9000000</v>
      </c>
      <c r="CN5" s="774">
        <v>900000000</v>
      </c>
      <c r="CO5" s="774">
        <v>247.10538146717</v>
      </c>
      <c r="CP5" s="774">
        <v>0.38610215854245</v>
      </c>
      <c r="CQ5" s="774">
        <v>1195990.0463011</v>
      </c>
      <c r="CR5" s="774">
        <v>10763910.41671</v>
      </c>
      <c r="CS5" s="774">
        <v>1550003100.0062</v>
      </c>
      <c r="CT5" s="781">
        <v>39536.861034746</v>
      </c>
      <c r="CU5" s="774"/>
      <c r="CV5" s="774"/>
      <c r="CW5" s="774"/>
      <c r="CX5" s="774"/>
      <c r="CY5" s="774" t="s">
        <v>546</v>
      </c>
      <c r="CZ5" s="774">
        <v>1</v>
      </c>
      <c r="DA5" s="774">
        <f>CZ5*1000</f>
        <v>1000</v>
      </c>
      <c r="DB5" s="774">
        <f>CZ5*1000000</f>
        <v>1000000</v>
      </c>
      <c r="DC5" s="774">
        <f>CZ5*1000000000</f>
        <v>1000000000</v>
      </c>
      <c r="DD5" s="774">
        <f>CZ5*1000</f>
        <v>1000</v>
      </c>
      <c r="DE5" s="774">
        <f>CZ5*10000</f>
        <v>10000</v>
      </c>
      <c r="DF5" s="774">
        <f>CZ5*100000</f>
        <v>100000</v>
      </c>
      <c r="DG5" s="774">
        <f>CZ5*1000000</f>
        <v>1000000</v>
      </c>
      <c r="DH5" s="774">
        <v>10</v>
      </c>
      <c r="DI5" s="774">
        <v>35.314724827664</v>
      </c>
      <c r="DJ5" s="774">
        <v>61023.844502204</v>
      </c>
      <c r="DK5" s="774">
        <v>1.307952771395</v>
      </c>
      <c r="DL5" s="774">
        <v>0.00081071319378991</v>
      </c>
      <c r="DM5" s="774">
        <v>219.96915733256</v>
      </c>
      <c r="DN5" s="774">
        <v>264.17205235815</v>
      </c>
      <c r="DO5" s="774">
        <v>6.28995</v>
      </c>
      <c r="DP5" s="774"/>
      <c r="DQ5" s="774"/>
      <c r="DR5" s="774"/>
      <c r="DS5" s="774" t="s">
        <v>562</v>
      </c>
      <c r="DT5" s="774">
        <v>1</v>
      </c>
      <c r="DU5" s="774">
        <f>DT5*1000</f>
        <v>1000</v>
      </c>
      <c r="DV5" s="774">
        <f>DU5*1000</f>
        <v>1000000</v>
      </c>
      <c r="DW5" s="774">
        <f>DT5/1000</f>
        <v>0.001</v>
      </c>
      <c r="DX5" s="774">
        <f>DT5/100</f>
        <v>0.01</v>
      </c>
      <c r="DY5" s="774">
        <v>2.2046226218488</v>
      </c>
      <c r="DZ5" s="774">
        <v>35.27396194958</v>
      </c>
      <c r="EA5" s="774">
        <v>5000</v>
      </c>
      <c r="EB5" s="774">
        <v>15432.358352941</v>
      </c>
      <c r="EC5" s="774">
        <v>0.00098420652761106</v>
      </c>
      <c r="ED5" s="774">
        <v>0.0011023113109244</v>
      </c>
      <c r="EE5" s="774">
        <v>0.019684130552221</v>
      </c>
      <c r="EF5" s="774">
        <v>0.022046226218488</v>
      </c>
      <c r="EG5" s="774">
        <v>0.15747304441777</v>
      </c>
      <c r="EH5" s="774">
        <v>564.38339119329</v>
      </c>
      <c r="EI5" s="774">
        <v>0.02</v>
      </c>
      <c r="EJ5" s="774">
        <v>2</v>
      </c>
      <c r="EK5" s="774">
        <v>20</v>
      </c>
      <c r="EL5" s="774">
        <v>200</v>
      </c>
      <c r="EM5" s="774"/>
      <c r="EN5" s="774"/>
      <c r="EO5" s="774"/>
      <c r="EP5" s="774"/>
      <c r="EQ5" s="774"/>
      <c r="ER5" s="774" t="s">
        <v>581</v>
      </c>
      <c r="ES5" s="774">
        <v>1</v>
      </c>
      <c r="ET5" s="774">
        <v>0.001</v>
      </c>
      <c r="EU5" s="774">
        <v>0.0013410220888438</v>
      </c>
      <c r="EV5" s="774">
        <v>0.0013596216173039</v>
      </c>
      <c r="EW5" s="774">
        <v>0.10197162129779</v>
      </c>
      <c r="EX5" s="774">
        <v>0.0002390000010516</v>
      </c>
      <c r="EY5" s="774">
        <v>0.00094781712266701</v>
      </c>
      <c r="EZ5" s="774">
        <v>0.73756214886409</v>
      </c>
      <c r="FA5" s="774">
        <v>1</v>
      </c>
      <c r="FB5" s="774">
        <v>1</v>
      </c>
      <c r="FC5" s="774"/>
      <c r="FD5" s="774"/>
      <c r="FE5" s="774"/>
      <c r="FF5" s="774" t="s">
        <v>591</v>
      </c>
      <c r="FG5" s="774">
        <v>1</v>
      </c>
      <c r="FH5" s="774">
        <v>0.23889999999997</v>
      </c>
      <c r="FI5" s="774">
        <v>0.00023889999999997</v>
      </c>
      <c r="FJ5" s="774">
        <v>0.10199999998572</v>
      </c>
      <c r="FK5" s="774">
        <f>3.7767267147331*0.0000001</f>
        <v>3.7767267147331e-7</v>
      </c>
      <c r="FL5" s="774">
        <f>3.7250613578995*0.0000001</f>
        <v>3.7250613578995e-7</v>
      </c>
      <c r="FM5" s="774">
        <f>2.7777777777778*0.0000001</f>
        <v>2.7777777777778e-7</v>
      </c>
      <c r="FN5" s="774">
        <v>0.00094781712031332</v>
      </c>
      <c r="FO5" s="774">
        <v>0.73760000000106</v>
      </c>
      <c r="FP5" s="774"/>
      <c r="FQ5" s="774"/>
      <c r="FR5" s="774"/>
      <c r="FS5" s="774"/>
      <c r="FT5" s="787" t="s">
        <v>604</v>
      </c>
      <c r="FU5" s="774"/>
      <c r="FV5" s="774"/>
      <c r="FW5" s="774"/>
      <c r="FX5" s="774"/>
      <c r="FY5" s="774"/>
      <c r="FZ5" s="774"/>
      <c r="GA5" s="774"/>
      <c r="GB5" s="774"/>
      <c r="GC5" s="774"/>
      <c r="GD5" s="774"/>
      <c r="GE5" s="774"/>
      <c r="GF5" s="774"/>
      <c r="GG5" s="774"/>
      <c r="GH5" s="774"/>
      <c r="GI5" s="774"/>
      <c r="GJ5" s="774"/>
      <c r="GK5" s="774"/>
      <c r="GL5" s="774"/>
      <c r="GM5" s="774"/>
      <c r="GN5" s="774"/>
      <c r="GO5" s="774"/>
      <c r="GP5" s="774"/>
      <c r="GQ5" s="774"/>
    </row>
    <row r="6" customHeight="1" spans="1:199">
      <c r="A6" s="759"/>
      <c r="B6" s="758" t="s">
        <v>481</v>
      </c>
      <c r="C6" s="765">
        <v>1</v>
      </c>
      <c r="D6" s="766" t="s">
        <v>489</v>
      </c>
      <c r="E6" s="767">
        <f>C6*G6*H6</f>
        <v>1e-5</v>
      </c>
      <c r="F6" s="766" t="s">
        <v>492</v>
      </c>
      <c r="G6" s="768">
        <f>SUMIF(S5:S16,D6,T5:T16)</f>
        <v>1</v>
      </c>
      <c r="H6" s="769">
        <f>SUMIF(T4:AE4,F6,T5:AE5)</f>
        <v>1e-5</v>
      </c>
      <c r="K6" s="774" t="s">
        <v>490</v>
      </c>
      <c r="L6" s="774" t="s">
        <v>502</v>
      </c>
      <c r="M6" s="778" t="s">
        <v>512</v>
      </c>
      <c r="N6" s="774" t="s">
        <v>605</v>
      </c>
      <c r="O6" s="774" t="s">
        <v>547</v>
      </c>
      <c r="P6" s="774" t="s">
        <v>563</v>
      </c>
      <c r="Q6" s="774" t="s">
        <v>582</v>
      </c>
      <c r="R6" s="774" t="s">
        <v>592</v>
      </c>
      <c r="S6" s="774" t="s">
        <v>490</v>
      </c>
      <c r="T6" s="779">
        <f>T5/U5</f>
        <v>1000</v>
      </c>
      <c r="U6" s="779"/>
      <c r="V6" s="779"/>
      <c r="W6" s="779"/>
      <c r="X6" s="779"/>
      <c r="Y6" s="779"/>
      <c r="Z6" s="779"/>
      <c r="AA6" s="779"/>
      <c r="AB6" s="779"/>
      <c r="AC6" s="779"/>
      <c r="AD6" s="779"/>
      <c r="AE6" s="779"/>
      <c r="AF6" s="774"/>
      <c r="AG6" s="774"/>
      <c r="AH6" s="774"/>
      <c r="AI6" s="774"/>
      <c r="AJ6" s="774"/>
      <c r="AK6" s="774"/>
      <c r="AL6" s="774" t="s">
        <v>502</v>
      </c>
      <c r="AM6" s="774">
        <f>AM5/AN5</f>
        <v>0.001</v>
      </c>
      <c r="AN6" s="774"/>
      <c r="AO6" s="774"/>
      <c r="AP6" s="774"/>
      <c r="AQ6" s="774"/>
      <c r="AR6" s="774"/>
      <c r="AS6" s="774"/>
      <c r="AT6" s="774"/>
      <c r="AU6" s="774"/>
      <c r="AV6" s="774"/>
      <c r="AW6" s="774"/>
      <c r="AX6" s="774"/>
      <c r="AY6" s="774"/>
      <c r="AZ6" s="774"/>
      <c r="BA6" s="774"/>
      <c r="BB6" s="774"/>
      <c r="BC6" s="778" t="s">
        <v>512</v>
      </c>
      <c r="BD6" s="774">
        <f>BD5/BE5</f>
        <v>0.001</v>
      </c>
      <c r="BE6" s="774"/>
      <c r="BF6" s="774"/>
      <c r="BG6" s="774"/>
      <c r="BH6" s="774"/>
      <c r="BI6" s="774"/>
      <c r="BJ6" s="774"/>
      <c r="BK6" s="774"/>
      <c r="BL6" s="774"/>
      <c r="BM6" s="774"/>
      <c r="BN6" s="774"/>
      <c r="BO6" s="774"/>
      <c r="BP6" s="774"/>
      <c r="BQ6" s="774"/>
      <c r="BR6" s="774"/>
      <c r="BS6" s="774"/>
      <c r="BT6" s="774"/>
      <c r="BU6" s="774"/>
      <c r="BV6" s="774"/>
      <c r="BW6" s="774"/>
      <c r="BX6" s="774"/>
      <c r="BY6" s="774"/>
      <c r="BZ6" s="774"/>
      <c r="CA6" s="774"/>
      <c r="CB6" s="774"/>
      <c r="CC6" s="774" t="s">
        <v>605</v>
      </c>
      <c r="CD6" s="774">
        <f>CD5/CE5</f>
        <v>0.01</v>
      </c>
      <c r="CE6" s="774"/>
      <c r="CF6" s="774"/>
      <c r="CG6" s="774"/>
      <c r="CH6" s="774"/>
      <c r="CI6" s="774"/>
      <c r="CJ6" s="774"/>
      <c r="CK6" s="774"/>
      <c r="CL6" s="774"/>
      <c r="CM6" s="774"/>
      <c r="CN6" s="774"/>
      <c r="CO6" s="774"/>
      <c r="CP6" s="774"/>
      <c r="CQ6" s="774"/>
      <c r="CR6" s="774"/>
      <c r="CS6" s="774"/>
      <c r="CT6" s="774"/>
      <c r="CU6" s="774"/>
      <c r="CV6" s="774"/>
      <c r="CW6" s="774"/>
      <c r="CX6" s="774"/>
      <c r="CY6" s="774" t="s">
        <v>547</v>
      </c>
      <c r="CZ6" s="774">
        <f>CZ5/DA5</f>
        <v>0.001</v>
      </c>
      <c r="DA6" s="774"/>
      <c r="DB6" s="774"/>
      <c r="DC6" s="774"/>
      <c r="DD6" s="774"/>
      <c r="DE6" s="774"/>
      <c r="DF6" s="774"/>
      <c r="DG6" s="774"/>
      <c r="DH6" s="774"/>
      <c r="DI6" s="774"/>
      <c r="DJ6" s="774"/>
      <c r="DK6" s="774"/>
      <c r="DL6" s="774"/>
      <c r="DM6" s="774"/>
      <c r="DN6" s="774"/>
      <c r="DO6" s="774"/>
      <c r="DP6" s="774"/>
      <c r="DQ6" s="774"/>
      <c r="DR6" s="774"/>
      <c r="DS6" s="774" t="s">
        <v>563</v>
      </c>
      <c r="DT6" s="774">
        <f>DT5/DU5</f>
        <v>0.001</v>
      </c>
      <c r="DU6" s="774"/>
      <c r="DV6" s="774"/>
      <c r="DW6" s="774"/>
      <c r="DX6" s="774"/>
      <c r="DY6" s="774"/>
      <c r="DZ6" s="774"/>
      <c r="EA6" s="774"/>
      <c r="EB6" s="774"/>
      <c r="EC6" s="774"/>
      <c r="ED6" s="774"/>
      <c r="EE6" s="774"/>
      <c r="EF6" s="774"/>
      <c r="EG6" s="774"/>
      <c r="EH6" s="774"/>
      <c r="EI6" s="774"/>
      <c r="EJ6" s="774"/>
      <c r="EK6" s="774"/>
      <c r="EL6" s="774"/>
      <c r="EM6" s="774"/>
      <c r="EN6" s="774"/>
      <c r="EO6" s="774"/>
      <c r="EP6" s="774"/>
      <c r="EQ6" s="774"/>
      <c r="ER6" s="774" t="s">
        <v>582</v>
      </c>
      <c r="ES6" s="774">
        <f>ES5/ET5</f>
        <v>1000</v>
      </c>
      <c r="ET6" s="774"/>
      <c r="EU6" s="774"/>
      <c r="EV6" s="774"/>
      <c r="EW6" s="774"/>
      <c r="EX6" s="774"/>
      <c r="EY6" s="774"/>
      <c r="EZ6" s="774"/>
      <c r="FA6" s="774"/>
      <c r="FB6" s="774"/>
      <c r="FC6" s="774"/>
      <c r="FD6" s="774"/>
      <c r="FE6" s="774"/>
      <c r="FF6" s="774" t="s">
        <v>592</v>
      </c>
      <c r="FG6" s="774">
        <f>FG5/FH5</f>
        <v>4.18585182084607</v>
      </c>
      <c r="FH6" s="774"/>
      <c r="FI6" s="774"/>
      <c r="FJ6" s="774"/>
      <c r="FK6" s="774"/>
      <c r="FL6" s="774"/>
      <c r="FM6" s="774"/>
      <c r="FN6" s="774"/>
      <c r="FO6" s="774"/>
      <c r="FP6" s="774"/>
      <c r="FQ6" s="774"/>
      <c r="FR6" s="774"/>
      <c r="FS6" s="774"/>
      <c r="FT6" s="787" t="s">
        <v>606</v>
      </c>
      <c r="FU6" s="774"/>
      <c r="FV6" s="774"/>
      <c r="FW6" s="774"/>
      <c r="FX6" s="774"/>
      <c r="FY6" s="774"/>
      <c r="FZ6" s="774"/>
      <c r="GA6" s="774"/>
      <c r="GB6" s="774"/>
      <c r="GC6" s="774"/>
      <c r="GD6" s="774"/>
      <c r="GE6" s="774"/>
      <c r="GF6" s="774"/>
      <c r="GG6" s="774"/>
      <c r="GH6" s="774"/>
      <c r="GI6" s="774"/>
      <c r="GJ6" s="774"/>
      <c r="GK6" s="774"/>
      <c r="GL6" s="774"/>
      <c r="GM6" s="774"/>
      <c r="GN6" s="774"/>
      <c r="GO6" s="774"/>
      <c r="GP6" s="774"/>
      <c r="GQ6" s="774"/>
    </row>
    <row r="7" ht="2.1" customHeight="1" spans="11:199">
      <c r="K7" s="774" t="s">
        <v>491</v>
      </c>
      <c r="L7" s="774" t="s">
        <v>607</v>
      </c>
      <c r="M7" s="778" t="s">
        <v>513</v>
      </c>
      <c r="N7" s="774" t="s">
        <v>531</v>
      </c>
      <c r="O7" s="774" t="s">
        <v>548</v>
      </c>
      <c r="P7" s="774" t="s">
        <v>564</v>
      </c>
      <c r="Q7" s="774" t="s">
        <v>583</v>
      </c>
      <c r="R7" s="774" t="s">
        <v>593</v>
      </c>
      <c r="S7" s="774" t="s">
        <v>491</v>
      </c>
      <c r="T7" s="779">
        <f>T5/V5</f>
        <v>1000000</v>
      </c>
      <c r="U7" s="779"/>
      <c r="V7" s="779"/>
      <c r="W7" s="779"/>
      <c r="X7" s="779"/>
      <c r="Y7" s="779"/>
      <c r="Z7" s="779"/>
      <c r="AA7" s="779"/>
      <c r="AB7" s="779"/>
      <c r="AC7" s="779"/>
      <c r="AD7" s="779"/>
      <c r="AE7" s="779"/>
      <c r="AF7" s="774"/>
      <c r="AG7" s="774"/>
      <c r="AH7" s="774"/>
      <c r="AI7" s="774"/>
      <c r="AJ7" s="774"/>
      <c r="AK7" s="774"/>
      <c r="AL7" s="774" t="s">
        <v>607</v>
      </c>
      <c r="AM7" s="774">
        <f>AM5/AO5</f>
        <v>1e-6</v>
      </c>
      <c r="AN7" s="774"/>
      <c r="AO7" s="774"/>
      <c r="AP7" s="774"/>
      <c r="AQ7" s="774"/>
      <c r="AR7" s="774"/>
      <c r="AS7" s="774"/>
      <c r="AT7" s="774"/>
      <c r="AU7" s="774"/>
      <c r="AV7" s="774"/>
      <c r="AW7" s="774"/>
      <c r="AX7" s="774"/>
      <c r="AY7" s="774"/>
      <c r="AZ7" s="774"/>
      <c r="BA7" s="774"/>
      <c r="BB7" s="774"/>
      <c r="BC7" s="778" t="s">
        <v>513</v>
      </c>
      <c r="BD7" s="774">
        <f>BD5/BF5</f>
        <v>0.0001</v>
      </c>
      <c r="BE7" s="774"/>
      <c r="BF7" s="774"/>
      <c r="BG7" s="774"/>
      <c r="BH7" s="774"/>
      <c r="BI7" s="774"/>
      <c r="BJ7" s="774"/>
      <c r="BK7" s="774"/>
      <c r="BL7" s="774"/>
      <c r="BM7" s="774"/>
      <c r="BN7" s="774"/>
      <c r="BO7" s="774"/>
      <c r="BP7" s="774"/>
      <c r="BQ7" s="774"/>
      <c r="BR7" s="774"/>
      <c r="BS7" s="774"/>
      <c r="BT7" s="774"/>
      <c r="BU7" s="774"/>
      <c r="BV7" s="774"/>
      <c r="BW7" s="774"/>
      <c r="BX7" s="774"/>
      <c r="BY7" s="774"/>
      <c r="BZ7" s="774"/>
      <c r="CA7" s="774"/>
      <c r="CB7" s="774"/>
      <c r="CC7" s="774" t="s">
        <v>531</v>
      </c>
      <c r="CD7" s="774">
        <f>CD5/CF5</f>
        <v>0.0001</v>
      </c>
      <c r="CE7" s="774"/>
      <c r="CF7" s="774"/>
      <c r="CG7" s="774"/>
      <c r="CH7" s="774"/>
      <c r="CI7" s="774"/>
      <c r="CJ7" s="774"/>
      <c r="CK7" s="774"/>
      <c r="CL7" s="774"/>
      <c r="CM7" s="774"/>
      <c r="CN7" s="774"/>
      <c r="CO7" s="774"/>
      <c r="CP7" s="774"/>
      <c r="CQ7" s="774"/>
      <c r="CR7" s="774"/>
      <c r="CS7" s="774"/>
      <c r="CT7" s="774"/>
      <c r="CU7" s="774"/>
      <c r="CV7" s="774"/>
      <c r="CW7" s="781"/>
      <c r="CX7" s="774"/>
      <c r="CY7" s="774" t="s">
        <v>548</v>
      </c>
      <c r="CZ7" s="774">
        <f>CZ5/DB5</f>
        <v>1e-6</v>
      </c>
      <c r="DA7" s="774"/>
      <c r="DB7" s="774"/>
      <c r="DC7" s="774"/>
      <c r="DD7" s="774"/>
      <c r="DE7" s="774"/>
      <c r="DF7" s="774"/>
      <c r="DG7" s="774"/>
      <c r="DH7" s="774"/>
      <c r="DI7" s="774"/>
      <c r="DJ7" s="774"/>
      <c r="DK7" s="774"/>
      <c r="DL7" s="774"/>
      <c r="DM7" s="774"/>
      <c r="DN7" s="774"/>
      <c r="DO7" s="774"/>
      <c r="DP7" s="774"/>
      <c r="DQ7" s="774"/>
      <c r="DR7" s="774"/>
      <c r="DS7" s="774" t="s">
        <v>564</v>
      </c>
      <c r="DT7" s="774">
        <f>DT5/DV5</f>
        <v>1e-6</v>
      </c>
      <c r="DU7" s="774"/>
      <c r="DV7" s="774"/>
      <c r="DW7" s="774"/>
      <c r="DX7" s="774"/>
      <c r="DY7" s="774"/>
      <c r="DZ7" s="774"/>
      <c r="EA7" s="774"/>
      <c r="EB7" s="774"/>
      <c r="EC7" s="774"/>
      <c r="ED7" s="774"/>
      <c r="EE7" s="774"/>
      <c r="EF7" s="774"/>
      <c r="EG7" s="774"/>
      <c r="EH7" s="774"/>
      <c r="EI7" s="774"/>
      <c r="EJ7" s="774"/>
      <c r="EK7" s="774"/>
      <c r="EL7" s="774"/>
      <c r="EM7" s="774"/>
      <c r="EN7" s="774"/>
      <c r="EO7" s="774"/>
      <c r="EP7" s="774"/>
      <c r="EQ7" s="774"/>
      <c r="ER7" s="774" t="s">
        <v>583</v>
      </c>
      <c r="ES7" s="774">
        <f>ES5/EU5</f>
        <v>745.699872000004</v>
      </c>
      <c r="ET7" s="774"/>
      <c r="EU7" s="774"/>
      <c r="EV7" s="774"/>
      <c r="EW7" s="774"/>
      <c r="EX7" s="774"/>
      <c r="EY7" s="774"/>
      <c r="EZ7" s="774"/>
      <c r="FA7" s="774"/>
      <c r="FB7" s="774"/>
      <c r="FC7" s="774"/>
      <c r="FD7" s="774"/>
      <c r="FE7" s="774"/>
      <c r="FF7" s="774" t="s">
        <v>593</v>
      </c>
      <c r="FG7" s="774">
        <f>FG5/FI5</f>
        <v>4185.85182084607</v>
      </c>
      <c r="FH7" s="774"/>
      <c r="FI7" s="774"/>
      <c r="FJ7" s="774"/>
      <c r="FK7" s="774"/>
      <c r="FL7" s="774"/>
      <c r="FM7" s="774"/>
      <c r="FN7" s="774"/>
      <c r="FO7" s="774"/>
      <c r="FP7" s="774"/>
      <c r="FQ7" s="774"/>
      <c r="FR7" s="774"/>
      <c r="FS7" s="774"/>
      <c r="FT7" s="787" t="s">
        <v>608</v>
      </c>
      <c r="FU7" s="774"/>
      <c r="FV7" s="774"/>
      <c r="FW7" s="774"/>
      <c r="FX7" s="774"/>
      <c r="FY7" s="774"/>
      <c r="FZ7" s="774"/>
      <c r="GA7" s="774"/>
      <c r="GB7" s="774"/>
      <c r="GC7" s="774"/>
      <c r="GD7" s="774"/>
      <c r="GE7" s="774"/>
      <c r="GF7" s="774"/>
      <c r="GG7" s="774"/>
      <c r="GH7" s="774"/>
      <c r="GI7" s="774"/>
      <c r="GJ7" s="774"/>
      <c r="GK7" s="774"/>
      <c r="GL7" s="774"/>
      <c r="GM7" s="774"/>
      <c r="GN7" s="774"/>
      <c r="GO7" s="774"/>
      <c r="GP7" s="774"/>
      <c r="GQ7" s="774"/>
    </row>
    <row r="8" ht="2.1" customHeight="1" spans="1:199">
      <c r="A8" s="770"/>
      <c r="B8" s="771"/>
      <c r="C8" s="770"/>
      <c r="D8" s="770"/>
      <c r="E8" s="770"/>
      <c r="F8" s="770"/>
      <c r="G8" s="770"/>
      <c r="H8" s="770"/>
      <c r="K8" s="774" t="s">
        <v>492</v>
      </c>
      <c r="L8" s="774" t="s">
        <v>609</v>
      </c>
      <c r="M8" s="778" t="s">
        <v>514</v>
      </c>
      <c r="N8" s="774" t="s">
        <v>610</v>
      </c>
      <c r="O8" s="774" t="s">
        <v>549</v>
      </c>
      <c r="P8" s="774" t="s">
        <v>565</v>
      </c>
      <c r="Q8" s="780" t="s">
        <v>584</v>
      </c>
      <c r="R8" s="781" t="s">
        <v>594</v>
      </c>
      <c r="S8" s="774" t="s">
        <v>492</v>
      </c>
      <c r="T8" s="779">
        <f>T5/W5</f>
        <v>100000</v>
      </c>
      <c r="U8" s="779"/>
      <c r="V8" s="779"/>
      <c r="W8" s="779"/>
      <c r="X8" s="779"/>
      <c r="Y8" s="779"/>
      <c r="Z8" s="779"/>
      <c r="AA8" s="779"/>
      <c r="AB8" s="779"/>
      <c r="AC8" s="779"/>
      <c r="AD8" s="779"/>
      <c r="AE8" s="779"/>
      <c r="AF8" s="774"/>
      <c r="AG8" s="774"/>
      <c r="AH8" s="774"/>
      <c r="AI8" s="774"/>
      <c r="AJ8" s="774"/>
      <c r="AK8" s="774"/>
      <c r="AL8" s="774" t="s">
        <v>609</v>
      </c>
      <c r="AM8" s="774">
        <f>AM5/AP5</f>
        <v>0.000277777777777778</v>
      </c>
      <c r="AN8" s="774"/>
      <c r="AO8" s="774"/>
      <c r="AP8" s="774"/>
      <c r="AQ8" s="774"/>
      <c r="AR8" s="774"/>
      <c r="AS8" s="774"/>
      <c r="AT8" s="774"/>
      <c r="AU8" s="774"/>
      <c r="AV8" s="774"/>
      <c r="AW8" s="774"/>
      <c r="AX8" s="774"/>
      <c r="AY8" s="774"/>
      <c r="AZ8" s="774"/>
      <c r="BA8" s="774"/>
      <c r="BB8" s="774"/>
      <c r="BC8" s="778" t="s">
        <v>514</v>
      </c>
      <c r="BD8" s="774">
        <f>BD5/BG5</f>
        <v>1e-5</v>
      </c>
      <c r="BE8" s="774"/>
      <c r="BF8" s="774"/>
      <c r="BG8" s="774"/>
      <c r="BH8" s="774"/>
      <c r="BI8" s="774"/>
      <c r="BJ8" s="774"/>
      <c r="BK8" s="774"/>
      <c r="BL8" s="774"/>
      <c r="BM8" s="774"/>
      <c r="BN8" s="774"/>
      <c r="BO8" s="774"/>
      <c r="BP8" s="774"/>
      <c r="BQ8" s="774"/>
      <c r="BR8" s="774"/>
      <c r="BS8" s="774"/>
      <c r="BT8" s="774"/>
      <c r="BU8" s="774"/>
      <c r="BV8" s="774"/>
      <c r="BW8" s="774"/>
      <c r="BX8" s="774"/>
      <c r="BY8" s="774"/>
      <c r="BZ8" s="774"/>
      <c r="CA8" s="774"/>
      <c r="CB8" s="774"/>
      <c r="CC8" s="774" t="s">
        <v>610</v>
      </c>
      <c r="CD8" s="774">
        <f>CD5/CG5</f>
        <v>1e-6</v>
      </c>
      <c r="CE8" s="774"/>
      <c r="CF8" s="774"/>
      <c r="CG8" s="774"/>
      <c r="CH8" s="774"/>
      <c r="CI8" s="774"/>
      <c r="CJ8" s="774"/>
      <c r="CK8" s="774"/>
      <c r="CL8" s="774"/>
      <c r="CM8" s="774"/>
      <c r="CN8" s="774"/>
      <c r="CO8" s="774"/>
      <c r="CP8" s="774"/>
      <c r="CQ8" s="774"/>
      <c r="CR8" s="774"/>
      <c r="CS8" s="774"/>
      <c r="CT8" s="774"/>
      <c r="CU8" s="781"/>
      <c r="CV8" s="781"/>
      <c r="CW8" s="774"/>
      <c r="CX8" s="781"/>
      <c r="CY8" s="774" t="s">
        <v>549</v>
      </c>
      <c r="CZ8" s="781">
        <f>CZ5/DC5</f>
        <v>1e-9</v>
      </c>
      <c r="DA8" s="781"/>
      <c r="DB8" s="781"/>
      <c r="DC8" s="781"/>
      <c r="DD8" s="781"/>
      <c r="DE8" s="781"/>
      <c r="DF8" s="781"/>
      <c r="DG8" s="781"/>
      <c r="DH8" s="781"/>
      <c r="DI8" s="781"/>
      <c r="DJ8" s="781"/>
      <c r="DK8" s="781"/>
      <c r="DL8" s="781"/>
      <c r="DM8" s="781"/>
      <c r="DN8" s="781"/>
      <c r="DO8" s="781"/>
      <c r="DP8" s="781"/>
      <c r="DQ8" s="781"/>
      <c r="DR8" s="781"/>
      <c r="DS8" s="774" t="s">
        <v>565</v>
      </c>
      <c r="DT8" s="781">
        <f>DT5/DW5</f>
        <v>1000</v>
      </c>
      <c r="DU8" s="781"/>
      <c r="DV8" s="781"/>
      <c r="DW8" s="781"/>
      <c r="DX8" s="781"/>
      <c r="DY8" s="781"/>
      <c r="DZ8" s="781"/>
      <c r="EA8" s="781"/>
      <c r="EB8" s="781"/>
      <c r="EC8" s="781"/>
      <c r="ED8" s="781"/>
      <c r="EE8" s="781"/>
      <c r="EF8" s="781"/>
      <c r="EG8" s="781"/>
      <c r="EH8" s="781"/>
      <c r="EI8" s="781"/>
      <c r="EJ8" s="781"/>
      <c r="EK8" s="781"/>
      <c r="EL8" s="781"/>
      <c r="EM8" s="781"/>
      <c r="EN8" s="781"/>
      <c r="EO8" s="781"/>
      <c r="EP8" s="781"/>
      <c r="EQ8" s="781"/>
      <c r="ER8" s="780" t="s">
        <v>584</v>
      </c>
      <c r="ES8" s="781">
        <f>ES5/EV5</f>
        <v>735.498750000002</v>
      </c>
      <c r="ET8" s="781"/>
      <c r="EU8" s="781"/>
      <c r="EV8" s="781"/>
      <c r="EW8" s="781"/>
      <c r="EX8" s="781"/>
      <c r="EY8" s="781"/>
      <c r="EZ8" s="781"/>
      <c r="FA8" s="781"/>
      <c r="FB8" s="781"/>
      <c r="FC8" s="781"/>
      <c r="FD8" s="781"/>
      <c r="FE8" s="781"/>
      <c r="FF8" s="781" t="s">
        <v>594</v>
      </c>
      <c r="FG8" s="781">
        <f>FG5/FJ5</f>
        <v>9.80392157</v>
      </c>
      <c r="FH8" s="781"/>
      <c r="FI8" s="781"/>
      <c r="FJ8" s="781"/>
      <c r="FK8" s="781"/>
      <c r="FL8" s="781"/>
      <c r="FM8" s="781"/>
      <c r="FN8" s="781"/>
      <c r="FO8" s="781"/>
      <c r="FP8" s="774"/>
      <c r="FQ8" s="774"/>
      <c r="FR8" s="774"/>
      <c r="FS8" s="774"/>
      <c r="FT8" s="787" t="s">
        <v>611</v>
      </c>
      <c r="FU8" s="774"/>
      <c r="FV8" s="774"/>
      <c r="FW8" s="774"/>
      <c r="FX8" s="774"/>
      <c r="FY8" s="774"/>
      <c r="FZ8" s="774"/>
      <c r="GA8" s="774"/>
      <c r="GB8" s="774"/>
      <c r="GC8" s="774"/>
      <c r="GD8" s="774"/>
      <c r="GE8" s="774"/>
      <c r="GF8" s="774"/>
      <c r="GG8" s="774"/>
      <c r="GH8" s="774"/>
      <c r="GI8" s="774"/>
      <c r="GJ8" s="774"/>
      <c r="GK8" s="774"/>
      <c r="GL8" s="774"/>
      <c r="GM8" s="774"/>
      <c r="GN8" s="774"/>
      <c r="GO8" s="774"/>
      <c r="GP8" s="774"/>
      <c r="GQ8" s="774"/>
    </row>
    <row r="9" ht="2.1" customHeight="1" spans="11:199">
      <c r="K9" s="774" t="s">
        <v>493</v>
      </c>
      <c r="L9" s="774" t="s">
        <v>612</v>
      </c>
      <c r="M9" s="778" t="s">
        <v>515</v>
      </c>
      <c r="N9" s="774" t="s">
        <v>613</v>
      </c>
      <c r="O9" s="774" t="s">
        <v>550</v>
      </c>
      <c r="P9" s="774" t="s">
        <v>566</v>
      </c>
      <c r="Q9" s="774" t="s">
        <v>585</v>
      </c>
      <c r="R9" s="774" t="s">
        <v>595</v>
      </c>
      <c r="S9" s="774" t="s">
        <v>493</v>
      </c>
      <c r="T9" s="779">
        <f>T5/X5</f>
        <v>100</v>
      </c>
      <c r="U9" s="779"/>
      <c r="V9" s="779"/>
      <c r="W9" s="779"/>
      <c r="X9" s="779"/>
      <c r="Y9" s="779"/>
      <c r="Z9" s="779"/>
      <c r="AA9" s="779"/>
      <c r="AB9" s="779"/>
      <c r="AC9" s="779"/>
      <c r="AD9" s="779"/>
      <c r="AE9" s="779"/>
      <c r="AF9" s="774"/>
      <c r="AG9" s="774"/>
      <c r="AH9" s="774"/>
      <c r="AI9" s="774"/>
      <c r="AJ9" s="774"/>
      <c r="AK9" s="774"/>
      <c r="AL9" s="774" t="s">
        <v>612</v>
      </c>
      <c r="AM9" s="774">
        <f>AM5/AQ5</f>
        <v>0.0166666666666667</v>
      </c>
      <c r="AN9" s="774"/>
      <c r="AO9" s="774"/>
      <c r="AP9" s="774"/>
      <c r="AQ9" s="774"/>
      <c r="AR9" s="774"/>
      <c r="AS9" s="774"/>
      <c r="AT9" s="774"/>
      <c r="AU9" s="774"/>
      <c r="AV9" s="774"/>
      <c r="AW9" s="774"/>
      <c r="AX9" s="774"/>
      <c r="AY9" s="774"/>
      <c r="AZ9" s="774"/>
      <c r="BA9" s="774"/>
      <c r="BB9" s="774"/>
      <c r="BC9" s="778" t="s">
        <v>515</v>
      </c>
      <c r="BD9" s="774">
        <f>BD5/BH5</f>
        <v>1e-6</v>
      </c>
      <c r="BE9" s="774"/>
      <c r="BF9" s="774"/>
      <c r="BG9" s="774"/>
      <c r="BH9" s="774"/>
      <c r="BI9" s="774"/>
      <c r="BJ9" s="774"/>
      <c r="BK9" s="774"/>
      <c r="BL9" s="774"/>
      <c r="BM9" s="774"/>
      <c r="BN9" s="774"/>
      <c r="BO9" s="774"/>
      <c r="BP9" s="774"/>
      <c r="BQ9" s="774"/>
      <c r="BR9" s="774"/>
      <c r="BS9" s="774"/>
      <c r="BT9" s="774"/>
      <c r="BU9" s="774"/>
      <c r="BV9" s="774"/>
      <c r="BW9" s="774"/>
      <c r="BX9" s="774"/>
      <c r="BY9" s="774"/>
      <c r="BZ9" s="774"/>
      <c r="CA9" s="774"/>
      <c r="CB9" s="774"/>
      <c r="CC9" s="774" t="s">
        <v>613</v>
      </c>
      <c r="CD9" s="774">
        <f>$CD$5/CH$5</f>
        <v>1e-8</v>
      </c>
      <c r="CE9" s="774"/>
      <c r="CF9" s="774"/>
      <c r="CG9" s="774"/>
      <c r="CH9" s="774"/>
      <c r="CI9" s="774"/>
      <c r="CJ9" s="774"/>
      <c r="CK9" s="774"/>
      <c r="CL9" s="774"/>
      <c r="CM9" s="774"/>
      <c r="CN9" s="774"/>
      <c r="CO9" s="774"/>
      <c r="CP9" s="774"/>
      <c r="CQ9" s="774"/>
      <c r="CR9" s="774"/>
      <c r="CS9" s="774"/>
      <c r="CT9" s="774"/>
      <c r="CU9" s="774"/>
      <c r="CV9" s="774"/>
      <c r="CW9" s="774"/>
      <c r="CX9" s="774"/>
      <c r="CY9" s="774" t="s">
        <v>550</v>
      </c>
      <c r="CZ9" s="774">
        <f>CZ5/DD5</f>
        <v>0.001</v>
      </c>
      <c r="DA9" s="774"/>
      <c r="DB9" s="774"/>
      <c r="DC9" s="774"/>
      <c r="DD9" s="774"/>
      <c r="DE9" s="774"/>
      <c r="DF9" s="774"/>
      <c r="DG9" s="774"/>
      <c r="DH9" s="774"/>
      <c r="DI9" s="774"/>
      <c r="DJ9" s="774"/>
      <c r="DK9" s="774"/>
      <c r="DL9" s="774"/>
      <c r="DM9" s="774"/>
      <c r="DN9" s="774"/>
      <c r="DO9" s="774"/>
      <c r="DP9" s="774"/>
      <c r="DQ9" s="774"/>
      <c r="DR9" s="774"/>
      <c r="DS9" s="774" t="s">
        <v>566</v>
      </c>
      <c r="DT9" s="774">
        <f>DT5/DX5</f>
        <v>100</v>
      </c>
      <c r="DU9" s="774"/>
      <c r="DV9" s="774"/>
      <c r="DW9" s="774"/>
      <c r="DX9" s="774"/>
      <c r="DY9" s="774"/>
      <c r="DZ9" s="774"/>
      <c r="EA9" s="774"/>
      <c r="EB9" s="774"/>
      <c r="EC9" s="774"/>
      <c r="ED9" s="774"/>
      <c r="EE9" s="774"/>
      <c r="EF9" s="774"/>
      <c r="EG9" s="774"/>
      <c r="EH9" s="774"/>
      <c r="EI9" s="774"/>
      <c r="EJ9" s="774"/>
      <c r="EK9" s="774"/>
      <c r="EL9" s="774"/>
      <c r="EM9" s="774"/>
      <c r="EN9" s="774"/>
      <c r="EO9" s="774"/>
      <c r="EP9" s="774"/>
      <c r="EQ9" s="774"/>
      <c r="ER9" s="774" t="s">
        <v>585</v>
      </c>
      <c r="ES9" s="774">
        <f>ES5/EW5</f>
        <v>9.80665000000027</v>
      </c>
      <c r="ET9" s="774"/>
      <c r="EU9" s="774"/>
      <c r="EV9" s="774"/>
      <c r="EW9" s="774"/>
      <c r="EX9" s="774"/>
      <c r="EY9" s="774"/>
      <c r="EZ9" s="774"/>
      <c r="FA9" s="774"/>
      <c r="FB9" s="774"/>
      <c r="FC9" s="774"/>
      <c r="FD9" s="774"/>
      <c r="FE9" s="774"/>
      <c r="FF9" s="774" t="s">
        <v>595</v>
      </c>
      <c r="FG9" s="774">
        <f>FG5/FK5</f>
        <v>2647795.49999998</v>
      </c>
      <c r="FH9" s="774"/>
      <c r="FI9" s="774"/>
      <c r="FJ9" s="774"/>
      <c r="FK9" s="774"/>
      <c r="FL9" s="774"/>
      <c r="FM9" s="774"/>
      <c r="FN9" s="774"/>
      <c r="FO9" s="774"/>
      <c r="FP9" s="774"/>
      <c r="FQ9" s="774"/>
      <c r="FR9" s="774"/>
      <c r="FS9" s="774"/>
      <c r="FT9" s="787" t="s">
        <v>614</v>
      </c>
      <c r="FU9" s="774"/>
      <c r="FV9" s="774"/>
      <c r="FW9" s="774"/>
      <c r="FX9" s="774"/>
      <c r="FY9" s="774"/>
      <c r="FZ9" s="774"/>
      <c r="GA9" s="774"/>
      <c r="GB9" s="774"/>
      <c r="GC9" s="774"/>
      <c r="GD9" s="774"/>
      <c r="GE9" s="774"/>
      <c r="GF9" s="774"/>
      <c r="GG9" s="774"/>
      <c r="GH9" s="774"/>
      <c r="GI9" s="774"/>
      <c r="GJ9" s="774"/>
      <c r="GK9" s="774"/>
      <c r="GL9" s="774"/>
      <c r="GM9" s="774"/>
      <c r="GN9" s="774"/>
      <c r="GO9" s="774"/>
      <c r="GP9" s="774"/>
      <c r="GQ9" s="774"/>
    </row>
    <row r="10" customHeight="1" spans="2:199">
      <c r="B10" s="758" t="s">
        <v>482</v>
      </c>
      <c r="C10" s="765">
        <v>1</v>
      </c>
      <c r="D10" s="766" t="s">
        <v>615</v>
      </c>
      <c r="E10" s="772">
        <f>C10*G10*H10</f>
        <v>1000</v>
      </c>
      <c r="F10" s="766" t="s">
        <v>507</v>
      </c>
      <c r="G10" s="768">
        <f>SUMIF(AL5:AL14,D10,AM5:AM14)</f>
        <v>0.0166666666666667</v>
      </c>
      <c r="H10" s="769">
        <f>SUMIF(AM4:AW4,F10,AM5:AW5)</f>
        <v>60000</v>
      </c>
      <c r="K10" s="774" t="s">
        <v>616</v>
      </c>
      <c r="L10" s="774" t="s">
        <v>506</v>
      </c>
      <c r="M10" s="778" t="s">
        <v>516</v>
      </c>
      <c r="N10" s="774" t="s">
        <v>617</v>
      </c>
      <c r="O10" s="774" t="s">
        <v>551</v>
      </c>
      <c r="P10" s="774" t="s">
        <v>567</v>
      </c>
      <c r="Q10" s="774" t="s">
        <v>586</v>
      </c>
      <c r="R10" s="774" t="s">
        <v>596</v>
      </c>
      <c r="S10" s="774" t="s">
        <v>616</v>
      </c>
      <c r="T10" s="779">
        <f>T5/Y5</f>
        <v>98066.5000000027</v>
      </c>
      <c r="U10" s="779"/>
      <c r="V10" s="779"/>
      <c r="W10" s="779"/>
      <c r="X10" s="779"/>
      <c r="Y10" s="779"/>
      <c r="Z10" s="779"/>
      <c r="AA10" s="779"/>
      <c r="AB10" s="779"/>
      <c r="AC10" s="779"/>
      <c r="AD10" s="779"/>
      <c r="AE10" s="779"/>
      <c r="AF10" s="774"/>
      <c r="AG10" s="774"/>
      <c r="AH10" s="774"/>
      <c r="AI10" s="774"/>
      <c r="AJ10" s="774"/>
      <c r="AK10" s="774"/>
      <c r="AL10" s="774" t="s">
        <v>506</v>
      </c>
      <c r="AM10" s="783">
        <f>AM5/AR5</f>
        <v>2.77777777777778e-7</v>
      </c>
      <c r="AN10" s="774"/>
      <c r="AO10" s="774"/>
      <c r="AP10" s="774"/>
      <c r="AQ10" s="774"/>
      <c r="AR10" s="774"/>
      <c r="AS10" s="774"/>
      <c r="AT10" s="774"/>
      <c r="AU10" s="774"/>
      <c r="AV10" s="774"/>
      <c r="AW10" s="774"/>
      <c r="AX10" s="774"/>
      <c r="AY10" s="774"/>
      <c r="AZ10" s="774"/>
      <c r="BA10" s="774"/>
      <c r="BB10" s="774"/>
      <c r="BC10" s="778" t="s">
        <v>516</v>
      </c>
      <c r="BD10" s="774">
        <f>BD5/BI5</f>
        <v>1e-7</v>
      </c>
      <c r="BE10" s="774"/>
      <c r="BF10" s="774"/>
      <c r="BG10" s="774"/>
      <c r="BH10" s="774"/>
      <c r="BI10" s="774"/>
      <c r="BJ10" s="774"/>
      <c r="BK10" s="774"/>
      <c r="BL10" s="774"/>
      <c r="BM10" s="774"/>
      <c r="BN10" s="774"/>
      <c r="BO10" s="774"/>
      <c r="BP10" s="774"/>
      <c r="BQ10" s="774"/>
      <c r="BR10" s="774"/>
      <c r="BS10" s="774"/>
      <c r="BT10" s="774"/>
      <c r="BU10" s="774"/>
      <c r="BV10" s="774"/>
      <c r="BW10" s="774"/>
      <c r="BX10" s="774"/>
      <c r="BY10" s="774"/>
      <c r="BZ10" s="774"/>
      <c r="CA10" s="774"/>
      <c r="CB10" s="774"/>
      <c r="CC10" s="774" t="s">
        <v>617</v>
      </c>
      <c r="CD10" s="774">
        <f>$CD$5/CI$5</f>
        <v>1e-10</v>
      </c>
      <c r="CE10" s="774"/>
      <c r="CF10" s="774"/>
      <c r="CG10" s="774"/>
      <c r="CH10" s="774"/>
      <c r="CI10" s="774"/>
      <c r="CJ10" s="774"/>
      <c r="CK10" s="774"/>
      <c r="CL10" s="774"/>
      <c r="CM10" s="774"/>
      <c r="CN10" s="774"/>
      <c r="CO10" s="774"/>
      <c r="CP10" s="774"/>
      <c r="CQ10" s="774"/>
      <c r="CR10" s="774"/>
      <c r="CS10" s="774"/>
      <c r="CT10" s="774"/>
      <c r="CU10" s="774"/>
      <c r="CV10" s="774"/>
      <c r="CW10" s="774"/>
      <c r="CX10" s="774"/>
      <c r="CY10" s="774" t="s">
        <v>551</v>
      </c>
      <c r="CZ10" s="774">
        <f>CZ5/DE5</f>
        <v>0.0001</v>
      </c>
      <c r="DA10" s="774"/>
      <c r="DB10" s="774"/>
      <c r="DC10" s="774"/>
      <c r="DD10" s="774"/>
      <c r="DE10" s="774"/>
      <c r="DF10" s="774"/>
      <c r="DG10" s="774"/>
      <c r="DH10" s="774"/>
      <c r="DI10" s="774"/>
      <c r="DJ10" s="774"/>
      <c r="DK10" s="774"/>
      <c r="DL10" s="774"/>
      <c r="DM10" s="774"/>
      <c r="DN10" s="774"/>
      <c r="DO10" s="774"/>
      <c r="DP10" s="774"/>
      <c r="DQ10" s="774"/>
      <c r="DR10" s="774"/>
      <c r="DS10" s="774" t="s">
        <v>567</v>
      </c>
      <c r="DT10" s="774">
        <f>DT5/DY5</f>
        <v>0.453592369999995</v>
      </c>
      <c r="DU10" s="774"/>
      <c r="DV10" s="774"/>
      <c r="DW10" s="774"/>
      <c r="DX10" s="774"/>
      <c r="DY10" s="774"/>
      <c r="DZ10" s="774"/>
      <c r="EA10" s="774"/>
      <c r="EB10" s="774"/>
      <c r="EC10" s="774"/>
      <c r="ED10" s="774"/>
      <c r="EE10" s="774"/>
      <c r="EF10" s="774"/>
      <c r="EG10" s="774"/>
      <c r="EH10" s="774"/>
      <c r="EI10" s="774"/>
      <c r="EJ10" s="774"/>
      <c r="EK10" s="774"/>
      <c r="EL10" s="774"/>
      <c r="EM10" s="774"/>
      <c r="EN10" s="774"/>
      <c r="EO10" s="774"/>
      <c r="EP10" s="774"/>
      <c r="EQ10" s="774"/>
      <c r="ER10" s="774" t="s">
        <v>586</v>
      </c>
      <c r="ES10" s="774">
        <f>ES5/EX5</f>
        <v>4184.1004</v>
      </c>
      <c r="ET10" s="774"/>
      <c r="EU10" s="774"/>
      <c r="EV10" s="774"/>
      <c r="EW10" s="774"/>
      <c r="EX10" s="774"/>
      <c r="EY10" s="774"/>
      <c r="EZ10" s="774"/>
      <c r="FA10" s="774"/>
      <c r="FB10" s="774"/>
      <c r="FC10" s="774"/>
      <c r="FD10" s="774"/>
      <c r="FE10" s="774"/>
      <c r="FF10" s="774" t="s">
        <v>596</v>
      </c>
      <c r="FG10" s="774">
        <f>FG5/FL5</f>
        <v>2684519.53919998</v>
      </c>
      <c r="FH10" s="774"/>
      <c r="FI10" s="774"/>
      <c r="FJ10" s="774"/>
      <c r="FK10" s="774"/>
      <c r="FL10" s="774"/>
      <c r="FM10" s="774"/>
      <c r="FN10" s="774"/>
      <c r="FO10" s="774"/>
      <c r="FP10" s="774"/>
      <c r="FQ10" s="774"/>
      <c r="FR10" s="774"/>
      <c r="FS10" s="774"/>
      <c r="FT10" s="787" t="s">
        <v>618</v>
      </c>
      <c r="FU10" s="774"/>
      <c r="FV10" s="774"/>
      <c r="FW10" s="774"/>
      <c r="FX10" s="774"/>
      <c r="FY10" s="774"/>
      <c r="FZ10" s="774"/>
      <c r="GA10" s="774"/>
      <c r="GB10" s="774"/>
      <c r="GC10" s="774"/>
      <c r="GD10" s="774"/>
      <c r="GE10" s="774"/>
      <c r="GF10" s="774"/>
      <c r="GG10" s="774"/>
      <c r="GH10" s="774"/>
      <c r="GI10" s="774"/>
      <c r="GJ10" s="774"/>
      <c r="GK10" s="774"/>
      <c r="GL10" s="774"/>
      <c r="GM10" s="774"/>
      <c r="GN10" s="774"/>
      <c r="GO10" s="774"/>
      <c r="GP10" s="774"/>
      <c r="GQ10" s="774"/>
    </row>
    <row r="11" ht="2.1" customHeight="1" spans="11:199">
      <c r="K11" s="774" t="s">
        <v>619</v>
      </c>
      <c r="L11" s="774" t="s">
        <v>507</v>
      </c>
      <c r="M11" s="778" t="s">
        <v>517</v>
      </c>
      <c r="N11" s="774" t="s">
        <v>620</v>
      </c>
      <c r="O11" s="774" t="s">
        <v>552</v>
      </c>
      <c r="P11" s="774" t="s">
        <v>568</v>
      </c>
      <c r="Q11" s="774" t="s">
        <v>587</v>
      </c>
      <c r="R11" s="774" t="s">
        <v>597</v>
      </c>
      <c r="S11" s="774" t="s">
        <v>619</v>
      </c>
      <c r="T11" s="779">
        <f>T5/Z5</f>
        <v>9.80665000000027</v>
      </c>
      <c r="U11" s="779"/>
      <c r="V11" s="779"/>
      <c r="W11" s="779"/>
      <c r="X11" s="779"/>
      <c r="Y11" s="779"/>
      <c r="Z11" s="779"/>
      <c r="AA11" s="779"/>
      <c r="AB11" s="779"/>
      <c r="AC11" s="779"/>
      <c r="AD11" s="779"/>
      <c r="AE11" s="779"/>
      <c r="AF11" s="774"/>
      <c r="AG11" s="774"/>
      <c r="AH11" s="774"/>
      <c r="AI11" s="774"/>
      <c r="AJ11" s="774"/>
      <c r="AK11" s="774"/>
      <c r="AL11" s="774" t="s">
        <v>507</v>
      </c>
      <c r="AM11" s="783">
        <f>AM5/AS5</f>
        <v>1.66666666666667e-5</v>
      </c>
      <c r="AN11" s="774"/>
      <c r="AO11" s="774"/>
      <c r="AP11" s="774"/>
      <c r="AQ11" s="774"/>
      <c r="AR11" s="774"/>
      <c r="AS11" s="774"/>
      <c r="AT11" s="774"/>
      <c r="AU11" s="774"/>
      <c r="AV11" s="774"/>
      <c r="AW11" s="774"/>
      <c r="AX11" s="774"/>
      <c r="AY11" s="774"/>
      <c r="AZ11" s="774"/>
      <c r="BA11" s="774"/>
      <c r="BB11" s="774"/>
      <c r="BC11" s="778" t="s">
        <v>517</v>
      </c>
      <c r="BD11" s="774">
        <f>BD5/BJ5</f>
        <v>1e-8</v>
      </c>
      <c r="BE11" s="774"/>
      <c r="BF11" s="774"/>
      <c r="BG11" s="774"/>
      <c r="BH11" s="774"/>
      <c r="BI11" s="774"/>
      <c r="BJ11" s="774"/>
      <c r="BK11" s="774"/>
      <c r="BL11" s="774"/>
      <c r="BM11" s="774"/>
      <c r="BN11" s="774"/>
      <c r="BO11" s="774"/>
      <c r="BP11" s="774"/>
      <c r="BQ11" s="774"/>
      <c r="BR11" s="774"/>
      <c r="BS11" s="774"/>
      <c r="BT11" s="774"/>
      <c r="BU11" s="774"/>
      <c r="BV11" s="774"/>
      <c r="BW11" s="774"/>
      <c r="BX11" s="774"/>
      <c r="BY11" s="774"/>
      <c r="BZ11" s="774"/>
      <c r="CA11" s="774"/>
      <c r="CB11" s="774"/>
      <c r="CC11" s="774" t="s">
        <v>620</v>
      </c>
      <c r="CD11" s="774">
        <f>$CD$5/CJ$5</f>
        <v>1e-12</v>
      </c>
      <c r="CE11" s="774"/>
      <c r="CF11" s="774"/>
      <c r="CG11" s="774"/>
      <c r="CH11" s="774"/>
      <c r="CI11" s="774"/>
      <c r="CJ11" s="774"/>
      <c r="CK11" s="774"/>
      <c r="CL11" s="774"/>
      <c r="CM11" s="774"/>
      <c r="CN11" s="774"/>
      <c r="CO11" s="774"/>
      <c r="CP11" s="774"/>
      <c r="CQ11" s="774"/>
      <c r="CR11" s="774"/>
      <c r="CS11" s="774"/>
      <c r="CT11" s="774"/>
      <c r="CU11" s="774"/>
      <c r="CV11" s="774"/>
      <c r="CW11" s="774"/>
      <c r="CX11" s="774"/>
      <c r="CY11" s="774" t="s">
        <v>552</v>
      </c>
      <c r="CZ11" s="774">
        <f>CZ5/DF5</f>
        <v>1e-5</v>
      </c>
      <c r="DA11" s="774"/>
      <c r="DB11" s="774"/>
      <c r="DC11" s="774"/>
      <c r="DD11" s="774"/>
      <c r="DE11" s="774"/>
      <c r="DF11" s="774"/>
      <c r="DG11" s="774"/>
      <c r="DH11" s="774"/>
      <c r="DI11" s="774"/>
      <c r="DJ11" s="774"/>
      <c r="DK11" s="774"/>
      <c r="DL11" s="774"/>
      <c r="DM11" s="774"/>
      <c r="DN11" s="774"/>
      <c r="DO11" s="774"/>
      <c r="DP11" s="774"/>
      <c r="DQ11" s="774"/>
      <c r="DR11" s="774"/>
      <c r="DS11" s="774" t="s">
        <v>568</v>
      </c>
      <c r="DT11" s="774">
        <f>DT5/DZ5</f>
        <v>0.0283495231250003</v>
      </c>
      <c r="DU11" s="774"/>
      <c r="DV11" s="774"/>
      <c r="DW11" s="774"/>
      <c r="DX11" s="774"/>
      <c r="DY11" s="774"/>
      <c r="DZ11" s="774"/>
      <c r="EA11" s="774"/>
      <c r="EB11" s="774"/>
      <c r="EC11" s="774"/>
      <c r="ED11" s="774"/>
      <c r="EE11" s="774"/>
      <c r="EF11" s="774"/>
      <c r="EG11" s="774"/>
      <c r="EH11" s="774"/>
      <c r="EI11" s="774"/>
      <c r="EJ11" s="774"/>
      <c r="EK11" s="774"/>
      <c r="EL11" s="774"/>
      <c r="EM11" s="774"/>
      <c r="EN11" s="774"/>
      <c r="EO11" s="774"/>
      <c r="EP11" s="774"/>
      <c r="EQ11" s="774"/>
      <c r="ER11" s="774" t="s">
        <v>587</v>
      </c>
      <c r="ES11" s="774">
        <f>ES5/EY5</f>
        <v>1055.05585</v>
      </c>
      <c r="ET11" s="774"/>
      <c r="EU11" s="774"/>
      <c r="EV11" s="774"/>
      <c r="EW11" s="774"/>
      <c r="EX11" s="774"/>
      <c r="EY11" s="774"/>
      <c r="EZ11" s="774"/>
      <c r="FA11" s="774"/>
      <c r="FB11" s="774"/>
      <c r="FC11" s="774"/>
      <c r="FD11" s="774"/>
      <c r="FE11" s="774"/>
      <c r="FF11" s="774" t="s">
        <v>597</v>
      </c>
      <c r="FG11" s="774">
        <f>FG5/FM5</f>
        <v>3599999.99999997</v>
      </c>
      <c r="FH11" s="774"/>
      <c r="FI11" s="774"/>
      <c r="FJ11" s="774"/>
      <c r="FK11" s="774"/>
      <c r="FL11" s="774"/>
      <c r="FM11" s="774"/>
      <c r="FN11" s="774"/>
      <c r="FO11" s="774"/>
      <c r="FP11" s="774"/>
      <c r="FQ11" s="774"/>
      <c r="FR11" s="774"/>
      <c r="FS11" s="774"/>
      <c r="FT11" s="774"/>
      <c r="FU11" s="774"/>
      <c r="FV11" s="774"/>
      <c r="FW11" s="774"/>
      <c r="FX11" s="774"/>
      <c r="FY11" s="774"/>
      <c r="FZ11" s="774"/>
      <c r="GA11" s="774"/>
      <c r="GB11" s="774"/>
      <c r="GC11" s="774"/>
      <c r="GD11" s="774"/>
      <c r="GE11" s="774"/>
      <c r="GF11" s="774"/>
      <c r="GG11" s="774"/>
      <c r="GH11" s="774"/>
      <c r="GI11" s="774"/>
      <c r="GJ11" s="774"/>
      <c r="GK11" s="774"/>
      <c r="GL11" s="774"/>
      <c r="GM11" s="774"/>
      <c r="GN11" s="774"/>
      <c r="GO11" s="774"/>
      <c r="GP11" s="774"/>
      <c r="GQ11" s="774"/>
    </row>
    <row r="12" ht="2.1" customHeight="1" spans="2:199">
      <c r="B12" s="758"/>
      <c r="K12" s="774" t="s">
        <v>496</v>
      </c>
      <c r="L12" s="774" t="s">
        <v>508</v>
      </c>
      <c r="M12" s="778" t="s">
        <v>518</v>
      </c>
      <c r="N12" s="774" t="s">
        <v>536</v>
      </c>
      <c r="O12" s="774" t="s">
        <v>553</v>
      </c>
      <c r="P12" s="774" t="s">
        <v>569</v>
      </c>
      <c r="Q12" s="774" t="s">
        <v>588</v>
      </c>
      <c r="R12" s="774" t="s">
        <v>598</v>
      </c>
      <c r="S12" s="774" t="s">
        <v>496</v>
      </c>
      <c r="T12" s="779">
        <f>101325</f>
        <v>101325</v>
      </c>
      <c r="U12" s="779"/>
      <c r="V12" s="779"/>
      <c r="W12" s="779"/>
      <c r="X12" s="779"/>
      <c r="Y12" s="779"/>
      <c r="Z12" s="779"/>
      <c r="AA12" s="779"/>
      <c r="AB12" s="779"/>
      <c r="AC12" s="779"/>
      <c r="AD12" s="779"/>
      <c r="AE12" s="779"/>
      <c r="AF12" s="774"/>
      <c r="AG12" s="774"/>
      <c r="AH12" s="774"/>
      <c r="AI12" s="774"/>
      <c r="AJ12" s="774"/>
      <c r="AK12" s="774"/>
      <c r="AL12" s="774" t="s">
        <v>508</v>
      </c>
      <c r="AM12" s="774">
        <f>AM5/AT5</f>
        <v>0.000471698113207547</v>
      </c>
      <c r="AN12" s="774"/>
      <c r="AO12" s="774"/>
      <c r="AP12" s="774"/>
      <c r="AQ12" s="774"/>
      <c r="AR12" s="774"/>
      <c r="AS12" s="774"/>
      <c r="AT12" s="774"/>
      <c r="AU12" s="774"/>
      <c r="AV12" s="774"/>
      <c r="AW12" s="774"/>
      <c r="AX12" s="774"/>
      <c r="AY12" s="774"/>
      <c r="AZ12" s="774"/>
      <c r="BA12" s="774"/>
      <c r="BB12" s="774"/>
      <c r="BC12" s="778" t="s">
        <v>518</v>
      </c>
      <c r="BD12" s="774">
        <f>BD5/BK5</f>
        <v>1e-9</v>
      </c>
      <c r="BE12" s="774"/>
      <c r="BF12" s="774"/>
      <c r="BG12" s="774"/>
      <c r="BH12" s="774"/>
      <c r="BI12" s="774"/>
      <c r="BJ12" s="774"/>
      <c r="BK12" s="774"/>
      <c r="BL12" s="774"/>
      <c r="BM12" s="774"/>
      <c r="BN12" s="774"/>
      <c r="BO12" s="774"/>
      <c r="BP12" s="774"/>
      <c r="BQ12" s="774"/>
      <c r="BR12" s="774"/>
      <c r="BS12" s="774"/>
      <c r="BT12" s="774"/>
      <c r="BU12" s="774"/>
      <c r="BV12" s="774"/>
      <c r="BW12" s="774"/>
      <c r="BX12" s="774"/>
      <c r="BY12" s="774"/>
      <c r="BZ12" s="774"/>
      <c r="CA12" s="774"/>
      <c r="CB12" s="774"/>
      <c r="CC12" s="774" t="s">
        <v>536</v>
      </c>
      <c r="CD12" s="774">
        <f>$CD$5/CK$5</f>
        <v>0.0666666666666667</v>
      </c>
      <c r="CE12" s="774"/>
      <c r="CF12" s="774"/>
      <c r="CG12" s="774"/>
      <c r="CH12" s="774"/>
      <c r="CI12" s="774"/>
      <c r="CJ12" s="774"/>
      <c r="CK12" s="774"/>
      <c r="CL12" s="774"/>
      <c r="CM12" s="774"/>
      <c r="CN12" s="774"/>
      <c r="CO12" s="774"/>
      <c r="CP12" s="774"/>
      <c r="CQ12" s="774"/>
      <c r="CR12" s="774"/>
      <c r="CS12" s="774"/>
      <c r="CT12" s="774"/>
      <c r="CU12" s="774"/>
      <c r="CV12" s="774"/>
      <c r="CW12" s="774"/>
      <c r="CX12" s="774"/>
      <c r="CY12" s="774" t="s">
        <v>553</v>
      </c>
      <c r="CZ12" s="774">
        <f>CZ5/DG5</f>
        <v>1e-6</v>
      </c>
      <c r="DA12" s="774"/>
      <c r="DB12" s="774"/>
      <c r="DC12" s="774"/>
      <c r="DD12" s="774"/>
      <c r="DE12" s="774"/>
      <c r="DF12" s="774"/>
      <c r="DG12" s="774"/>
      <c r="DH12" s="774"/>
      <c r="DI12" s="774"/>
      <c r="DJ12" s="774"/>
      <c r="DK12" s="774"/>
      <c r="DL12" s="774"/>
      <c r="DM12" s="774"/>
      <c r="DN12" s="774"/>
      <c r="DO12" s="774"/>
      <c r="DP12" s="774"/>
      <c r="DQ12" s="774"/>
      <c r="DR12" s="774"/>
      <c r="DS12" s="774" t="s">
        <v>569</v>
      </c>
      <c r="DT12" s="774">
        <f>DT5/EA5</f>
        <v>0.0002</v>
      </c>
      <c r="DU12" s="774"/>
      <c r="DV12" s="774"/>
      <c r="DW12" s="774"/>
      <c r="DX12" s="774"/>
      <c r="DY12" s="774"/>
      <c r="DZ12" s="774"/>
      <c r="EA12" s="774"/>
      <c r="EB12" s="774"/>
      <c r="EC12" s="774"/>
      <c r="ED12" s="774"/>
      <c r="EE12" s="774"/>
      <c r="EF12" s="774"/>
      <c r="EG12" s="774"/>
      <c r="EH12" s="774"/>
      <c r="EI12" s="774"/>
      <c r="EJ12" s="774"/>
      <c r="EK12" s="774"/>
      <c r="EL12" s="774"/>
      <c r="EM12" s="774"/>
      <c r="EN12" s="774"/>
      <c r="EO12" s="774"/>
      <c r="EP12" s="774"/>
      <c r="EQ12" s="774"/>
      <c r="ER12" s="774" t="s">
        <v>588</v>
      </c>
      <c r="ES12" s="774">
        <f>ES5/EZ5</f>
        <v>1.35581794909092</v>
      </c>
      <c r="ET12" s="774"/>
      <c r="EU12" s="774"/>
      <c r="EV12" s="774"/>
      <c r="EW12" s="774"/>
      <c r="EX12" s="774"/>
      <c r="EY12" s="774"/>
      <c r="EZ12" s="774"/>
      <c r="FA12" s="774"/>
      <c r="FB12" s="774"/>
      <c r="FC12" s="774"/>
      <c r="FD12" s="774"/>
      <c r="FE12" s="774"/>
      <c r="FF12" s="774" t="s">
        <v>598</v>
      </c>
      <c r="FG12" s="774">
        <f>FG5/FN5</f>
        <v>1055.05585262</v>
      </c>
      <c r="FH12" s="774"/>
      <c r="FI12" s="774"/>
      <c r="FJ12" s="774"/>
      <c r="FK12" s="774"/>
      <c r="FL12" s="774"/>
      <c r="FM12" s="774"/>
      <c r="FN12" s="774"/>
      <c r="FO12" s="774"/>
      <c r="FP12" s="774"/>
      <c r="FQ12" s="774"/>
      <c r="FR12" s="774"/>
      <c r="FS12" s="774"/>
      <c r="FT12" s="791" t="s">
        <v>621</v>
      </c>
      <c r="FU12" s="774"/>
      <c r="FV12" s="774"/>
      <c r="FW12" s="774"/>
      <c r="FX12" s="774"/>
      <c r="FY12" s="774"/>
      <c r="FZ12" s="774"/>
      <c r="GA12" s="774"/>
      <c r="GB12" s="774"/>
      <c r="GC12" s="774"/>
      <c r="GD12" s="774"/>
      <c r="GE12" s="774"/>
      <c r="GF12" s="774"/>
      <c r="GG12" s="774"/>
      <c r="GH12" s="774"/>
      <c r="GI12" s="774"/>
      <c r="GJ12" s="774"/>
      <c r="GK12" s="774"/>
      <c r="GL12" s="774"/>
      <c r="GM12" s="774"/>
      <c r="GN12" s="774"/>
      <c r="GO12" s="774"/>
      <c r="GP12" s="774"/>
      <c r="GQ12" s="774"/>
    </row>
    <row r="13" ht="2.1" customHeight="1" spans="11:199">
      <c r="K13" s="774" t="s">
        <v>622</v>
      </c>
      <c r="L13" s="774" t="s">
        <v>509</v>
      </c>
      <c r="M13" s="778" t="s">
        <v>519</v>
      </c>
      <c r="N13" s="774" t="s">
        <v>537</v>
      </c>
      <c r="O13" s="774" t="s">
        <v>554</v>
      </c>
      <c r="P13" s="774" t="s">
        <v>570</v>
      </c>
      <c r="Q13" s="774" t="s">
        <v>589</v>
      </c>
      <c r="R13" s="774" t="s">
        <v>599</v>
      </c>
      <c r="S13" s="774" t="s">
        <v>622</v>
      </c>
      <c r="T13" s="779">
        <f>T5/AB5</f>
        <v>980.613275542524</v>
      </c>
      <c r="U13" s="779"/>
      <c r="V13" s="779"/>
      <c r="W13" s="779"/>
      <c r="X13" s="779"/>
      <c r="Y13" s="779"/>
      <c r="Z13" s="779"/>
      <c r="AA13" s="779"/>
      <c r="AB13" s="779"/>
      <c r="AC13" s="779"/>
      <c r="AD13" s="779"/>
      <c r="AE13" s="779"/>
      <c r="AF13" s="774"/>
      <c r="AG13" s="774"/>
      <c r="AH13" s="774"/>
      <c r="AI13" s="774"/>
      <c r="AJ13" s="774"/>
      <c r="AK13" s="774"/>
      <c r="AL13" s="774" t="s">
        <v>509</v>
      </c>
      <c r="AM13" s="774">
        <f>75.79*0.000001</f>
        <v>7.579e-5</v>
      </c>
      <c r="AN13" s="774"/>
      <c r="AO13" s="774"/>
      <c r="AP13" s="774"/>
      <c r="AQ13" s="774"/>
      <c r="AR13" s="774"/>
      <c r="AS13" s="774"/>
      <c r="AT13" s="774"/>
      <c r="AU13" s="774"/>
      <c r="AV13" s="774"/>
      <c r="AW13" s="774"/>
      <c r="AX13" s="774"/>
      <c r="AY13" s="774"/>
      <c r="AZ13" s="774"/>
      <c r="BA13" s="774"/>
      <c r="BB13" s="774"/>
      <c r="BC13" s="778" t="s">
        <v>519</v>
      </c>
      <c r="BD13" s="774">
        <f>BD5/BL5</f>
        <v>1e-12</v>
      </c>
      <c r="BE13" s="774"/>
      <c r="BF13" s="774"/>
      <c r="BG13" s="774"/>
      <c r="BH13" s="774"/>
      <c r="BI13" s="774"/>
      <c r="BJ13" s="774"/>
      <c r="BK13" s="774"/>
      <c r="BL13" s="774"/>
      <c r="BM13" s="774"/>
      <c r="BN13" s="774"/>
      <c r="BO13" s="774"/>
      <c r="BP13" s="774"/>
      <c r="BQ13" s="774"/>
      <c r="BR13" s="774"/>
      <c r="BS13" s="774"/>
      <c r="BT13" s="774"/>
      <c r="BU13" s="774"/>
      <c r="BV13" s="774"/>
      <c r="BW13" s="774"/>
      <c r="BX13" s="774"/>
      <c r="BY13" s="774"/>
      <c r="BZ13" s="774"/>
      <c r="CA13" s="774"/>
      <c r="CB13" s="774"/>
      <c r="CC13" s="774" t="s">
        <v>537</v>
      </c>
      <c r="CD13" s="774">
        <f>$CD$5/CL$5</f>
        <v>0.000666666666666667</v>
      </c>
      <c r="CE13" s="774"/>
      <c r="CF13" s="774"/>
      <c r="CG13" s="774"/>
      <c r="CH13" s="774"/>
      <c r="CI13" s="774"/>
      <c r="CJ13" s="774"/>
      <c r="CK13" s="774"/>
      <c r="CL13" s="774"/>
      <c r="CM13" s="774"/>
      <c r="CN13" s="774"/>
      <c r="CO13" s="774"/>
      <c r="CP13" s="774"/>
      <c r="CQ13" s="774"/>
      <c r="CR13" s="774"/>
      <c r="CS13" s="774"/>
      <c r="CT13" s="774"/>
      <c r="CU13" s="774"/>
      <c r="CV13" s="774"/>
      <c r="CW13" s="774"/>
      <c r="CX13" s="774"/>
      <c r="CY13" s="774" t="s">
        <v>554</v>
      </c>
      <c r="CZ13" s="774">
        <f>CZ5/DH5</f>
        <v>0.1</v>
      </c>
      <c r="DA13" s="774"/>
      <c r="DB13" s="774"/>
      <c r="DC13" s="774"/>
      <c r="DD13" s="774"/>
      <c r="DE13" s="774"/>
      <c r="DF13" s="774"/>
      <c r="DG13" s="774"/>
      <c r="DH13" s="774"/>
      <c r="DI13" s="774"/>
      <c r="DJ13" s="774"/>
      <c r="DK13" s="774"/>
      <c r="DL13" s="774"/>
      <c r="DM13" s="774"/>
      <c r="DN13" s="774"/>
      <c r="DO13" s="774"/>
      <c r="DP13" s="774"/>
      <c r="DQ13" s="774"/>
      <c r="DR13" s="774"/>
      <c r="DS13" s="774" t="s">
        <v>570</v>
      </c>
      <c r="DT13" s="774">
        <f>DT5/EB5</f>
        <v>6.47989100000018e-5</v>
      </c>
      <c r="DU13" s="774"/>
      <c r="DV13" s="774"/>
      <c r="DW13" s="774"/>
      <c r="DX13" s="774"/>
      <c r="DY13" s="774"/>
      <c r="DZ13" s="774"/>
      <c r="EA13" s="774"/>
      <c r="EB13" s="774"/>
      <c r="EC13" s="774"/>
      <c r="ED13" s="774"/>
      <c r="EE13" s="774"/>
      <c r="EF13" s="774"/>
      <c r="EG13" s="774"/>
      <c r="EH13" s="774"/>
      <c r="EI13" s="774"/>
      <c r="EJ13" s="774"/>
      <c r="EK13" s="774"/>
      <c r="EL13" s="774"/>
      <c r="EM13" s="774"/>
      <c r="EN13" s="774"/>
      <c r="EO13" s="774"/>
      <c r="EP13" s="774"/>
      <c r="EQ13" s="774"/>
      <c r="ER13" s="774" t="s">
        <v>589</v>
      </c>
      <c r="ES13" s="774">
        <f>ES5/FA5</f>
        <v>1</v>
      </c>
      <c r="ET13" s="774"/>
      <c r="EU13" s="774"/>
      <c r="EV13" s="774"/>
      <c r="EW13" s="774"/>
      <c r="EX13" s="774"/>
      <c r="EY13" s="774"/>
      <c r="EZ13" s="774"/>
      <c r="FA13" s="774"/>
      <c r="FB13" s="774"/>
      <c r="FC13" s="774"/>
      <c r="FD13" s="774"/>
      <c r="FE13" s="774"/>
      <c r="FF13" s="774" t="s">
        <v>599</v>
      </c>
      <c r="FG13" s="774">
        <f>FG5/FO5</f>
        <v>1.3557483731</v>
      </c>
      <c r="FH13" s="774"/>
      <c r="FI13" s="774"/>
      <c r="FJ13" s="774"/>
      <c r="FK13" s="774"/>
      <c r="FL13" s="774"/>
      <c r="FM13" s="774"/>
      <c r="FN13" s="774"/>
      <c r="FO13" s="774"/>
      <c r="FP13" s="774"/>
      <c r="FQ13" s="774"/>
      <c r="FR13" s="774"/>
      <c r="FS13" s="774"/>
      <c r="FT13" s="787" t="s">
        <v>623</v>
      </c>
      <c r="FU13" s="774"/>
      <c r="FV13" s="774"/>
      <c r="FW13" s="774"/>
      <c r="FX13" s="774"/>
      <c r="FY13" s="774"/>
      <c r="FZ13" s="774"/>
      <c r="GA13" s="774"/>
      <c r="GB13" s="774"/>
      <c r="GC13" s="774"/>
      <c r="GD13" s="774"/>
      <c r="GE13" s="774"/>
      <c r="GF13" s="774"/>
      <c r="GG13" s="774"/>
      <c r="GH13" s="774"/>
      <c r="GI13" s="774"/>
      <c r="GJ13" s="774"/>
      <c r="GK13" s="774"/>
      <c r="GL13" s="774"/>
      <c r="GM13" s="774"/>
      <c r="GN13" s="774"/>
      <c r="GO13" s="774"/>
      <c r="GP13" s="774"/>
      <c r="GQ13" s="774"/>
    </row>
    <row r="14" customHeight="1" spans="2:199">
      <c r="B14" s="758" t="s">
        <v>483</v>
      </c>
      <c r="C14" s="765">
        <v>1</v>
      </c>
      <c r="D14" s="766" t="s">
        <v>512</v>
      </c>
      <c r="E14" s="772">
        <f>C14*G14*H14</f>
        <v>1.0936</v>
      </c>
      <c r="F14" s="766" t="s">
        <v>524</v>
      </c>
      <c r="G14" s="768">
        <f>SUMIF(BC5:BC22,D14,BD5:BD22)</f>
        <v>0.001</v>
      </c>
      <c r="H14" s="769">
        <f>SUMIF(BD4:BU4,F14,BD5:BU5)</f>
        <v>1093.6</v>
      </c>
      <c r="K14" s="774" t="s">
        <v>498</v>
      </c>
      <c r="L14" s="774" t="s">
        <v>510</v>
      </c>
      <c r="M14" s="778" t="s">
        <v>520</v>
      </c>
      <c r="N14" s="774" t="s">
        <v>538</v>
      </c>
      <c r="O14" s="774" t="s">
        <v>555</v>
      </c>
      <c r="P14" s="774" t="s">
        <v>571</v>
      </c>
      <c r="Q14" s="774" t="s">
        <v>590</v>
      </c>
      <c r="R14" s="774"/>
      <c r="S14" s="774" t="s">
        <v>498</v>
      </c>
      <c r="T14" s="779">
        <f>T5/AC5</f>
        <v>9.80680592331078</v>
      </c>
      <c r="U14" s="779"/>
      <c r="V14" s="779"/>
      <c r="W14" s="779"/>
      <c r="X14" s="779"/>
      <c r="Y14" s="779"/>
      <c r="Z14" s="779"/>
      <c r="AA14" s="779"/>
      <c r="AB14" s="779"/>
      <c r="AC14" s="779"/>
      <c r="AD14" s="779"/>
      <c r="AE14" s="779"/>
      <c r="AF14" s="774"/>
      <c r="AG14" s="774"/>
      <c r="AH14" s="774"/>
      <c r="AI14" s="774"/>
      <c r="AJ14" s="774"/>
      <c r="AK14" s="774"/>
      <c r="AL14" s="774" t="s">
        <v>510</v>
      </c>
      <c r="AM14" s="774">
        <f>AM5/AV5</f>
        <v>6.30914826498423e-5</v>
      </c>
      <c r="AN14" s="774"/>
      <c r="AO14" s="774"/>
      <c r="AP14" s="774"/>
      <c r="AQ14" s="774"/>
      <c r="AR14" s="774"/>
      <c r="AS14" s="774"/>
      <c r="AT14" s="774"/>
      <c r="AU14" s="774"/>
      <c r="AV14" s="774"/>
      <c r="AW14" s="774"/>
      <c r="AX14" s="774"/>
      <c r="AY14" s="774"/>
      <c r="AZ14" s="774"/>
      <c r="BA14" s="774"/>
      <c r="BB14" s="774"/>
      <c r="BC14" s="778" t="s">
        <v>520</v>
      </c>
      <c r="BD14" s="774">
        <f>BD5/BM5</f>
        <v>1e-15</v>
      </c>
      <c r="BE14" s="774"/>
      <c r="BF14" s="774"/>
      <c r="BG14" s="774"/>
      <c r="BH14" s="774"/>
      <c r="BI14" s="774"/>
      <c r="BJ14" s="774"/>
      <c r="BK14" s="774"/>
      <c r="BL14" s="774"/>
      <c r="BM14" s="774"/>
      <c r="BN14" s="774"/>
      <c r="BO14" s="774"/>
      <c r="BP14" s="774"/>
      <c r="BQ14" s="774"/>
      <c r="BR14" s="774"/>
      <c r="BS14" s="774"/>
      <c r="BT14" s="774"/>
      <c r="BU14" s="774"/>
      <c r="BV14" s="774"/>
      <c r="BW14" s="774"/>
      <c r="BX14" s="774"/>
      <c r="BY14" s="774"/>
      <c r="BZ14" s="774"/>
      <c r="CA14" s="774"/>
      <c r="CB14" s="774"/>
      <c r="CC14" s="774" t="s">
        <v>538</v>
      </c>
      <c r="CD14" s="774">
        <f>$CD$5/CM$5</f>
        <v>1.11111111111111e-7</v>
      </c>
      <c r="CE14" s="774"/>
      <c r="CF14" s="774"/>
      <c r="CG14" s="774"/>
      <c r="CH14" s="774"/>
      <c r="CI14" s="774"/>
      <c r="CJ14" s="774"/>
      <c r="CK14" s="774"/>
      <c r="CL14" s="774"/>
      <c r="CM14" s="774"/>
      <c r="CN14" s="774"/>
      <c r="CO14" s="774"/>
      <c r="CP14" s="774"/>
      <c r="CQ14" s="774"/>
      <c r="CR14" s="774"/>
      <c r="CS14" s="774"/>
      <c r="CT14" s="774"/>
      <c r="CU14" s="774"/>
      <c r="CV14" s="774"/>
      <c r="CW14" s="774"/>
      <c r="CX14" s="774"/>
      <c r="CY14" s="774" t="s">
        <v>555</v>
      </c>
      <c r="CZ14" s="774">
        <f>CZ5/DI5</f>
        <v>0.0283168000000001</v>
      </c>
      <c r="DA14" s="774"/>
      <c r="DB14" s="774"/>
      <c r="DC14" s="774"/>
      <c r="DD14" s="774"/>
      <c r="DE14" s="774"/>
      <c r="DF14" s="774"/>
      <c r="DG14" s="774"/>
      <c r="DH14" s="774"/>
      <c r="DI14" s="774"/>
      <c r="DJ14" s="774"/>
      <c r="DK14" s="774"/>
      <c r="DL14" s="774"/>
      <c r="DM14" s="774"/>
      <c r="DN14" s="774"/>
      <c r="DO14" s="774"/>
      <c r="DP14" s="774"/>
      <c r="DQ14" s="774"/>
      <c r="DR14" s="774"/>
      <c r="DS14" s="774" t="s">
        <v>571</v>
      </c>
      <c r="DT14" s="774">
        <f>DT5/EC5</f>
        <v>1016.0469088</v>
      </c>
      <c r="DU14" s="774"/>
      <c r="DV14" s="774"/>
      <c r="DW14" s="774"/>
      <c r="DX14" s="774"/>
      <c r="DY14" s="774"/>
      <c r="DZ14" s="774"/>
      <c r="EA14" s="774"/>
      <c r="EB14" s="774"/>
      <c r="EC14" s="774"/>
      <c r="ED14" s="774"/>
      <c r="EE14" s="774"/>
      <c r="EF14" s="774"/>
      <c r="EG14" s="774"/>
      <c r="EH14" s="774"/>
      <c r="EI14" s="774"/>
      <c r="EJ14" s="774"/>
      <c r="EK14" s="774"/>
      <c r="EL14" s="774"/>
      <c r="EM14" s="774"/>
      <c r="EN14" s="774"/>
      <c r="EO14" s="774"/>
      <c r="EP14" s="774"/>
      <c r="EQ14" s="774"/>
      <c r="ER14" s="774" t="s">
        <v>590</v>
      </c>
      <c r="ES14" s="774">
        <f>ES5/FB5</f>
        <v>1</v>
      </c>
      <c r="ET14" s="774"/>
      <c r="EU14" s="774"/>
      <c r="EV14" s="774"/>
      <c r="EW14" s="774"/>
      <c r="EX14" s="774"/>
      <c r="EY14" s="774"/>
      <c r="EZ14" s="774"/>
      <c r="FA14" s="774"/>
      <c r="FB14" s="774"/>
      <c r="FC14" s="774"/>
      <c r="FD14" s="774"/>
      <c r="FE14" s="774"/>
      <c r="FF14" s="774"/>
      <c r="FG14" s="774"/>
      <c r="FH14" s="774"/>
      <c r="FI14" s="774"/>
      <c r="FJ14" s="774"/>
      <c r="FK14" s="774"/>
      <c r="FL14" s="774"/>
      <c r="FM14" s="774"/>
      <c r="FN14" s="774"/>
      <c r="FO14" s="774"/>
      <c r="FP14" s="774"/>
      <c r="FQ14" s="774"/>
      <c r="FR14" s="774"/>
      <c r="FS14" s="774"/>
      <c r="FT14" s="774"/>
      <c r="FU14" s="774"/>
      <c r="FV14" s="774"/>
      <c r="FW14" s="774"/>
      <c r="FX14" s="774"/>
      <c r="FY14" s="774"/>
      <c r="FZ14" s="774"/>
      <c r="GA14" s="774"/>
      <c r="GB14" s="774"/>
      <c r="GC14" s="774"/>
      <c r="GD14" s="774"/>
      <c r="GE14" s="774"/>
      <c r="GF14" s="787" t="s">
        <v>624</v>
      </c>
      <c r="GG14" s="774"/>
      <c r="GH14" s="774"/>
      <c r="GI14" s="774"/>
      <c r="GJ14" s="774"/>
      <c r="GK14" s="774"/>
      <c r="GL14" s="774"/>
      <c r="GM14" s="774"/>
      <c r="GN14" s="774"/>
      <c r="GO14" s="774"/>
      <c r="GP14" s="774"/>
      <c r="GQ14" s="774"/>
    </row>
    <row r="15" ht="2.1" customHeight="1" spans="11:199">
      <c r="K15" s="774" t="s">
        <v>499</v>
      </c>
      <c r="L15" s="774"/>
      <c r="M15" s="778" t="s">
        <v>521</v>
      </c>
      <c r="N15" s="774" t="s">
        <v>539</v>
      </c>
      <c r="O15" s="774" t="s">
        <v>556</v>
      </c>
      <c r="P15" s="774" t="s">
        <v>572</v>
      </c>
      <c r="Q15" s="774"/>
      <c r="R15" s="774"/>
      <c r="S15" s="774" t="s">
        <v>499</v>
      </c>
      <c r="T15" s="779">
        <f>T5/AD5</f>
        <v>133.333333333333</v>
      </c>
      <c r="U15" s="779"/>
      <c r="V15" s="779"/>
      <c r="W15" s="779"/>
      <c r="X15" s="779"/>
      <c r="Y15" s="779"/>
      <c r="Z15" s="779"/>
      <c r="AA15" s="779"/>
      <c r="AB15" s="779"/>
      <c r="AC15" s="779"/>
      <c r="AD15" s="779"/>
      <c r="AE15" s="779"/>
      <c r="AF15" s="774"/>
      <c r="AG15" s="774"/>
      <c r="AH15" s="774"/>
      <c r="AI15" s="774"/>
      <c r="AJ15" s="774"/>
      <c r="AK15" s="774"/>
      <c r="AL15" s="774"/>
      <c r="AM15" s="774"/>
      <c r="AN15" s="774"/>
      <c r="AO15" s="774"/>
      <c r="AP15" s="774"/>
      <c r="AQ15" s="774"/>
      <c r="AR15" s="774"/>
      <c r="AS15" s="774"/>
      <c r="AT15" s="774"/>
      <c r="AU15" s="774"/>
      <c r="AV15" s="774"/>
      <c r="AW15" s="774"/>
      <c r="AX15" s="774"/>
      <c r="AY15" s="774"/>
      <c r="AZ15" s="774"/>
      <c r="BA15" s="774"/>
      <c r="BB15" s="774"/>
      <c r="BC15" s="778" t="s">
        <v>521</v>
      </c>
      <c r="BD15" s="774">
        <f>BD5/BN5</f>
        <v>0.000333333333333333</v>
      </c>
      <c r="BE15" s="774"/>
      <c r="BF15" s="774"/>
      <c r="BG15" s="774"/>
      <c r="BH15" s="774"/>
      <c r="BI15" s="774"/>
      <c r="BJ15" s="774"/>
      <c r="BK15" s="774"/>
      <c r="BL15" s="774"/>
      <c r="BM15" s="774"/>
      <c r="BN15" s="774"/>
      <c r="BO15" s="774"/>
      <c r="BP15" s="774"/>
      <c r="BQ15" s="774"/>
      <c r="BR15" s="774"/>
      <c r="BS15" s="774"/>
      <c r="BT15" s="774"/>
      <c r="BU15" s="774"/>
      <c r="BV15" s="774"/>
      <c r="BW15" s="774"/>
      <c r="BX15" s="774"/>
      <c r="BY15" s="774"/>
      <c r="BZ15" s="774"/>
      <c r="CA15" s="774"/>
      <c r="CB15" s="774"/>
      <c r="CC15" s="774" t="s">
        <v>539</v>
      </c>
      <c r="CD15" s="774">
        <f>$CD$5/CN$5</f>
        <v>1.11111111111111e-9</v>
      </c>
      <c r="CE15" s="774"/>
      <c r="CF15" s="774"/>
      <c r="CG15" s="774"/>
      <c r="CH15" s="774"/>
      <c r="CI15" s="774"/>
      <c r="CJ15" s="774"/>
      <c r="CK15" s="774"/>
      <c r="CL15" s="774"/>
      <c r="CM15" s="774"/>
      <c r="CN15" s="774"/>
      <c r="CO15" s="774"/>
      <c r="CP15" s="774"/>
      <c r="CQ15" s="774"/>
      <c r="CR15" s="774"/>
      <c r="CS15" s="774"/>
      <c r="CT15" s="774"/>
      <c r="CU15" s="774"/>
      <c r="CV15" s="774"/>
      <c r="CW15" s="774"/>
      <c r="CX15" s="774"/>
      <c r="CY15" s="774" t="s">
        <v>556</v>
      </c>
      <c r="CZ15" s="774">
        <f>CZ5/DJ5</f>
        <v>1.63870370370369e-5</v>
      </c>
      <c r="DA15" s="774"/>
      <c r="DB15" s="774"/>
      <c r="DC15" s="774"/>
      <c r="DD15" s="774"/>
      <c r="DE15" s="774"/>
      <c r="DF15" s="774"/>
      <c r="DG15" s="774"/>
      <c r="DH15" s="774"/>
      <c r="DI15" s="774"/>
      <c r="DJ15" s="774"/>
      <c r="DK15" s="774"/>
      <c r="DL15" s="774"/>
      <c r="DM15" s="774"/>
      <c r="DN15" s="774"/>
      <c r="DO15" s="774"/>
      <c r="DP15" s="774"/>
      <c r="DQ15" s="774"/>
      <c r="DR15" s="774"/>
      <c r="DS15" s="774" t="s">
        <v>572</v>
      </c>
      <c r="DT15" s="774">
        <f>DT5/ED5</f>
        <v>907.18473999999</v>
      </c>
      <c r="DU15" s="774"/>
      <c r="DV15" s="774"/>
      <c r="DW15" s="774"/>
      <c r="DX15" s="774"/>
      <c r="DY15" s="774"/>
      <c r="DZ15" s="774"/>
      <c r="EA15" s="774"/>
      <c r="EB15" s="774"/>
      <c r="EC15" s="774"/>
      <c r="ED15" s="774"/>
      <c r="EE15" s="774"/>
      <c r="EF15" s="774"/>
      <c r="EG15" s="774"/>
      <c r="EH15" s="774"/>
      <c r="EI15" s="774"/>
      <c r="EJ15" s="774"/>
      <c r="EK15" s="774"/>
      <c r="EL15" s="774"/>
      <c r="EM15" s="774"/>
      <c r="EN15" s="774"/>
      <c r="EO15" s="774"/>
      <c r="EP15" s="774"/>
      <c r="EQ15" s="774"/>
      <c r="ER15" s="774"/>
      <c r="ES15" s="774"/>
      <c r="ET15" s="774"/>
      <c r="EU15" s="774"/>
      <c r="EV15" s="774"/>
      <c r="EW15" s="774"/>
      <c r="EX15" s="774"/>
      <c r="EY15" s="774"/>
      <c r="EZ15" s="774"/>
      <c r="FA15" s="774"/>
      <c r="FB15" s="774"/>
      <c r="FC15" s="774"/>
      <c r="FD15" s="774"/>
      <c r="FE15" s="774"/>
      <c r="FF15" s="774"/>
      <c r="FG15" s="774"/>
      <c r="FH15" s="774"/>
      <c r="FI15" s="774"/>
      <c r="FJ15" s="774"/>
      <c r="FK15" s="774"/>
      <c r="FL15" s="774"/>
      <c r="FM15" s="774"/>
      <c r="FN15" s="774"/>
      <c r="FO15" s="774"/>
      <c r="FP15" s="774"/>
      <c r="FQ15" s="774"/>
      <c r="FR15" s="774"/>
      <c r="FS15" s="774"/>
      <c r="FT15" s="774"/>
      <c r="FU15" s="774"/>
      <c r="FV15" s="774"/>
      <c r="FW15" s="774"/>
      <c r="FX15" s="774"/>
      <c r="FY15" s="774"/>
      <c r="FZ15" s="774"/>
      <c r="GA15" s="774"/>
      <c r="GB15" s="774"/>
      <c r="GC15" s="774"/>
      <c r="GD15" s="774"/>
      <c r="GE15" s="774"/>
      <c r="GF15" s="787" t="s">
        <v>625</v>
      </c>
      <c r="GG15" s="774"/>
      <c r="GH15" s="774"/>
      <c r="GI15" s="774"/>
      <c r="GJ15" s="774"/>
      <c r="GK15" s="774"/>
      <c r="GL15" s="774"/>
      <c r="GM15" s="774"/>
      <c r="GN15" s="774"/>
      <c r="GO15" s="774"/>
      <c r="GP15" s="774"/>
      <c r="GQ15" s="774"/>
    </row>
    <row r="16" ht="2.1" customHeight="1" spans="2:199">
      <c r="B16" s="758"/>
      <c r="K16" s="774" t="s">
        <v>500</v>
      </c>
      <c r="L16" s="774"/>
      <c r="M16" s="778" t="s">
        <v>522</v>
      </c>
      <c r="N16" s="774" t="s">
        <v>540</v>
      </c>
      <c r="O16" s="774" t="s">
        <v>557</v>
      </c>
      <c r="P16" s="774" t="s">
        <v>573</v>
      </c>
      <c r="Q16" s="774"/>
      <c r="R16" s="774"/>
      <c r="S16" s="774" t="s">
        <v>500</v>
      </c>
      <c r="T16" s="779">
        <f>T5/AE5</f>
        <v>6894.74482549401</v>
      </c>
      <c r="U16" s="779"/>
      <c r="V16" s="779"/>
      <c r="W16" s="779"/>
      <c r="X16" s="779"/>
      <c r="Y16" s="779"/>
      <c r="Z16" s="779"/>
      <c r="AA16" s="779"/>
      <c r="AB16" s="779"/>
      <c r="AC16" s="779"/>
      <c r="AD16" s="779"/>
      <c r="AE16" s="779"/>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c r="BC16" s="778" t="s">
        <v>522</v>
      </c>
      <c r="BD16" s="774">
        <f>BD5/BO5</f>
        <v>0.00333333333333333</v>
      </c>
      <c r="BE16" s="774"/>
      <c r="BF16" s="774"/>
      <c r="BG16" s="774"/>
      <c r="BH16" s="774"/>
      <c r="BI16" s="774"/>
      <c r="BJ16" s="774"/>
      <c r="BK16" s="774"/>
      <c r="BL16" s="774"/>
      <c r="BM16" s="774"/>
      <c r="BN16" s="774"/>
      <c r="BO16" s="774"/>
      <c r="BP16" s="774"/>
      <c r="BQ16" s="774"/>
      <c r="BR16" s="774"/>
      <c r="BS16" s="774"/>
      <c r="BT16" s="774"/>
      <c r="BU16" s="774"/>
      <c r="BV16" s="774"/>
      <c r="BW16" s="774"/>
      <c r="BX16" s="774"/>
      <c r="BY16" s="774"/>
      <c r="BZ16" s="774"/>
      <c r="CA16" s="774"/>
      <c r="CB16" s="774"/>
      <c r="CC16" s="774" t="s">
        <v>540</v>
      </c>
      <c r="CD16" s="774">
        <f>$CD$5/CO$5</f>
        <v>0.00404685642239992</v>
      </c>
      <c r="CE16" s="774"/>
      <c r="CF16" s="774"/>
      <c r="CG16" s="774"/>
      <c r="CH16" s="774"/>
      <c r="CI16" s="774"/>
      <c r="CJ16" s="774"/>
      <c r="CK16" s="774"/>
      <c r="CL16" s="774"/>
      <c r="CM16" s="774"/>
      <c r="CN16" s="774"/>
      <c r="CO16" s="774"/>
      <c r="CP16" s="774"/>
      <c r="CQ16" s="774"/>
      <c r="CR16" s="774"/>
      <c r="CS16" s="774"/>
      <c r="CT16" s="774"/>
      <c r="CU16" s="774"/>
      <c r="CV16" s="774"/>
      <c r="CW16" s="774"/>
      <c r="CX16" s="774"/>
      <c r="CY16" s="774" t="s">
        <v>557</v>
      </c>
      <c r="CZ16" s="774">
        <f>CZ5/DK5</f>
        <v>0.764553599999981</v>
      </c>
      <c r="DA16" s="774"/>
      <c r="DB16" s="774"/>
      <c r="DC16" s="774"/>
      <c r="DD16" s="774"/>
      <c r="DE16" s="774"/>
      <c r="DF16" s="774"/>
      <c r="DG16" s="774"/>
      <c r="DH16" s="774"/>
      <c r="DI16" s="774"/>
      <c r="DJ16" s="774"/>
      <c r="DK16" s="774"/>
      <c r="DL16" s="774"/>
      <c r="DM16" s="774"/>
      <c r="DN16" s="774"/>
      <c r="DO16" s="774"/>
      <c r="DP16" s="774"/>
      <c r="DQ16" s="774"/>
      <c r="DR16" s="774"/>
      <c r="DS16" s="774" t="s">
        <v>573</v>
      </c>
      <c r="DT16" s="774">
        <f>DT5/EE5</f>
        <v>50.8023454400006</v>
      </c>
      <c r="DU16" s="774"/>
      <c r="DV16" s="774"/>
      <c r="DW16" s="774"/>
      <c r="DX16" s="774"/>
      <c r="DY16" s="774"/>
      <c r="DZ16" s="774"/>
      <c r="EA16" s="774"/>
      <c r="EB16" s="774"/>
      <c r="EC16" s="774"/>
      <c r="ED16" s="774"/>
      <c r="EE16" s="774"/>
      <c r="EF16" s="774"/>
      <c r="EG16" s="774"/>
      <c r="EH16" s="774"/>
      <c r="EI16" s="774"/>
      <c r="EJ16" s="774"/>
      <c r="EK16" s="774"/>
      <c r="EL16" s="774"/>
      <c r="EM16" s="774"/>
      <c r="EN16" s="774"/>
      <c r="EO16" s="774"/>
      <c r="EP16" s="774"/>
      <c r="EQ16" s="774"/>
      <c r="ER16" s="774"/>
      <c r="ES16" s="774"/>
      <c r="ET16" s="774"/>
      <c r="EU16" s="774"/>
      <c r="EV16" s="774"/>
      <c r="EW16" s="774"/>
      <c r="EX16" s="774"/>
      <c r="EY16" s="774"/>
      <c r="EZ16" s="774"/>
      <c r="FA16" s="774"/>
      <c r="FB16" s="774"/>
      <c r="FC16" s="774"/>
      <c r="FD16" s="774"/>
      <c r="FE16" s="774"/>
      <c r="FF16" s="774"/>
      <c r="FG16" s="774"/>
      <c r="FH16" s="774"/>
      <c r="FI16" s="774"/>
      <c r="FJ16" s="774"/>
      <c r="FK16" s="774"/>
      <c r="FL16" s="774"/>
      <c r="FM16" s="774"/>
      <c r="FN16" s="774"/>
      <c r="FO16" s="774"/>
      <c r="FP16" s="774"/>
      <c r="FQ16" s="774"/>
      <c r="FR16" s="774"/>
      <c r="FS16" s="774"/>
      <c r="FT16" s="774"/>
      <c r="FU16" s="774"/>
      <c r="FV16" s="774"/>
      <c r="FW16" s="774"/>
      <c r="FX16" s="774"/>
      <c r="FY16" s="774"/>
      <c r="FZ16" s="774"/>
      <c r="GA16" s="774"/>
      <c r="GB16" s="774"/>
      <c r="GC16" s="774"/>
      <c r="GD16" s="774"/>
      <c r="GE16" s="774"/>
      <c r="GF16" s="787" t="s">
        <v>626</v>
      </c>
      <c r="GG16" s="774"/>
      <c r="GH16" s="774"/>
      <c r="GI16" s="774"/>
      <c r="GJ16" s="774"/>
      <c r="GK16" s="774"/>
      <c r="GL16" s="774"/>
      <c r="GM16" s="774"/>
      <c r="GN16" s="774"/>
      <c r="GO16" s="774"/>
      <c r="GP16" s="774"/>
      <c r="GQ16" s="774"/>
    </row>
    <row r="17" ht="2.1" customHeight="1" spans="11:199">
      <c r="K17" s="774"/>
      <c r="L17" s="774"/>
      <c r="M17" s="778" t="s">
        <v>523</v>
      </c>
      <c r="N17" s="774" t="s">
        <v>541</v>
      </c>
      <c r="O17" s="774" t="s">
        <v>558</v>
      </c>
      <c r="P17" s="774" t="s">
        <v>574</v>
      </c>
      <c r="Q17" s="774"/>
      <c r="R17" s="774"/>
      <c r="S17" s="774"/>
      <c r="T17" s="774"/>
      <c r="U17" s="774"/>
      <c r="V17" s="774"/>
      <c r="W17" s="774"/>
      <c r="X17" s="774"/>
      <c r="Y17" s="774"/>
      <c r="Z17" s="774"/>
      <c r="AA17" s="774"/>
      <c r="AB17" s="774"/>
      <c r="AC17" s="774"/>
      <c r="AD17" s="774"/>
      <c r="AE17" s="774"/>
      <c r="AF17" s="774"/>
      <c r="AG17" s="774"/>
      <c r="AH17" s="774"/>
      <c r="AI17" s="774"/>
      <c r="AJ17" s="774"/>
      <c r="AK17" s="774"/>
      <c r="AL17" s="774"/>
      <c r="AM17" s="774"/>
      <c r="AN17" s="774"/>
      <c r="AO17" s="774"/>
      <c r="AP17" s="774"/>
      <c r="AQ17" s="774"/>
      <c r="AR17" s="774"/>
      <c r="AS17" s="774"/>
      <c r="AT17" s="774"/>
      <c r="AU17" s="774"/>
      <c r="AV17" s="774"/>
      <c r="AW17" s="774"/>
      <c r="AX17" s="774"/>
      <c r="AY17" s="774"/>
      <c r="AZ17" s="774"/>
      <c r="BA17" s="774"/>
      <c r="BB17" s="774"/>
      <c r="BC17" s="778" t="s">
        <v>523</v>
      </c>
      <c r="BD17" s="774">
        <f>BD5/BP5</f>
        <v>0.0333333333333333</v>
      </c>
      <c r="BE17" s="774"/>
      <c r="BF17" s="774"/>
      <c r="BG17" s="774"/>
      <c r="BH17" s="774"/>
      <c r="BI17" s="774"/>
      <c r="BJ17" s="774"/>
      <c r="BK17" s="774"/>
      <c r="BL17" s="774"/>
      <c r="BM17" s="774"/>
      <c r="BN17" s="774"/>
      <c r="BO17" s="774"/>
      <c r="BP17" s="774"/>
      <c r="BQ17" s="774"/>
      <c r="BR17" s="774"/>
      <c r="BS17" s="774"/>
      <c r="BT17" s="774"/>
      <c r="BU17" s="774"/>
      <c r="BV17" s="774"/>
      <c r="BW17" s="774"/>
      <c r="BX17" s="774"/>
      <c r="BY17" s="774"/>
      <c r="BZ17" s="774"/>
      <c r="CA17" s="774"/>
      <c r="CB17" s="774"/>
      <c r="CC17" s="774" t="s">
        <v>541</v>
      </c>
      <c r="CD17" s="774">
        <f>$CD$5/CP$5</f>
        <v>2.58998811033597</v>
      </c>
      <c r="CE17" s="774"/>
      <c r="CF17" s="774"/>
      <c r="CG17" s="774"/>
      <c r="CH17" s="774"/>
      <c r="CI17" s="774"/>
      <c r="CJ17" s="774"/>
      <c r="CK17" s="774"/>
      <c r="CL17" s="774"/>
      <c r="CM17" s="774"/>
      <c r="CN17" s="774"/>
      <c r="CO17" s="774"/>
      <c r="CP17" s="774"/>
      <c r="CQ17" s="774"/>
      <c r="CR17" s="774"/>
      <c r="CS17" s="774"/>
      <c r="CT17" s="774"/>
      <c r="CU17" s="774"/>
      <c r="CV17" s="774"/>
      <c r="CW17" s="774"/>
      <c r="CX17" s="774"/>
      <c r="CY17" s="774" t="s">
        <v>558</v>
      </c>
      <c r="CZ17" s="774">
        <f>CZ5/DL5</f>
        <v>1233.48183754752</v>
      </c>
      <c r="DA17" s="774"/>
      <c r="DB17" s="774"/>
      <c r="DC17" s="774"/>
      <c r="DD17" s="774"/>
      <c r="DE17" s="774"/>
      <c r="DF17" s="774"/>
      <c r="DG17" s="774"/>
      <c r="DH17" s="774"/>
      <c r="DI17" s="774"/>
      <c r="DJ17" s="774"/>
      <c r="DK17" s="774"/>
      <c r="DL17" s="774"/>
      <c r="DM17" s="774"/>
      <c r="DN17" s="774"/>
      <c r="DO17" s="774"/>
      <c r="DP17" s="774"/>
      <c r="DQ17" s="774"/>
      <c r="DR17" s="774"/>
      <c r="DS17" s="774" t="s">
        <v>574</v>
      </c>
      <c r="DT17" s="774">
        <f>DT5/EF5</f>
        <v>45.3592369999995</v>
      </c>
      <c r="DU17" s="774"/>
      <c r="DV17" s="774"/>
      <c r="DW17" s="774"/>
      <c r="DX17" s="774"/>
      <c r="DY17" s="774"/>
      <c r="DZ17" s="774"/>
      <c r="EA17" s="774"/>
      <c r="EB17" s="774"/>
      <c r="EC17" s="774"/>
      <c r="ED17" s="774"/>
      <c r="EE17" s="774"/>
      <c r="EF17" s="774"/>
      <c r="EG17" s="774"/>
      <c r="EH17" s="774"/>
      <c r="EI17" s="774"/>
      <c r="EJ17" s="774"/>
      <c r="EK17" s="774"/>
      <c r="EL17" s="774"/>
      <c r="EM17" s="774"/>
      <c r="EN17" s="774"/>
      <c r="EO17" s="774"/>
      <c r="EP17" s="774"/>
      <c r="EQ17" s="774"/>
      <c r="ER17" s="774"/>
      <c r="ES17" s="774"/>
      <c r="ET17" s="774"/>
      <c r="EU17" s="774"/>
      <c r="EV17" s="774"/>
      <c r="EW17" s="774"/>
      <c r="EX17" s="774"/>
      <c r="EY17" s="774"/>
      <c r="EZ17" s="774"/>
      <c r="FA17" s="774"/>
      <c r="FB17" s="774"/>
      <c r="FC17" s="774"/>
      <c r="FD17" s="774"/>
      <c r="FE17" s="774"/>
      <c r="FF17" s="774"/>
      <c r="FG17" s="774"/>
      <c r="FH17" s="774"/>
      <c r="FI17" s="774"/>
      <c r="FJ17" s="774"/>
      <c r="FK17" s="774"/>
      <c r="FL17" s="774"/>
      <c r="FM17" s="774"/>
      <c r="FN17" s="774"/>
      <c r="FO17" s="774"/>
      <c r="FP17" s="774"/>
      <c r="FQ17" s="774"/>
      <c r="FR17" s="774"/>
      <c r="FS17" s="774"/>
      <c r="FT17" s="774"/>
      <c r="FU17" s="774"/>
      <c r="FV17" s="774"/>
      <c r="FW17" s="774"/>
      <c r="FX17" s="774"/>
      <c r="FY17" s="774"/>
      <c r="FZ17" s="774"/>
      <c r="GA17" s="774"/>
      <c r="GB17" s="774"/>
      <c r="GC17" s="774"/>
      <c r="GD17" s="774"/>
      <c r="GE17" s="774"/>
      <c r="GF17" s="787" t="s">
        <v>627</v>
      </c>
      <c r="GG17" s="774"/>
      <c r="GH17" s="774"/>
      <c r="GI17" s="774"/>
      <c r="GJ17" s="774"/>
      <c r="GK17" s="774"/>
      <c r="GL17" s="774"/>
      <c r="GM17" s="774"/>
      <c r="GN17" s="774"/>
      <c r="GO17" s="774"/>
      <c r="GP17" s="774"/>
      <c r="GQ17" s="774"/>
    </row>
    <row r="18" customHeight="1" spans="2:199">
      <c r="B18" s="758" t="s">
        <v>484</v>
      </c>
      <c r="C18" s="765">
        <v>1</v>
      </c>
      <c r="D18" s="766" t="s">
        <v>531</v>
      </c>
      <c r="E18" s="772">
        <f>C18*G18*H18</f>
        <v>1000000</v>
      </c>
      <c r="F18" s="766" t="s">
        <v>628</v>
      </c>
      <c r="G18" s="768">
        <f>SUMIF(CC5:CC21,D18,CD5:CD21)</f>
        <v>0.0001</v>
      </c>
      <c r="H18" s="769">
        <f>SUMIF(CD4:CT4,F18,CD5:CT5)</f>
        <v>10000000000</v>
      </c>
      <c r="K18" s="774"/>
      <c r="L18" s="774"/>
      <c r="M18" s="778" t="s">
        <v>524</v>
      </c>
      <c r="N18" s="774" t="s">
        <v>542</v>
      </c>
      <c r="O18" s="774" t="s">
        <v>559</v>
      </c>
      <c r="P18" s="774" t="s">
        <v>575</v>
      </c>
      <c r="Q18" s="774"/>
      <c r="R18" s="774"/>
      <c r="S18" s="774"/>
      <c r="T18" s="774"/>
      <c r="U18" s="774"/>
      <c r="V18" s="774"/>
      <c r="W18" s="774"/>
      <c r="X18" s="774"/>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c r="BC18" s="778" t="s">
        <v>524</v>
      </c>
      <c r="BD18" s="774">
        <f>BD5/BQ5</f>
        <v>0.00091441111923921</v>
      </c>
      <c r="BE18" s="774"/>
      <c r="BF18" s="774"/>
      <c r="BG18" s="774"/>
      <c r="BH18" s="774"/>
      <c r="BI18" s="774"/>
      <c r="BJ18" s="774"/>
      <c r="BK18" s="774"/>
      <c r="BL18" s="774"/>
      <c r="BM18" s="774"/>
      <c r="BN18" s="774"/>
      <c r="BO18" s="774"/>
      <c r="BP18" s="774"/>
      <c r="BQ18" s="774"/>
      <c r="BR18" s="774"/>
      <c r="BS18" s="774"/>
      <c r="BT18" s="774"/>
      <c r="BU18" s="774"/>
      <c r="BV18" s="774"/>
      <c r="BW18" s="774"/>
      <c r="BX18" s="774"/>
      <c r="BY18" s="774"/>
      <c r="BZ18" s="774"/>
      <c r="CA18" s="774"/>
      <c r="CB18" s="774"/>
      <c r="CC18" s="774" t="s">
        <v>542</v>
      </c>
      <c r="CD18" s="774">
        <f>$CD$5/CQ$5</f>
        <v>8.36127359999986e-7</v>
      </c>
      <c r="CE18" s="774"/>
      <c r="CF18" s="774"/>
      <c r="CG18" s="774"/>
      <c r="CH18" s="774"/>
      <c r="CI18" s="774"/>
      <c r="CJ18" s="774"/>
      <c r="CK18" s="774"/>
      <c r="CL18" s="774"/>
      <c r="CM18" s="774"/>
      <c r="CN18" s="774"/>
      <c r="CO18" s="774"/>
      <c r="CP18" s="774"/>
      <c r="CQ18" s="774"/>
      <c r="CR18" s="774"/>
      <c r="CS18" s="774"/>
      <c r="CT18" s="774"/>
      <c r="CU18" s="774"/>
      <c r="CV18" s="774"/>
      <c r="CW18" s="774"/>
      <c r="CX18" s="774"/>
      <c r="CY18" s="774" t="s">
        <v>559</v>
      </c>
      <c r="CZ18" s="774">
        <f>CZ5/DM5</f>
        <v>0.00454609188000003</v>
      </c>
      <c r="DA18" s="774"/>
      <c r="DB18" s="774"/>
      <c r="DC18" s="774"/>
      <c r="DD18" s="774"/>
      <c r="DE18" s="774"/>
      <c r="DF18" s="774"/>
      <c r="DG18" s="774"/>
      <c r="DH18" s="774"/>
      <c r="DI18" s="774"/>
      <c r="DJ18" s="774"/>
      <c r="DK18" s="774"/>
      <c r="DL18" s="774"/>
      <c r="DM18" s="774"/>
      <c r="DN18" s="774"/>
      <c r="DO18" s="774"/>
      <c r="DP18" s="774"/>
      <c r="DQ18" s="774"/>
      <c r="DR18" s="774"/>
      <c r="DS18" s="774" t="s">
        <v>575</v>
      </c>
      <c r="DT18" s="774">
        <f>DT5/EG5</f>
        <v>6.35029317999999</v>
      </c>
      <c r="DU18" s="774"/>
      <c r="DV18" s="774"/>
      <c r="DW18" s="774"/>
      <c r="DX18" s="774"/>
      <c r="DY18" s="774"/>
      <c r="DZ18" s="774"/>
      <c r="EA18" s="774"/>
      <c r="EB18" s="774"/>
      <c r="EC18" s="774"/>
      <c r="ED18" s="774"/>
      <c r="EE18" s="774"/>
      <c r="EF18" s="774"/>
      <c r="EG18" s="774"/>
      <c r="EH18" s="774"/>
      <c r="EI18" s="774"/>
      <c r="EJ18" s="774"/>
      <c r="EK18" s="774"/>
      <c r="EL18" s="774"/>
      <c r="EM18" s="774"/>
      <c r="EN18" s="774"/>
      <c r="EO18" s="774"/>
      <c r="EP18" s="774"/>
      <c r="EQ18" s="774"/>
      <c r="ER18" s="774"/>
      <c r="ES18" s="774"/>
      <c r="ET18" s="774"/>
      <c r="EU18" s="774"/>
      <c r="EV18" s="774"/>
      <c r="EW18" s="774"/>
      <c r="EX18" s="774"/>
      <c r="EY18" s="774"/>
      <c r="EZ18" s="774"/>
      <c r="FA18" s="774"/>
      <c r="FB18" s="774"/>
      <c r="FC18" s="774"/>
      <c r="FD18" s="774"/>
      <c r="FE18" s="774"/>
      <c r="FF18" s="774"/>
      <c r="FG18" s="774"/>
      <c r="FH18" s="774"/>
      <c r="FI18" s="774"/>
      <c r="FJ18" s="774"/>
      <c r="FK18" s="774"/>
      <c r="FL18" s="774"/>
      <c r="FM18" s="774"/>
      <c r="FN18" s="774"/>
      <c r="FO18" s="774"/>
      <c r="FP18" s="774"/>
      <c r="FQ18" s="774"/>
      <c r="FR18" s="774"/>
      <c r="FS18" s="774"/>
      <c r="FT18" s="774"/>
      <c r="FU18" s="774"/>
      <c r="FV18" s="774"/>
      <c r="FW18" s="774"/>
      <c r="FX18" s="774"/>
      <c r="FY18" s="774"/>
      <c r="FZ18" s="774"/>
      <c r="GA18" s="774"/>
      <c r="GB18" s="774"/>
      <c r="GC18" s="774"/>
      <c r="GD18" s="774"/>
      <c r="GE18" s="774"/>
      <c r="GF18" s="787" t="s">
        <v>629</v>
      </c>
      <c r="GG18" s="774"/>
      <c r="GH18" s="774"/>
      <c r="GI18" s="774"/>
      <c r="GJ18" s="774"/>
      <c r="GK18" s="774"/>
      <c r="GL18" s="774"/>
      <c r="GM18" s="774"/>
      <c r="GN18" s="774"/>
      <c r="GO18" s="774"/>
      <c r="GP18" s="774"/>
      <c r="GQ18" s="774"/>
    </row>
    <row r="19" ht="2.1" customHeight="1" spans="11:199">
      <c r="K19" s="774"/>
      <c r="L19" s="774"/>
      <c r="M19" s="778" t="s">
        <v>525</v>
      </c>
      <c r="N19" s="774" t="s">
        <v>543</v>
      </c>
      <c r="O19" s="774" t="s">
        <v>560</v>
      </c>
      <c r="P19" s="774" t="s">
        <v>576</v>
      </c>
      <c r="Q19" s="774"/>
      <c r="R19" s="774"/>
      <c r="S19" s="774"/>
      <c r="T19" s="774"/>
      <c r="U19" s="774"/>
      <c r="V19" s="774"/>
      <c r="W19" s="774"/>
      <c r="X19" s="774"/>
      <c r="Y19" s="774"/>
      <c r="Z19" s="774"/>
      <c r="AA19" s="774"/>
      <c r="AB19" s="774"/>
      <c r="AC19" s="774"/>
      <c r="AD19" s="774"/>
      <c r="AE19" s="774"/>
      <c r="AF19" s="774"/>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c r="BC19" s="778" t="s">
        <v>525</v>
      </c>
      <c r="BD19" s="774">
        <f>BD5/BR5</f>
        <v>2.54e-5</v>
      </c>
      <c r="BE19" s="774"/>
      <c r="BF19" s="774"/>
      <c r="BG19" s="774"/>
      <c r="BH19" s="774"/>
      <c r="BI19" s="774"/>
      <c r="BJ19" s="774"/>
      <c r="BK19" s="774"/>
      <c r="BL19" s="774"/>
      <c r="BM19" s="774"/>
      <c r="BN19" s="774"/>
      <c r="BO19" s="774"/>
      <c r="BP19" s="774"/>
      <c r="BQ19" s="774"/>
      <c r="BR19" s="774"/>
      <c r="BS19" s="774"/>
      <c r="BT19" s="774"/>
      <c r="BU19" s="774"/>
      <c r="BV19" s="774"/>
      <c r="BW19" s="774"/>
      <c r="BX19" s="774"/>
      <c r="BY19" s="774"/>
      <c r="BZ19" s="774"/>
      <c r="CA19" s="774"/>
      <c r="CB19" s="774"/>
      <c r="CC19" s="774" t="s">
        <v>543</v>
      </c>
      <c r="CD19" s="774">
        <f>$CD$5/CR$5</f>
        <v>9.29030399999976e-8</v>
      </c>
      <c r="CE19" s="774"/>
      <c r="CF19" s="774"/>
      <c r="CG19" s="774"/>
      <c r="CH19" s="774"/>
      <c r="CI19" s="774"/>
      <c r="CJ19" s="774"/>
      <c r="CK19" s="774"/>
      <c r="CL19" s="774"/>
      <c r="CM19" s="774"/>
      <c r="CN19" s="774"/>
      <c r="CO19" s="774"/>
      <c r="CP19" s="774"/>
      <c r="CQ19" s="774"/>
      <c r="CR19" s="774"/>
      <c r="CS19" s="774"/>
      <c r="CT19" s="774"/>
      <c r="CU19" s="774"/>
      <c r="CV19" s="774"/>
      <c r="CW19" s="774"/>
      <c r="CX19" s="774"/>
      <c r="CY19" s="774" t="s">
        <v>560</v>
      </c>
      <c r="CZ19" s="774">
        <f>CZ5/DN5</f>
        <v>0.00378541178399998</v>
      </c>
      <c r="DA19" s="774"/>
      <c r="DB19" s="774"/>
      <c r="DC19" s="774"/>
      <c r="DD19" s="774"/>
      <c r="DE19" s="774"/>
      <c r="DF19" s="774"/>
      <c r="DG19" s="774"/>
      <c r="DH19" s="774"/>
      <c r="DI19" s="774"/>
      <c r="DJ19" s="774"/>
      <c r="DK19" s="774"/>
      <c r="DL19" s="774"/>
      <c r="DM19" s="774"/>
      <c r="DN19" s="774"/>
      <c r="DO19" s="774"/>
      <c r="DP19" s="774"/>
      <c r="DQ19" s="774"/>
      <c r="DR19" s="774"/>
      <c r="DS19" s="774" t="s">
        <v>576</v>
      </c>
      <c r="DT19" s="774">
        <f>DT5/EH5</f>
        <v>0.00177184519531249</v>
      </c>
      <c r="DU19" s="774"/>
      <c r="DV19" s="774"/>
      <c r="DW19" s="774"/>
      <c r="DX19" s="774"/>
      <c r="DY19" s="774"/>
      <c r="DZ19" s="774"/>
      <c r="EA19" s="774"/>
      <c r="EB19" s="774"/>
      <c r="EC19" s="774"/>
      <c r="ED19" s="774"/>
      <c r="EE19" s="774"/>
      <c r="EF19" s="774"/>
      <c r="EG19" s="774"/>
      <c r="EH19" s="774"/>
      <c r="EI19" s="774"/>
      <c r="EJ19" s="774"/>
      <c r="EK19" s="774"/>
      <c r="EL19" s="774"/>
      <c r="EM19" s="774"/>
      <c r="EN19" s="774"/>
      <c r="EO19" s="774"/>
      <c r="EP19" s="774"/>
      <c r="EQ19" s="774"/>
      <c r="ER19" s="774"/>
      <c r="ES19" s="774"/>
      <c r="ET19" s="774"/>
      <c r="EU19" s="774"/>
      <c r="EV19" s="774"/>
      <c r="EW19" s="774"/>
      <c r="EX19" s="774"/>
      <c r="EY19" s="774"/>
      <c r="EZ19" s="774"/>
      <c r="FA19" s="774"/>
      <c r="FB19" s="774"/>
      <c r="FC19" s="774"/>
      <c r="FD19" s="774"/>
      <c r="FE19" s="774"/>
      <c r="FF19" s="774"/>
      <c r="FG19" s="774"/>
      <c r="FH19" s="774"/>
      <c r="FI19" s="774"/>
      <c r="FJ19" s="774"/>
      <c r="FK19" s="774"/>
      <c r="FL19" s="774"/>
      <c r="FM19" s="774"/>
      <c r="FN19" s="774"/>
      <c r="FO19" s="774"/>
      <c r="FP19" s="774"/>
      <c r="FQ19" s="774"/>
      <c r="FR19" s="774"/>
      <c r="FS19" s="774"/>
      <c r="FT19" s="774"/>
      <c r="FU19" s="774"/>
      <c r="FV19" s="774"/>
      <c r="FW19" s="774"/>
      <c r="FX19" s="774"/>
      <c r="FY19" s="774"/>
      <c r="FZ19" s="774"/>
      <c r="GA19" s="774"/>
      <c r="GB19" s="774"/>
      <c r="GC19" s="774"/>
      <c r="GD19" s="774"/>
      <c r="GE19" s="774"/>
      <c r="GF19" s="787" t="s">
        <v>630</v>
      </c>
      <c r="GG19" s="774"/>
      <c r="GH19" s="774"/>
      <c r="GI19" s="774"/>
      <c r="GJ19" s="774"/>
      <c r="GK19" s="774"/>
      <c r="GL19" s="774"/>
      <c r="GM19" s="774"/>
      <c r="GN19" s="774"/>
      <c r="GO19" s="774"/>
      <c r="GP19" s="774"/>
      <c r="GQ19" s="774"/>
    </row>
    <row r="20" ht="2.1" customHeight="1" spans="2:199">
      <c r="B20" s="758"/>
      <c r="K20" s="774"/>
      <c r="L20" s="774"/>
      <c r="M20" s="778" t="s">
        <v>526</v>
      </c>
      <c r="N20" s="774" t="s">
        <v>544</v>
      </c>
      <c r="O20" s="774" t="s">
        <v>561</v>
      </c>
      <c r="P20" s="774" t="s">
        <v>577</v>
      </c>
      <c r="Q20" s="774"/>
      <c r="R20" s="774"/>
      <c r="S20" s="774"/>
      <c r="T20" s="774"/>
      <c r="U20" s="774"/>
      <c r="V20" s="774"/>
      <c r="W20" s="774"/>
      <c r="X20" s="774"/>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c r="BC20" s="778" t="s">
        <v>526</v>
      </c>
      <c r="BD20" s="774">
        <f>BD5/BS5</f>
        <v>0.0003048</v>
      </c>
      <c r="BE20" s="774"/>
      <c r="BF20" s="774"/>
      <c r="BG20" s="774"/>
      <c r="BH20" s="774"/>
      <c r="BI20" s="774"/>
      <c r="BJ20" s="774"/>
      <c r="BK20" s="774"/>
      <c r="BL20" s="774"/>
      <c r="BM20" s="774"/>
      <c r="BN20" s="774"/>
      <c r="BO20" s="774"/>
      <c r="BP20" s="774"/>
      <c r="BQ20" s="774"/>
      <c r="BR20" s="774"/>
      <c r="BS20" s="774"/>
      <c r="BT20" s="774"/>
      <c r="BU20" s="774"/>
      <c r="BV20" s="774"/>
      <c r="BW20" s="774"/>
      <c r="BX20" s="774"/>
      <c r="BY20" s="774"/>
      <c r="BZ20" s="774"/>
      <c r="CA20" s="774"/>
      <c r="CB20" s="774"/>
      <c r="CC20" s="774" t="s">
        <v>544</v>
      </c>
      <c r="CD20" s="774">
        <f>$CD$5/CS$5</f>
        <v>6.4516e-10</v>
      </c>
      <c r="CE20" s="774"/>
      <c r="CF20" s="774"/>
      <c r="CG20" s="774"/>
      <c r="CH20" s="774"/>
      <c r="CI20" s="774"/>
      <c r="CJ20" s="774"/>
      <c r="CK20" s="774"/>
      <c r="CL20" s="774"/>
      <c r="CM20" s="774"/>
      <c r="CN20" s="774"/>
      <c r="CO20" s="774"/>
      <c r="CP20" s="774"/>
      <c r="CQ20" s="774"/>
      <c r="CR20" s="774"/>
      <c r="CS20" s="774"/>
      <c r="CT20" s="774"/>
      <c r="CU20" s="774"/>
      <c r="CV20" s="774"/>
      <c r="CW20" s="774"/>
      <c r="CX20" s="774"/>
      <c r="CY20" s="774" t="s">
        <v>561</v>
      </c>
      <c r="CZ20" s="774">
        <f>CZ5/DO5</f>
        <v>0.158983775705689</v>
      </c>
      <c r="DA20" s="774"/>
      <c r="DB20" s="774"/>
      <c r="DC20" s="774"/>
      <c r="DD20" s="774"/>
      <c r="DE20" s="774"/>
      <c r="DF20" s="774"/>
      <c r="DG20" s="774"/>
      <c r="DH20" s="774"/>
      <c r="DI20" s="774"/>
      <c r="DJ20" s="774"/>
      <c r="DK20" s="774"/>
      <c r="DL20" s="774"/>
      <c r="DM20" s="774"/>
      <c r="DN20" s="774"/>
      <c r="DO20" s="774"/>
      <c r="DP20" s="774"/>
      <c r="DQ20" s="774"/>
      <c r="DR20" s="774"/>
      <c r="DS20" s="774" t="s">
        <v>577</v>
      </c>
      <c r="DT20" s="774">
        <f>DT5/EI5</f>
        <v>50</v>
      </c>
      <c r="DU20" s="774"/>
      <c r="DV20" s="774"/>
      <c r="DW20" s="774"/>
      <c r="DX20" s="774"/>
      <c r="DY20" s="774"/>
      <c r="DZ20" s="774"/>
      <c r="EA20" s="774"/>
      <c r="EB20" s="774"/>
      <c r="EC20" s="774"/>
      <c r="ED20" s="774"/>
      <c r="EE20" s="774"/>
      <c r="EF20" s="774"/>
      <c r="EG20" s="774"/>
      <c r="EH20" s="774"/>
      <c r="EI20" s="774"/>
      <c r="EJ20" s="774"/>
      <c r="EK20" s="774"/>
      <c r="EL20" s="774"/>
      <c r="EM20" s="774"/>
      <c r="EN20" s="774"/>
      <c r="EO20" s="774"/>
      <c r="EP20" s="774"/>
      <c r="EQ20" s="774"/>
      <c r="ER20" s="774"/>
      <c r="ES20" s="774"/>
      <c r="ET20" s="774"/>
      <c r="EU20" s="774"/>
      <c r="EV20" s="774"/>
      <c r="EW20" s="774"/>
      <c r="EX20" s="774"/>
      <c r="EY20" s="774"/>
      <c r="EZ20" s="774"/>
      <c r="FA20" s="774"/>
      <c r="FB20" s="774"/>
      <c r="FC20" s="774"/>
      <c r="FD20" s="774"/>
      <c r="FE20" s="774"/>
      <c r="FF20" s="774"/>
      <c r="FG20" s="774"/>
      <c r="FH20" s="774"/>
      <c r="FI20" s="774"/>
      <c r="FJ20" s="774"/>
      <c r="FK20" s="774"/>
      <c r="FL20" s="774"/>
      <c r="FM20" s="774"/>
      <c r="FN20" s="774"/>
      <c r="FO20" s="774"/>
      <c r="FP20" s="774"/>
      <c r="FQ20" s="774"/>
      <c r="FR20" s="774"/>
      <c r="FS20" s="774"/>
      <c r="FT20" s="774"/>
      <c r="FU20" s="774"/>
      <c r="FV20" s="774"/>
      <c r="FW20" s="774"/>
      <c r="FX20" s="774"/>
      <c r="FY20" s="774"/>
      <c r="FZ20" s="774"/>
      <c r="GA20" s="774"/>
      <c r="GB20" s="774"/>
      <c r="GC20" s="774"/>
      <c r="GD20" s="774"/>
      <c r="GE20" s="774"/>
      <c r="GF20" s="774"/>
      <c r="GG20" s="774"/>
      <c r="GH20" s="774"/>
      <c r="GI20" s="774"/>
      <c r="GJ20" s="774"/>
      <c r="GK20" s="774"/>
      <c r="GL20" s="774"/>
      <c r="GM20" s="774"/>
      <c r="GN20" s="774"/>
      <c r="GO20" s="774"/>
      <c r="GP20" s="774"/>
      <c r="GQ20" s="774"/>
    </row>
    <row r="21" ht="2.1" customHeight="1" spans="11:199">
      <c r="K21" s="774"/>
      <c r="L21" s="774"/>
      <c r="M21" s="778" t="s">
        <v>527</v>
      </c>
      <c r="N21" s="774" t="s">
        <v>545</v>
      </c>
      <c r="O21" s="774"/>
      <c r="P21" s="774" t="s">
        <v>578</v>
      </c>
      <c r="Q21" s="774"/>
      <c r="R21" s="774"/>
      <c r="S21" s="774"/>
      <c r="T21" s="774"/>
      <c r="U21" s="774"/>
      <c r="V21" s="774"/>
      <c r="W21" s="774"/>
      <c r="X21" s="774"/>
      <c r="Y21" s="774"/>
      <c r="Z21" s="774"/>
      <c r="AA21" s="774"/>
      <c r="AB21" s="774"/>
      <c r="AC21" s="774"/>
      <c r="AD21" s="774"/>
      <c r="AE21" s="774"/>
      <c r="AF21" s="774"/>
      <c r="AG21" s="774"/>
      <c r="AH21" s="774"/>
      <c r="AI21" s="774"/>
      <c r="AJ21" s="774"/>
      <c r="AK21" s="774"/>
      <c r="AL21" s="774"/>
      <c r="AM21" s="774"/>
      <c r="AN21" s="774"/>
      <c r="AO21" s="774"/>
      <c r="AP21" s="774"/>
      <c r="AQ21" s="774"/>
      <c r="AR21" s="774"/>
      <c r="AS21" s="774"/>
      <c r="AT21" s="774"/>
      <c r="AU21" s="774"/>
      <c r="AV21" s="774"/>
      <c r="AW21" s="774"/>
      <c r="AX21" s="774"/>
      <c r="AY21" s="774"/>
      <c r="AZ21" s="774"/>
      <c r="BA21" s="774"/>
      <c r="BB21" s="774"/>
      <c r="BC21" s="778" t="s">
        <v>527</v>
      </c>
      <c r="BD21" s="774">
        <f>BD5/BT5</f>
        <v>1.60937298828376</v>
      </c>
      <c r="BE21" s="774"/>
      <c r="BF21" s="774"/>
      <c r="BG21" s="774"/>
      <c r="BH21" s="774"/>
      <c r="BI21" s="774"/>
      <c r="BJ21" s="774"/>
      <c r="BK21" s="774"/>
      <c r="BL21" s="774"/>
      <c r="BM21" s="774"/>
      <c r="BN21" s="774"/>
      <c r="BO21" s="774"/>
      <c r="BP21" s="774"/>
      <c r="BQ21" s="774"/>
      <c r="BR21" s="774"/>
      <c r="BS21" s="774"/>
      <c r="BT21" s="774"/>
      <c r="BU21" s="774"/>
      <c r="BV21" s="774"/>
      <c r="BW21" s="774"/>
      <c r="BX21" s="774"/>
      <c r="BY21" s="774"/>
      <c r="BZ21" s="774"/>
      <c r="CA21" s="774"/>
      <c r="CB21" s="774"/>
      <c r="CC21" s="774" t="s">
        <v>545</v>
      </c>
      <c r="CD21" s="774">
        <f>$CD$5/CT$5</f>
        <v>2.52928526400003e-5</v>
      </c>
      <c r="CE21" s="774"/>
      <c r="CF21" s="774"/>
      <c r="CG21" s="774"/>
      <c r="CH21" s="774"/>
      <c r="CI21" s="774"/>
      <c r="CJ21" s="774"/>
      <c r="CK21" s="774"/>
      <c r="CL21" s="774"/>
      <c r="CM21" s="774"/>
      <c r="CN21" s="774"/>
      <c r="CO21" s="774"/>
      <c r="CP21" s="774"/>
      <c r="CQ21" s="774"/>
      <c r="CR21" s="774"/>
      <c r="CS21" s="774"/>
      <c r="CT21" s="774"/>
      <c r="CU21" s="774"/>
      <c r="CV21" s="774"/>
      <c r="CW21" s="774"/>
      <c r="CX21" s="774"/>
      <c r="CY21" s="774"/>
      <c r="CZ21" s="774"/>
      <c r="DA21" s="774"/>
      <c r="DB21" s="774"/>
      <c r="DC21" s="774"/>
      <c r="DD21" s="774"/>
      <c r="DE21" s="774"/>
      <c r="DF21" s="774"/>
      <c r="DG21" s="774"/>
      <c r="DH21" s="774"/>
      <c r="DI21" s="774"/>
      <c r="DJ21" s="774"/>
      <c r="DK21" s="774"/>
      <c r="DL21" s="774"/>
      <c r="DM21" s="774"/>
      <c r="DN21" s="774"/>
      <c r="DO21" s="774"/>
      <c r="DP21" s="774"/>
      <c r="DQ21" s="774"/>
      <c r="DR21" s="774"/>
      <c r="DS21" s="774" t="s">
        <v>578</v>
      </c>
      <c r="DT21" s="774">
        <f>DT5/EJ5</f>
        <v>0.5</v>
      </c>
      <c r="DU21" s="774"/>
      <c r="DV21" s="774"/>
      <c r="DW21" s="774"/>
      <c r="DX21" s="774"/>
      <c r="DY21" s="774"/>
      <c r="DZ21" s="774"/>
      <c r="EA21" s="774"/>
      <c r="EB21" s="774"/>
      <c r="EC21" s="774"/>
      <c r="ED21" s="774"/>
      <c r="EE21" s="774"/>
      <c r="EF21" s="774"/>
      <c r="EG21" s="774"/>
      <c r="EH21" s="774"/>
      <c r="EI21" s="774"/>
      <c r="EJ21" s="774"/>
      <c r="EK21" s="774"/>
      <c r="EL21" s="774"/>
      <c r="EM21" s="774"/>
      <c r="EN21" s="774"/>
      <c r="EO21" s="774"/>
      <c r="EP21" s="774"/>
      <c r="EQ21" s="774"/>
      <c r="ER21" s="774"/>
      <c r="ES21" s="774"/>
      <c r="ET21" s="774"/>
      <c r="EU21" s="774"/>
      <c r="EV21" s="774"/>
      <c r="EW21" s="774"/>
      <c r="EX21" s="774"/>
      <c r="EY21" s="774"/>
      <c r="EZ21" s="774"/>
      <c r="FA21" s="774"/>
      <c r="FB21" s="774"/>
      <c r="FC21" s="774"/>
      <c r="FD21" s="774"/>
      <c r="FE21" s="774"/>
      <c r="FF21" s="774"/>
      <c r="FG21" s="774"/>
      <c r="FH21" s="774"/>
      <c r="FI21" s="774"/>
      <c r="FJ21" s="774"/>
      <c r="FK21" s="774"/>
      <c r="FL21" s="774"/>
      <c r="FM21" s="774"/>
      <c r="FN21" s="774"/>
      <c r="FO21" s="774"/>
      <c r="FP21" s="774"/>
      <c r="FQ21" s="774"/>
      <c r="FR21" s="774"/>
      <c r="FS21" s="774"/>
      <c r="FT21" s="774"/>
      <c r="FU21" s="774"/>
      <c r="FV21" s="774"/>
      <c r="FW21" s="774"/>
      <c r="FX21" s="774"/>
      <c r="FY21" s="774"/>
      <c r="FZ21" s="774"/>
      <c r="GA21" s="774"/>
      <c r="GB21" s="774"/>
      <c r="GC21" s="774"/>
      <c r="GD21" s="774"/>
      <c r="GE21" s="774"/>
      <c r="GF21" s="792" t="s">
        <v>631</v>
      </c>
      <c r="GG21" s="774"/>
      <c r="GH21" s="774"/>
      <c r="GI21" s="774"/>
      <c r="GJ21" s="774"/>
      <c r="GK21" s="774"/>
      <c r="GL21" s="774"/>
      <c r="GM21" s="774"/>
      <c r="GN21" s="774"/>
      <c r="GO21" s="774"/>
      <c r="GP21" s="774"/>
      <c r="GQ21" s="774"/>
    </row>
    <row r="22" customHeight="1" spans="2:199">
      <c r="B22" s="758" t="s">
        <v>632</v>
      </c>
      <c r="C22" s="765">
        <v>1</v>
      </c>
      <c r="D22" s="766" t="s">
        <v>546</v>
      </c>
      <c r="E22" s="772">
        <f>C22*G22*H22</f>
        <v>1</v>
      </c>
      <c r="F22" s="766" t="s">
        <v>546</v>
      </c>
      <c r="G22" s="768">
        <f>SUMIF(CY5:CY20,D22,CZ5:CZ20)</f>
        <v>1</v>
      </c>
      <c r="H22" s="769">
        <f>SUMIF(CZ4:DO4,F22,CZ5:DO5)</f>
        <v>1</v>
      </c>
      <c r="K22" s="774"/>
      <c r="L22" s="774"/>
      <c r="M22" s="778" t="s">
        <v>528</v>
      </c>
      <c r="N22" s="774"/>
      <c r="O22" s="774"/>
      <c r="P22" s="774" t="s">
        <v>579</v>
      </c>
      <c r="Q22" s="774"/>
      <c r="R22" s="774"/>
      <c r="S22" s="774"/>
      <c r="T22" s="774"/>
      <c r="U22" s="774"/>
      <c r="V22" s="774"/>
      <c r="W22" s="774"/>
      <c r="X22" s="774"/>
      <c r="Y22" s="774"/>
      <c r="Z22" s="774"/>
      <c r="AA22" s="774"/>
      <c r="AB22" s="774"/>
      <c r="AC22" s="774"/>
      <c r="AD22" s="774"/>
      <c r="AE22" s="774"/>
      <c r="AF22" s="774"/>
      <c r="AG22" s="774"/>
      <c r="AH22" s="774"/>
      <c r="AI22" s="774"/>
      <c r="AJ22" s="774"/>
      <c r="AK22" s="774"/>
      <c r="AL22" s="774"/>
      <c r="AM22" s="774"/>
      <c r="AN22" s="774"/>
      <c r="AO22" s="774"/>
      <c r="AP22" s="774"/>
      <c r="AQ22" s="774"/>
      <c r="AR22" s="774"/>
      <c r="AS22" s="774"/>
      <c r="AT22" s="774"/>
      <c r="AU22" s="774"/>
      <c r="AV22" s="774"/>
      <c r="AW22" s="774"/>
      <c r="AX22" s="774"/>
      <c r="AY22" s="774"/>
      <c r="AZ22" s="774"/>
      <c r="BA22" s="774"/>
      <c r="BB22" s="774"/>
      <c r="BC22" s="774" t="s">
        <v>528</v>
      </c>
      <c r="BD22" s="774">
        <f>BD5/BU5</f>
        <v>1.85185185185185</v>
      </c>
      <c r="BE22" s="774"/>
      <c r="BF22" s="774"/>
      <c r="BG22" s="774"/>
      <c r="BH22" s="774"/>
      <c r="BI22" s="774"/>
      <c r="BJ22" s="774"/>
      <c r="BK22" s="774"/>
      <c r="BL22" s="774"/>
      <c r="BM22" s="774"/>
      <c r="BN22" s="774"/>
      <c r="BO22" s="774"/>
      <c r="BP22" s="774"/>
      <c r="BQ22" s="774"/>
      <c r="BR22" s="774"/>
      <c r="BS22" s="774"/>
      <c r="BT22" s="774"/>
      <c r="BU22" s="774"/>
      <c r="BV22" s="774"/>
      <c r="BW22" s="774"/>
      <c r="BX22" s="774"/>
      <c r="BY22" s="774"/>
      <c r="BZ22" s="774"/>
      <c r="CA22" s="774"/>
      <c r="CB22" s="774"/>
      <c r="CC22" s="774"/>
      <c r="CD22" s="788"/>
      <c r="CE22" s="774"/>
      <c r="CF22" s="774"/>
      <c r="CG22" s="774"/>
      <c r="CH22" s="774"/>
      <c r="CI22" s="774"/>
      <c r="CJ22" s="774"/>
      <c r="CK22" s="774"/>
      <c r="CL22" s="774"/>
      <c r="CM22" s="774"/>
      <c r="CN22" s="774"/>
      <c r="CO22" s="774"/>
      <c r="CP22" s="774"/>
      <c r="CQ22" s="774"/>
      <c r="CR22" s="774"/>
      <c r="CS22" s="774"/>
      <c r="CT22" s="774"/>
      <c r="CU22" s="774"/>
      <c r="CV22" s="774"/>
      <c r="CW22" s="774"/>
      <c r="CX22" s="774"/>
      <c r="CY22" s="774"/>
      <c r="CZ22" s="774"/>
      <c r="DA22" s="774"/>
      <c r="DB22" s="774"/>
      <c r="DC22" s="774"/>
      <c r="DD22" s="774"/>
      <c r="DE22" s="774"/>
      <c r="DF22" s="774"/>
      <c r="DG22" s="774"/>
      <c r="DH22" s="774"/>
      <c r="DI22" s="774"/>
      <c r="DJ22" s="774"/>
      <c r="DK22" s="774"/>
      <c r="DL22" s="774"/>
      <c r="DM22" s="774"/>
      <c r="DN22" s="774"/>
      <c r="DO22" s="774"/>
      <c r="DP22" s="774"/>
      <c r="DQ22" s="774"/>
      <c r="DR22" s="774"/>
      <c r="DS22" s="774" t="s">
        <v>579</v>
      </c>
      <c r="DT22" s="774">
        <f>DT5/EK5</f>
        <v>0.05</v>
      </c>
      <c r="DU22" s="774"/>
      <c r="DV22" s="774"/>
      <c r="DW22" s="774"/>
      <c r="DX22" s="774"/>
      <c r="DY22" s="774"/>
      <c r="DZ22" s="774"/>
      <c r="EA22" s="774"/>
      <c r="EB22" s="774"/>
      <c r="EC22" s="774"/>
      <c r="ED22" s="774"/>
      <c r="EE22" s="774"/>
      <c r="EF22" s="774"/>
      <c r="EG22" s="774"/>
      <c r="EH22" s="774"/>
      <c r="EI22" s="774"/>
      <c r="EJ22" s="774"/>
      <c r="EK22" s="774"/>
      <c r="EL22" s="774"/>
      <c r="EM22" s="774"/>
      <c r="EN22" s="774"/>
      <c r="EO22" s="774"/>
      <c r="EP22" s="774"/>
      <c r="EQ22" s="774"/>
      <c r="ER22" s="774"/>
      <c r="ES22" s="774"/>
      <c r="ET22" s="774"/>
      <c r="EU22" s="774"/>
      <c r="EV22" s="774"/>
      <c r="EW22" s="774"/>
      <c r="EX22" s="774"/>
      <c r="EY22" s="774"/>
      <c r="EZ22" s="774"/>
      <c r="FA22" s="774"/>
      <c r="FB22" s="774"/>
      <c r="FC22" s="774"/>
      <c r="FD22" s="774"/>
      <c r="FE22" s="774"/>
      <c r="FF22" s="774"/>
      <c r="FG22" s="774"/>
      <c r="FH22" s="774"/>
      <c r="FI22" s="774"/>
      <c r="FJ22" s="774"/>
      <c r="FK22" s="774"/>
      <c r="FL22" s="774"/>
      <c r="FM22" s="774"/>
      <c r="FN22" s="774"/>
      <c r="FO22" s="774"/>
      <c r="FP22" s="774"/>
      <c r="FQ22" s="774"/>
      <c r="FR22" s="774"/>
      <c r="FS22" s="774"/>
      <c r="FT22" s="774"/>
      <c r="FU22" s="774"/>
      <c r="FV22" s="774"/>
      <c r="FW22" s="774"/>
      <c r="FX22" s="774"/>
      <c r="FY22" s="774"/>
      <c r="FZ22" s="774"/>
      <c r="GA22" s="774"/>
      <c r="GB22" s="774"/>
      <c r="GC22" s="774"/>
      <c r="GD22" s="774"/>
      <c r="GE22" s="774"/>
      <c r="GF22" s="792"/>
      <c r="GG22" s="774"/>
      <c r="GH22" s="774"/>
      <c r="GI22" s="774"/>
      <c r="GJ22" s="774"/>
      <c r="GK22" s="774"/>
      <c r="GL22" s="774"/>
      <c r="GM22" s="774"/>
      <c r="GN22" s="774"/>
      <c r="GO22" s="774"/>
      <c r="GP22" s="774"/>
      <c r="GQ22" s="774"/>
    </row>
    <row r="23" ht="2.1" customHeight="1" spans="11:199">
      <c r="K23" s="774"/>
      <c r="L23" s="774"/>
      <c r="M23" s="774"/>
      <c r="N23" s="774"/>
      <c r="O23" s="774"/>
      <c r="P23" s="774" t="s">
        <v>580</v>
      </c>
      <c r="Q23" s="774"/>
      <c r="R23" s="774"/>
      <c r="S23" s="774"/>
      <c r="T23" s="774"/>
      <c r="U23" s="774"/>
      <c r="V23" s="774"/>
      <c r="W23" s="774"/>
      <c r="X23" s="774"/>
      <c r="Y23" s="774"/>
      <c r="Z23" s="774"/>
      <c r="AA23" s="774"/>
      <c r="AB23" s="774"/>
      <c r="AC23" s="774"/>
      <c r="AD23" s="774"/>
      <c r="AE23" s="774"/>
      <c r="AF23" s="774"/>
      <c r="AG23" s="774"/>
      <c r="AH23" s="774"/>
      <c r="AI23" s="774"/>
      <c r="AJ23" s="774"/>
      <c r="AK23" s="774"/>
      <c r="AL23" s="774"/>
      <c r="AM23" s="774"/>
      <c r="AN23" s="774"/>
      <c r="AO23" s="774"/>
      <c r="AP23" s="774"/>
      <c r="AQ23" s="774"/>
      <c r="AR23" s="774"/>
      <c r="AS23" s="774"/>
      <c r="AT23" s="774"/>
      <c r="AU23" s="774"/>
      <c r="AV23" s="774"/>
      <c r="AW23" s="774"/>
      <c r="AX23" s="774"/>
      <c r="AY23" s="774"/>
      <c r="AZ23" s="774"/>
      <c r="BA23" s="774"/>
      <c r="BB23" s="774"/>
      <c r="BC23" s="774"/>
      <c r="BD23" s="774"/>
      <c r="BE23" s="774"/>
      <c r="BF23" s="774"/>
      <c r="BG23" s="774"/>
      <c r="BH23" s="774"/>
      <c r="BI23" s="774"/>
      <c r="BJ23" s="774"/>
      <c r="BK23" s="774"/>
      <c r="BL23" s="774"/>
      <c r="BM23" s="774"/>
      <c r="BN23" s="774"/>
      <c r="BO23" s="774"/>
      <c r="BP23" s="774"/>
      <c r="BQ23" s="774"/>
      <c r="BR23" s="774"/>
      <c r="BS23" s="774"/>
      <c r="BT23" s="774"/>
      <c r="BU23" s="774"/>
      <c r="BV23" s="774"/>
      <c r="BW23" s="774"/>
      <c r="BX23" s="774"/>
      <c r="BY23" s="774"/>
      <c r="BZ23" s="774"/>
      <c r="CA23" s="774"/>
      <c r="CB23" s="774"/>
      <c r="CC23" s="774"/>
      <c r="CD23" s="788"/>
      <c r="CE23" s="774"/>
      <c r="CF23" s="774"/>
      <c r="CG23" s="774"/>
      <c r="CH23" s="774"/>
      <c r="CI23" s="774"/>
      <c r="CJ23" s="774"/>
      <c r="CK23" s="774"/>
      <c r="CL23" s="774"/>
      <c r="CM23" s="774"/>
      <c r="CN23" s="774"/>
      <c r="CO23" s="774"/>
      <c r="CP23" s="774"/>
      <c r="CQ23" s="774"/>
      <c r="CR23" s="774"/>
      <c r="CS23" s="774"/>
      <c r="CT23" s="774"/>
      <c r="CU23" s="774"/>
      <c r="CV23" s="774"/>
      <c r="CW23" s="774"/>
      <c r="CX23" s="774"/>
      <c r="CY23" s="774"/>
      <c r="CZ23" s="774"/>
      <c r="DA23" s="774"/>
      <c r="DB23" s="774"/>
      <c r="DC23" s="774"/>
      <c r="DD23" s="774"/>
      <c r="DE23" s="774"/>
      <c r="DF23" s="774"/>
      <c r="DG23" s="774"/>
      <c r="DH23" s="774"/>
      <c r="DI23" s="774"/>
      <c r="DJ23" s="774"/>
      <c r="DK23" s="774"/>
      <c r="DL23" s="774"/>
      <c r="DM23" s="774"/>
      <c r="DN23" s="774"/>
      <c r="DO23" s="774"/>
      <c r="DP23" s="774"/>
      <c r="DQ23" s="774"/>
      <c r="DR23" s="774"/>
      <c r="DS23" s="774" t="s">
        <v>580</v>
      </c>
      <c r="DT23" s="774">
        <f>DT5/EL5</f>
        <v>0.005</v>
      </c>
      <c r="DU23" s="774"/>
      <c r="DV23" s="774"/>
      <c r="DW23" s="774"/>
      <c r="DX23" s="774"/>
      <c r="DY23" s="774"/>
      <c r="DZ23" s="774"/>
      <c r="EA23" s="774"/>
      <c r="EB23" s="774"/>
      <c r="EC23" s="774"/>
      <c r="ED23" s="774"/>
      <c r="EE23" s="774"/>
      <c r="EF23" s="774"/>
      <c r="EG23" s="774"/>
      <c r="EH23" s="774"/>
      <c r="EI23" s="774"/>
      <c r="EJ23" s="774"/>
      <c r="EK23" s="774"/>
      <c r="EL23" s="774"/>
      <c r="EM23" s="774"/>
      <c r="EN23" s="774"/>
      <c r="EO23" s="774"/>
      <c r="EP23" s="774"/>
      <c r="EQ23" s="774"/>
      <c r="ER23" s="774"/>
      <c r="ES23" s="774"/>
      <c r="ET23" s="774"/>
      <c r="EU23" s="774"/>
      <c r="EV23" s="774"/>
      <c r="EW23" s="774"/>
      <c r="EX23" s="774"/>
      <c r="EY23" s="774"/>
      <c r="EZ23" s="774"/>
      <c r="FA23" s="774"/>
      <c r="FB23" s="774"/>
      <c r="FC23" s="774"/>
      <c r="FD23" s="774"/>
      <c r="FE23" s="774"/>
      <c r="FF23" s="774"/>
      <c r="FG23" s="774"/>
      <c r="FH23" s="774"/>
      <c r="FI23" s="774"/>
      <c r="FJ23" s="774"/>
      <c r="FK23" s="774"/>
      <c r="FL23" s="774"/>
      <c r="FM23" s="774"/>
      <c r="FN23" s="774"/>
      <c r="FO23" s="774"/>
      <c r="FP23" s="774"/>
      <c r="FQ23" s="774"/>
      <c r="FR23" s="774"/>
      <c r="FS23" s="774"/>
      <c r="FT23" s="774"/>
      <c r="FU23" s="774"/>
      <c r="FV23" s="774"/>
      <c r="FW23" s="774"/>
      <c r="FX23" s="774"/>
      <c r="FY23" s="774"/>
      <c r="FZ23" s="774"/>
      <c r="GA23" s="774"/>
      <c r="GB23" s="774"/>
      <c r="GC23" s="774"/>
      <c r="GD23" s="774"/>
      <c r="GE23" s="774"/>
      <c r="GF23" s="792" t="s">
        <v>633</v>
      </c>
      <c r="GG23" s="774"/>
      <c r="GH23" s="774"/>
      <c r="GI23" s="774"/>
      <c r="GJ23" s="774"/>
      <c r="GK23" s="774"/>
      <c r="GL23" s="774"/>
      <c r="GM23" s="774"/>
      <c r="GN23" s="774"/>
      <c r="GO23" s="774"/>
      <c r="GP23" s="774"/>
      <c r="GQ23" s="774"/>
    </row>
    <row r="24" ht="2.1" customHeight="1" spans="2:199">
      <c r="B24" s="758"/>
      <c r="K24" s="774"/>
      <c r="L24" s="774"/>
      <c r="M24" s="774"/>
      <c r="N24" s="774"/>
      <c r="O24" s="774"/>
      <c r="P24" s="774"/>
      <c r="Q24" s="774"/>
      <c r="R24" s="774"/>
      <c r="S24" s="774"/>
      <c r="T24" s="774"/>
      <c r="U24" s="774"/>
      <c r="V24" s="774"/>
      <c r="W24" s="774"/>
      <c r="X24" s="774"/>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c r="BC24" s="774"/>
      <c r="BD24" s="774"/>
      <c r="BE24" s="774"/>
      <c r="BF24" s="774"/>
      <c r="BG24" s="774"/>
      <c r="BH24" s="774"/>
      <c r="BI24" s="774"/>
      <c r="BJ24" s="774"/>
      <c r="BK24" s="774"/>
      <c r="BL24" s="774"/>
      <c r="BM24" s="774"/>
      <c r="BN24" s="774"/>
      <c r="BO24" s="774"/>
      <c r="BP24" s="774"/>
      <c r="BQ24" s="774"/>
      <c r="BR24" s="774"/>
      <c r="BS24" s="774"/>
      <c r="BT24" s="774"/>
      <c r="BU24" s="774"/>
      <c r="BV24" s="774"/>
      <c r="BW24" s="774"/>
      <c r="BX24" s="774"/>
      <c r="BY24" s="774"/>
      <c r="BZ24" s="774"/>
      <c r="CA24" s="774"/>
      <c r="CB24" s="774"/>
      <c r="CC24" s="774"/>
      <c r="CD24" s="788"/>
      <c r="CE24" s="774"/>
      <c r="CF24" s="774"/>
      <c r="CG24" s="774"/>
      <c r="CH24" s="774"/>
      <c r="CI24" s="774"/>
      <c r="CJ24" s="774"/>
      <c r="CK24" s="774"/>
      <c r="CL24" s="774"/>
      <c r="CM24" s="774"/>
      <c r="CN24" s="774"/>
      <c r="CO24" s="774"/>
      <c r="CP24" s="774"/>
      <c r="CQ24" s="774"/>
      <c r="CR24" s="774"/>
      <c r="CS24" s="774"/>
      <c r="CT24" s="774"/>
      <c r="CU24" s="774"/>
      <c r="CV24" s="774"/>
      <c r="CW24" s="774"/>
      <c r="CX24" s="774"/>
      <c r="CY24" s="774"/>
      <c r="CZ24" s="774"/>
      <c r="DA24" s="774"/>
      <c r="DB24" s="774"/>
      <c r="DC24" s="774"/>
      <c r="DD24" s="774"/>
      <c r="DE24" s="774"/>
      <c r="DF24" s="774"/>
      <c r="DG24" s="774"/>
      <c r="DH24" s="774"/>
      <c r="DI24" s="774"/>
      <c r="DJ24" s="774"/>
      <c r="DK24" s="774"/>
      <c r="DL24" s="774"/>
      <c r="DM24" s="774"/>
      <c r="DN24" s="774"/>
      <c r="DO24" s="774"/>
      <c r="DP24" s="774"/>
      <c r="DQ24" s="774"/>
      <c r="DR24" s="774"/>
      <c r="DS24" s="774"/>
      <c r="DT24" s="774"/>
      <c r="DU24" s="774"/>
      <c r="DV24" s="774"/>
      <c r="DW24" s="774"/>
      <c r="DX24" s="774"/>
      <c r="DY24" s="774"/>
      <c r="DZ24" s="774"/>
      <c r="EA24" s="774"/>
      <c r="EB24" s="774"/>
      <c r="EC24" s="774"/>
      <c r="ED24" s="774"/>
      <c r="EE24" s="774"/>
      <c r="EF24" s="774"/>
      <c r="EG24" s="774"/>
      <c r="EH24" s="774"/>
      <c r="EI24" s="774"/>
      <c r="EJ24" s="774"/>
      <c r="EK24" s="774"/>
      <c r="EL24" s="774"/>
      <c r="EM24" s="774"/>
      <c r="EN24" s="774"/>
      <c r="EO24" s="774"/>
      <c r="EP24" s="774"/>
      <c r="EQ24" s="774"/>
      <c r="ER24" s="774"/>
      <c r="ES24" s="774"/>
      <c r="ET24" s="774"/>
      <c r="EU24" s="774"/>
      <c r="EV24" s="774"/>
      <c r="EW24" s="774"/>
      <c r="EX24" s="774"/>
      <c r="EY24" s="774"/>
      <c r="EZ24" s="774"/>
      <c r="FA24" s="774"/>
      <c r="FB24" s="774"/>
      <c r="FC24" s="774"/>
      <c r="FD24" s="774"/>
      <c r="FE24" s="774"/>
      <c r="FF24" s="774"/>
      <c r="FG24" s="774"/>
      <c r="FH24" s="774"/>
      <c r="FI24" s="774"/>
      <c r="FJ24" s="774"/>
      <c r="FK24" s="774"/>
      <c r="FL24" s="774"/>
      <c r="FM24" s="774"/>
      <c r="FN24" s="774"/>
      <c r="FO24" s="774"/>
      <c r="FP24" s="774"/>
      <c r="FQ24" s="774"/>
      <c r="FR24" s="774"/>
      <c r="FS24" s="774"/>
      <c r="FT24" s="774"/>
      <c r="FU24" s="774"/>
      <c r="FV24" s="774"/>
      <c r="FW24" s="774"/>
      <c r="FX24" s="774"/>
      <c r="FY24" s="774"/>
      <c r="FZ24" s="774"/>
      <c r="GA24" s="774"/>
      <c r="GB24" s="774"/>
      <c r="GC24" s="774"/>
      <c r="GD24" s="774"/>
      <c r="GE24" s="774"/>
      <c r="GF24" s="792" t="s">
        <v>634</v>
      </c>
      <c r="GG24" s="774"/>
      <c r="GH24" s="774"/>
      <c r="GI24" s="774"/>
      <c r="GJ24" s="774"/>
      <c r="GK24" s="774"/>
      <c r="GL24" s="774"/>
      <c r="GM24" s="774"/>
      <c r="GN24" s="774"/>
      <c r="GO24" s="774"/>
      <c r="GP24" s="774"/>
      <c r="GQ24" s="774"/>
    </row>
    <row r="25" ht="2.1" customHeight="1" spans="11:199">
      <c r="K25" s="774"/>
      <c r="L25" s="774"/>
      <c r="M25" s="774"/>
      <c r="N25" s="774"/>
      <c r="O25" s="774"/>
      <c r="P25" s="774"/>
      <c r="Q25" s="774"/>
      <c r="R25" s="774"/>
      <c r="S25" s="774"/>
      <c r="T25" s="774"/>
      <c r="U25" s="774"/>
      <c r="V25" s="774"/>
      <c r="W25" s="774"/>
      <c r="X25" s="774"/>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c r="BC25" s="774"/>
      <c r="BD25" s="774"/>
      <c r="BE25" s="774"/>
      <c r="BF25" s="774"/>
      <c r="BG25" s="774"/>
      <c r="BH25" s="774"/>
      <c r="BI25" s="774"/>
      <c r="BJ25" s="774"/>
      <c r="BK25" s="774"/>
      <c r="BL25" s="774"/>
      <c r="BM25" s="774"/>
      <c r="BN25" s="774"/>
      <c r="BO25" s="774"/>
      <c r="BP25" s="774"/>
      <c r="BQ25" s="774"/>
      <c r="BR25" s="774"/>
      <c r="BS25" s="774"/>
      <c r="BT25" s="774"/>
      <c r="BU25" s="774"/>
      <c r="BV25" s="774"/>
      <c r="BW25" s="774"/>
      <c r="BX25" s="774"/>
      <c r="BY25" s="774"/>
      <c r="BZ25" s="774"/>
      <c r="CA25" s="774"/>
      <c r="CB25" s="774"/>
      <c r="CC25" s="774"/>
      <c r="CD25" s="788"/>
      <c r="CE25" s="774"/>
      <c r="CF25" s="774"/>
      <c r="CG25" s="774"/>
      <c r="CH25" s="774"/>
      <c r="CI25" s="774"/>
      <c r="CJ25" s="774"/>
      <c r="CK25" s="774"/>
      <c r="CL25" s="774"/>
      <c r="CM25" s="774"/>
      <c r="CN25" s="774"/>
      <c r="CO25" s="774"/>
      <c r="CP25" s="774"/>
      <c r="CQ25" s="774"/>
      <c r="CR25" s="774"/>
      <c r="CS25" s="774"/>
      <c r="CT25" s="774"/>
      <c r="CU25" s="774"/>
      <c r="CV25" s="774"/>
      <c r="CW25" s="774"/>
      <c r="CX25" s="774"/>
      <c r="CY25" s="774"/>
      <c r="CZ25" s="774"/>
      <c r="DA25" s="774"/>
      <c r="DB25" s="774"/>
      <c r="DC25" s="774"/>
      <c r="DD25" s="774"/>
      <c r="DE25" s="774"/>
      <c r="DF25" s="774"/>
      <c r="DG25" s="774"/>
      <c r="DH25" s="774"/>
      <c r="DI25" s="774"/>
      <c r="DJ25" s="774"/>
      <c r="DK25" s="774"/>
      <c r="DL25" s="774"/>
      <c r="DM25" s="774"/>
      <c r="DN25" s="774"/>
      <c r="DO25" s="774"/>
      <c r="DP25" s="774"/>
      <c r="DQ25" s="774"/>
      <c r="DR25" s="774"/>
      <c r="DS25" s="774"/>
      <c r="DT25" s="774"/>
      <c r="DU25" s="774"/>
      <c r="DV25" s="774"/>
      <c r="DW25" s="774"/>
      <c r="DX25" s="774"/>
      <c r="DY25" s="774"/>
      <c r="DZ25" s="774"/>
      <c r="EA25" s="774"/>
      <c r="EB25" s="774"/>
      <c r="EC25" s="774"/>
      <c r="ED25" s="774"/>
      <c r="EE25" s="774"/>
      <c r="EF25" s="774"/>
      <c r="EG25" s="774"/>
      <c r="EH25" s="774"/>
      <c r="EI25" s="774"/>
      <c r="EJ25" s="774"/>
      <c r="EK25" s="774"/>
      <c r="EL25" s="774"/>
      <c r="EM25" s="774"/>
      <c r="EN25" s="774"/>
      <c r="EO25" s="774"/>
      <c r="EP25" s="774"/>
      <c r="EQ25" s="774"/>
      <c r="ER25" s="774"/>
      <c r="ES25" s="774"/>
      <c r="ET25" s="774"/>
      <c r="EU25" s="774"/>
      <c r="EV25" s="774"/>
      <c r="EW25" s="774"/>
      <c r="EX25" s="774"/>
      <c r="EY25" s="774"/>
      <c r="EZ25" s="774"/>
      <c r="FA25" s="774"/>
      <c r="FB25" s="774"/>
      <c r="FC25" s="774"/>
      <c r="FD25" s="774"/>
      <c r="FE25" s="774"/>
      <c r="FF25" s="774"/>
      <c r="FG25" s="774"/>
      <c r="FH25" s="774"/>
      <c r="FI25" s="774"/>
      <c r="FJ25" s="774"/>
      <c r="FK25" s="774"/>
      <c r="FL25" s="774"/>
      <c r="FM25" s="774"/>
      <c r="FN25" s="774"/>
      <c r="FO25" s="774"/>
      <c r="FP25" s="774"/>
      <c r="FQ25" s="774"/>
      <c r="FR25" s="774"/>
      <c r="FS25" s="774"/>
      <c r="FT25" s="774"/>
      <c r="FU25" s="774"/>
      <c r="FV25" s="774"/>
      <c r="FW25" s="774"/>
      <c r="FX25" s="774"/>
      <c r="FY25" s="774"/>
      <c r="FZ25" s="774"/>
      <c r="GA25" s="774"/>
      <c r="GB25" s="774"/>
      <c r="GC25" s="774"/>
      <c r="GD25" s="774"/>
      <c r="GE25" s="774"/>
      <c r="GF25" s="792" t="s">
        <v>635</v>
      </c>
      <c r="GG25" s="774"/>
      <c r="GH25" s="774"/>
      <c r="GI25" s="774"/>
      <c r="GJ25" s="774"/>
      <c r="GK25" s="774"/>
      <c r="GL25" s="774"/>
      <c r="GM25" s="774"/>
      <c r="GN25" s="774"/>
      <c r="GO25" s="774"/>
      <c r="GP25" s="774"/>
      <c r="GQ25" s="774"/>
    </row>
    <row r="26" customHeight="1" spans="2:199">
      <c r="B26" s="758" t="s">
        <v>486</v>
      </c>
      <c r="C26" s="765">
        <v>1</v>
      </c>
      <c r="D26" s="766" t="s">
        <v>580</v>
      </c>
      <c r="E26" s="772">
        <f>C26*G26*H26</f>
        <v>0.0001</v>
      </c>
      <c r="F26" s="766" t="s">
        <v>577</v>
      </c>
      <c r="G26" s="768">
        <f>SUMIF(DS5:DS23,D26,DT5:DT23)</f>
        <v>0.005</v>
      </c>
      <c r="H26" s="769">
        <f>SUMIF(DT4:EL4,F26,DT5:EL5)</f>
        <v>0.02</v>
      </c>
      <c r="K26" s="774"/>
      <c r="L26" s="774"/>
      <c r="M26" s="774"/>
      <c r="N26" s="774"/>
      <c r="O26" s="774"/>
      <c r="P26" s="774"/>
      <c r="Q26" s="774"/>
      <c r="R26" s="774"/>
      <c r="S26" s="774"/>
      <c r="T26" s="774"/>
      <c r="U26" s="774"/>
      <c r="V26" s="774"/>
      <c r="W26" s="774"/>
      <c r="X26" s="774"/>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c r="BC26" s="774"/>
      <c r="BD26" s="774"/>
      <c r="BE26" s="774"/>
      <c r="BF26" s="774"/>
      <c r="BG26" s="774"/>
      <c r="BH26" s="774"/>
      <c r="BI26" s="774"/>
      <c r="BJ26" s="774"/>
      <c r="BK26" s="774"/>
      <c r="BL26" s="774"/>
      <c r="BM26" s="774"/>
      <c r="BN26" s="774"/>
      <c r="BO26" s="774"/>
      <c r="BP26" s="774"/>
      <c r="BQ26" s="774"/>
      <c r="BR26" s="774"/>
      <c r="BS26" s="774"/>
      <c r="BT26" s="774"/>
      <c r="BU26" s="774"/>
      <c r="BV26" s="774"/>
      <c r="BW26" s="774"/>
      <c r="BX26" s="774"/>
      <c r="BY26" s="774"/>
      <c r="BZ26" s="774"/>
      <c r="CA26" s="774"/>
      <c r="CB26" s="774"/>
      <c r="CC26" s="774"/>
      <c r="CD26" s="788"/>
      <c r="CE26" s="774"/>
      <c r="CF26" s="774"/>
      <c r="CG26" s="774"/>
      <c r="CH26" s="774"/>
      <c r="CI26" s="774"/>
      <c r="CJ26" s="774"/>
      <c r="CK26" s="774"/>
      <c r="CL26" s="774"/>
      <c r="CM26" s="774"/>
      <c r="CN26" s="774"/>
      <c r="CO26" s="774"/>
      <c r="CP26" s="774"/>
      <c r="CQ26" s="774"/>
      <c r="CR26" s="774"/>
      <c r="CS26" s="774"/>
      <c r="CT26" s="774"/>
      <c r="CU26" s="774"/>
      <c r="CV26" s="774"/>
      <c r="CW26" s="774"/>
      <c r="CX26" s="774"/>
      <c r="CY26" s="774"/>
      <c r="CZ26" s="774"/>
      <c r="DA26" s="774"/>
      <c r="DB26" s="774"/>
      <c r="DC26" s="774"/>
      <c r="DD26" s="774"/>
      <c r="DE26" s="774"/>
      <c r="DF26" s="774"/>
      <c r="DG26" s="774"/>
      <c r="DH26" s="774"/>
      <c r="DI26" s="774"/>
      <c r="DJ26" s="774"/>
      <c r="DK26" s="774"/>
      <c r="DL26" s="774"/>
      <c r="DM26" s="774"/>
      <c r="DN26" s="774"/>
      <c r="DO26" s="774"/>
      <c r="DP26" s="774"/>
      <c r="DQ26" s="774"/>
      <c r="DR26" s="774"/>
      <c r="DS26" s="774"/>
      <c r="DT26" s="774"/>
      <c r="DU26" s="774"/>
      <c r="DV26" s="774"/>
      <c r="DW26" s="774"/>
      <c r="DX26" s="774"/>
      <c r="DY26" s="774"/>
      <c r="DZ26" s="774"/>
      <c r="EA26" s="774"/>
      <c r="EB26" s="774"/>
      <c r="EC26" s="774"/>
      <c r="ED26" s="774"/>
      <c r="EE26" s="774"/>
      <c r="EF26" s="774"/>
      <c r="EG26" s="774"/>
      <c r="EH26" s="774"/>
      <c r="EI26" s="774"/>
      <c r="EJ26" s="774"/>
      <c r="EK26" s="774"/>
      <c r="EL26" s="774"/>
      <c r="EM26" s="774"/>
      <c r="EN26" s="774"/>
      <c r="EO26" s="774"/>
      <c r="EP26" s="774"/>
      <c r="EQ26" s="774"/>
      <c r="ER26" s="774"/>
      <c r="ES26" s="774"/>
      <c r="ET26" s="774"/>
      <c r="EU26" s="774"/>
      <c r="EV26" s="774"/>
      <c r="EW26" s="774"/>
      <c r="EX26" s="774"/>
      <c r="EY26" s="774"/>
      <c r="EZ26" s="774"/>
      <c r="FA26" s="774"/>
      <c r="FB26" s="774"/>
      <c r="FC26" s="774"/>
      <c r="FD26" s="774"/>
      <c r="FE26" s="774"/>
      <c r="FF26" s="774"/>
      <c r="FG26" s="774"/>
      <c r="FH26" s="774"/>
      <c r="FI26" s="774"/>
      <c r="FJ26" s="774"/>
      <c r="FK26" s="774"/>
      <c r="FL26" s="774"/>
      <c r="FM26" s="774"/>
      <c r="FN26" s="774"/>
      <c r="FO26" s="774"/>
      <c r="FP26" s="774"/>
      <c r="FQ26" s="774"/>
      <c r="FR26" s="774"/>
      <c r="FS26" s="774"/>
      <c r="FT26" s="774"/>
      <c r="FU26" s="774"/>
      <c r="FV26" s="774"/>
      <c r="FW26" s="774"/>
      <c r="FX26" s="774"/>
      <c r="FY26" s="774"/>
      <c r="FZ26" s="774"/>
      <c r="GA26" s="774"/>
      <c r="GB26" s="774"/>
      <c r="GC26" s="774"/>
      <c r="GD26" s="774"/>
      <c r="GE26" s="774"/>
      <c r="GF26" s="792"/>
      <c r="GG26" s="774"/>
      <c r="GH26" s="774"/>
      <c r="GI26" s="774"/>
      <c r="GJ26" s="774"/>
      <c r="GK26" s="774"/>
      <c r="GL26" s="774"/>
      <c r="GM26" s="774"/>
      <c r="GN26" s="774"/>
      <c r="GO26" s="774"/>
      <c r="GP26" s="774"/>
      <c r="GQ26" s="774"/>
    </row>
    <row r="27" ht="2.1" customHeight="1" spans="2:199">
      <c r="B27" s="773"/>
      <c r="K27" s="774"/>
      <c r="L27" s="774"/>
      <c r="M27" s="774"/>
      <c r="N27" s="774"/>
      <c r="O27" s="774"/>
      <c r="P27" s="774"/>
      <c r="Q27" s="774"/>
      <c r="R27" s="774"/>
      <c r="S27" s="774"/>
      <c r="T27" s="774"/>
      <c r="U27" s="774"/>
      <c r="V27" s="774"/>
      <c r="W27" s="774"/>
      <c r="X27" s="774"/>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c r="BC27" s="774"/>
      <c r="BD27" s="774"/>
      <c r="BE27" s="774"/>
      <c r="BF27" s="774"/>
      <c r="BG27" s="774"/>
      <c r="BH27" s="774"/>
      <c r="BI27" s="774"/>
      <c r="BJ27" s="774"/>
      <c r="BK27" s="774"/>
      <c r="BL27" s="774"/>
      <c r="BM27" s="774"/>
      <c r="BN27" s="774"/>
      <c r="BO27" s="774"/>
      <c r="BP27" s="774"/>
      <c r="BQ27" s="774"/>
      <c r="BR27" s="774"/>
      <c r="BS27" s="774"/>
      <c r="BT27" s="774"/>
      <c r="BU27" s="774"/>
      <c r="BV27" s="774"/>
      <c r="BW27" s="774"/>
      <c r="BX27" s="774"/>
      <c r="BY27" s="774"/>
      <c r="BZ27" s="774"/>
      <c r="CA27" s="774"/>
      <c r="CB27" s="774"/>
      <c r="CC27" s="774"/>
      <c r="CD27" s="788"/>
      <c r="CE27" s="774"/>
      <c r="CF27" s="774"/>
      <c r="CG27" s="774"/>
      <c r="CH27" s="774"/>
      <c r="CI27" s="774"/>
      <c r="CJ27" s="774"/>
      <c r="CK27" s="774"/>
      <c r="CL27" s="774"/>
      <c r="CM27" s="774"/>
      <c r="CN27" s="774"/>
      <c r="CO27" s="774"/>
      <c r="CP27" s="774"/>
      <c r="CQ27" s="774"/>
      <c r="CR27" s="774"/>
      <c r="CS27" s="774"/>
      <c r="CT27" s="774"/>
      <c r="CU27" s="774"/>
      <c r="CV27" s="774"/>
      <c r="CW27" s="774"/>
      <c r="CX27" s="774"/>
      <c r="CY27" s="774"/>
      <c r="CZ27" s="774"/>
      <c r="DA27" s="774"/>
      <c r="DB27" s="774"/>
      <c r="DC27" s="774"/>
      <c r="DD27" s="774"/>
      <c r="DE27" s="774"/>
      <c r="DF27" s="774"/>
      <c r="DG27" s="774"/>
      <c r="DH27" s="774"/>
      <c r="DI27" s="774"/>
      <c r="DJ27" s="774"/>
      <c r="DK27" s="774"/>
      <c r="DL27" s="774"/>
      <c r="DM27" s="774"/>
      <c r="DN27" s="774"/>
      <c r="DO27" s="774"/>
      <c r="DP27" s="774"/>
      <c r="DQ27" s="774"/>
      <c r="DR27" s="774"/>
      <c r="DS27" s="774"/>
      <c r="DT27" s="774"/>
      <c r="DU27" s="774"/>
      <c r="DV27" s="774"/>
      <c r="DW27" s="774"/>
      <c r="DX27" s="774"/>
      <c r="DY27" s="774"/>
      <c r="DZ27" s="774"/>
      <c r="EA27" s="774"/>
      <c r="EB27" s="774"/>
      <c r="EC27" s="774"/>
      <c r="ED27" s="774"/>
      <c r="EE27" s="774"/>
      <c r="EF27" s="774"/>
      <c r="EG27" s="774"/>
      <c r="EH27" s="774"/>
      <c r="EI27" s="774"/>
      <c r="EJ27" s="774"/>
      <c r="EK27" s="774"/>
      <c r="EL27" s="774"/>
      <c r="EM27" s="774"/>
      <c r="EN27" s="774"/>
      <c r="EO27" s="774"/>
      <c r="EP27" s="774"/>
      <c r="EQ27" s="774"/>
      <c r="ER27" s="774"/>
      <c r="ES27" s="774"/>
      <c r="ET27" s="774"/>
      <c r="EU27" s="774"/>
      <c r="EV27" s="774"/>
      <c r="EW27" s="774"/>
      <c r="EX27" s="774"/>
      <c r="EY27" s="774"/>
      <c r="EZ27" s="774"/>
      <c r="FA27" s="774"/>
      <c r="FB27" s="774"/>
      <c r="FC27" s="774"/>
      <c r="FD27" s="774"/>
      <c r="FE27" s="774"/>
      <c r="FF27" s="774"/>
      <c r="FG27" s="774"/>
      <c r="FH27" s="774"/>
      <c r="FI27" s="774"/>
      <c r="FJ27" s="774"/>
      <c r="FK27" s="774"/>
      <c r="FL27" s="774"/>
      <c r="FM27" s="774"/>
      <c r="FN27" s="774"/>
      <c r="FO27" s="774"/>
      <c r="FP27" s="774"/>
      <c r="FQ27" s="774"/>
      <c r="FR27" s="774"/>
      <c r="FS27" s="774"/>
      <c r="FT27" s="774"/>
      <c r="FU27" s="774"/>
      <c r="FV27" s="774"/>
      <c r="FW27" s="774"/>
      <c r="FX27" s="774"/>
      <c r="FY27" s="774"/>
      <c r="FZ27" s="774"/>
      <c r="GA27" s="774"/>
      <c r="GB27" s="774"/>
      <c r="GC27" s="774"/>
      <c r="GD27" s="774"/>
      <c r="GE27" s="774"/>
      <c r="GF27" s="792" t="s">
        <v>636</v>
      </c>
      <c r="GG27" s="774"/>
      <c r="GH27" s="774"/>
      <c r="GI27" s="774"/>
      <c r="GJ27" s="774"/>
      <c r="GK27" s="774"/>
      <c r="GL27" s="774"/>
      <c r="GM27" s="774"/>
      <c r="GN27" s="774"/>
      <c r="GO27" s="774"/>
      <c r="GP27" s="774"/>
      <c r="GQ27" s="774"/>
    </row>
    <row r="28" ht="2.1" customHeight="1" spans="11:199">
      <c r="K28" s="774"/>
      <c r="L28" s="774"/>
      <c r="M28" s="774"/>
      <c r="N28" s="774"/>
      <c r="O28" s="774"/>
      <c r="P28" s="774"/>
      <c r="Q28" s="774"/>
      <c r="R28" s="774"/>
      <c r="S28" s="774"/>
      <c r="T28" s="774"/>
      <c r="U28" s="774"/>
      <c r="V28" s="774"/>
      <c r="W28" s="774"/>
      <c r="X28" s="774"/>
      <c r="Y28" s="774"/>
      <c r="Z28" s="774"/>
      <c r="AA28" s="774"/>
      <c r="AB28" s="774"/>
      <c r="AC28" s="774"/>
      <c r="AD28" s="774"/>
      <c r="AE28" s="774"/>
      <c r="AF28" s="774"/>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c r="BC28" s="774"/>
      <c r="BD28" s="774"/>
      <c r="BE28" s="774"/>
      <c r="BF28" s="774"/>
      <c r="BG28" s="774"/>
      <c r="BH28" s="774"/>
      <c r="BI28" s="774"/>
      <c r="BJ28" s="774"/>
      <c r="BK28" s="774"/>
      <c r="BL28" s="774"/>
      <c r="BM28" s="774"/>
      <c r="BN28" s="774"/>
      <c r="BO28" s="774"/>
      <c r="BP28" s="774"/>
      <c r="BQ28" s="774"/>
      <c r="BR28" s="774"/>
      <c r="BS28" s="774"/>
      <c r="BT28" s="774"/>
      <c r="BU28" s="774"/>
      <c r="BV28" s="774"/>
      <c r="BW28" s="774"/>
      <c r="BX28" s="774"/>
      <c r="BY28" s="774"/>
      <c r="BZ28" s="774"/>
      <c r="CA28" s="774"/>
      <c r="CB28" s="774"/>
      <c r="CC28" s="774"/>
      <c r="CD28" s="788"/>
      <c r="CE28" s="774"/>
      <c r="CF28" s="774"/>
      <c r="CG28" s="774"/>
      <c r="CH28" s="774"/>
      <c r="CI28" s="774"/>
      <c r="CJ28" s="774"/>
      <c r="CK28" s="774"/>
      <c r="CL28" s="774"/>
      <c r="CM28" s="774"/>
      <c r="CN28" s="774"/>
      <c r="CO28" s="774"/>
      <c r="CP28" s="774"/>
      <c r="CQ28" s="774"/>
      <c r="CR28" s="774"/>
      <c r="CS28" s="774"/>
      <c r="CT28" s="774"/>
      <c r="CU28" s="774"/>
      <c r="CV28" s="774"/>
      <c r="CW28" s="774"/>
      <c r="CX28" s="774"/>
      <c r="CY28" s="774"/>
      <c r="CZ28" s="774"/>
      <c r="DA28" s="774"/>
      <c r="DB28" s="774"/>
      <c r="DC28" s="774"/>
      <c r="DD28" s="774"/>
      <c r="DE28" s="774"/>
      <c r="DF28" s="774"/>
      <c r="DG28" s="774"/>
      <c r="DH28" s="774"/>
      <c r="DI28" s="774"/>
      <c r="DJ28" s="774"/>
      <c r="DK28" s="774"/>
      <c r="DL28" s="774"/>
      <c r="DM28" s="774"/>
      <c r="DN28" s="774"/>
      <c r="DO28" s="774"/>
      <c r="DP28" s="774"/>
      <c r="DQ28" s="774"/>
      <c r="DR28" s="774"/>
      <c r="DS28" s="774"/>
      <c r="DT28" s="774"/>
      <c r="DU28" s="774"/>
      <c r="DV28" s="774"/>
      <c r="DW28" s="774"/>
      <c r="DX28" s="774"/>
      <c r="DY28" s="774"/>
      <c r="DZ28" s="774"/>
      <c r="EA28" s="774"/>
      <c r="EB28" s="774"/>
      <c r="EC28" s="774"/>
      <c r="ED28" s="774"/>
      <c r="EE28" s="774"/>
      <c r="EF28" s="774"/>
      <c r="EG28" s="774"/>
      <c r="EH28" s="774"/>
      <c r="EI28" s="774"/>
      <c r="EJ28" s="774"/>
      <c r="EK28" s="774"/>
      <c r="EL28" s="774"/>
      <c r="EM28" s="774"/>
      <c r="EN28" s="774"/>
      <c r="EO28" s="774"/>
      <c r="EP28" s="774"/>
      <c r="EQ28" s="774"/>
      <c r="ER28" s="774"/>
      <c r="ES28" s="774"/>
      <c r="ET28" s="774"/>
      <c r="EU28" s="774"/>
      <c r="EV28" s="774"/>
      <c r="EW28" s="774"/>
      <c r="EX28" s="774"/>
      <c r="EY28" s="774"/>
      <c r="EZ28" s="774"/>
      <c r="FA28" s="774"/>
      <c r="FB28" s="774"/>
      <c r="FC28" s="774"/>
      <c r="FD28" s="774"/>
      <c r="FE28" s="774"/>
      <c r="FF28" s="774"/>
      <c r="FG28" s="774"/>
      <c r="FH28" s="774"/>
      <c r="FI28" s="774"/>
      <c r="FJ28" s="774"/>
      <c r="FK28" s="774"/>
      <c r="FL28" s="774"/>
      <c r="FM28" s="774"/>
      <c r="FN28" s="774"/>
      <c r="FO28" s="774"/>
      <c r="FP28" s="774"/>
      <c r="FQ28" s="774"/>
      <c r="FR28" s="774"/>
      <c r="FS28" s="774"/>
      <c r="FT28" s="774"/>
      <c r="FU28" s="774"/>
      <c r="FV28" s="774"/>
      <c r="FW28" s="774"/>
      <c r="FX28" s="774"/>
      <c r="FY28" s="774"/>
      <c r="FZ28" s="774"/>
      <c r="GA28" s="774"/>
      <c r="GB28" s="774"/>
      <c r="GC28" s="774"/>
      <c r="GD28" s="774"/>
      <c r="GE28" s="774"/>
      <c r="GF28" s="792" t="s">
        <v>637</v>
      </c>
      <c r="GG28" s="774"/>
      <c r="GH28" s="774"/>
      <c r="GI28" s="774"/>
      <c r="GJ28" s="774"/>
      <c r="GK28" s="774"/>
      <c r="GL28" s="774"/>
      <c r="GM28" s="774"/>
      <c r="GN28" s="774"/>
      <c r="GO28" s="774"/>
      <c r="GP28" s="774"/>
      <c r="GQ28" s="774"/>
    </row>
    <row r="29" ht="2.1" customHeight="1" spans="11:199">
      <c r="K29" s="774"/>
      <c r="L29" s="774"/>
      <c r="M29" s="774"/>
      <c r="N29" s="774"/>
      <c r="O29" s="774"/>
      <c r="P29" s="774"/>
      <c r="Q29" s="774"/>
      <c r="R29" s="774"/>
      <c r="S29" s="774"/>
      <c r="T29" s="774"/>
      <c r="U29" s="774"/>
      <c r="V29" s="774"/>
      <c r="W29" s="774"/>
      <c r="X29" s="774"/>
      <c r="Y29" s="774"/>
      <c r="Z29" s="774"/>
      <c r="AA29" s="774"/>
      <c r="AB29" s="774"/>
      <c r="AC29" s="774"/>
      <c r="AD29" s="774"/>
      <c r="AE29" s="774"/>
      <c r="AF29" s="774"/>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c r="BC29" s="774"/>
      <c r="BD29" s="774"/>
      <c r="BE29" s="774"/>
      <c r="BF29" s="774"/>
      <c r="BG29" s="774"/>
      <c r="BH29" s="774"/>
      <c r="BI29" s="774"/>
      <c r="BJ29" s="774"/>
      <c r="BK29" s="774"/>
      <c r="BL29" s="774"/>
      <c r="BM29" s="774"/>
      <c r="BN29" s="774"/>
      <c r="BO29" s="774"/>
      <c r="BP29" s="774"/>
      <c r="BQ29" s="774"/>
      <c r="BR29" s="774"/>
      <c r="BS29" s="774"/>
      <c r="BT29" s="774"/>
      <c r="BU29" s="774"/>
      <c r="BV29" s="774"/>
      <c r="BW29" s="774"/>
      <c r="BX29" s="774"/>
      <c r="BY29" s="774"/>
      <c r="BZ29" s="774"/>
      <c r="CA29" s="774"/>
      <c r="CB29" s="774"/>
      <c r="CC29" s="774"/>
      <c r="CD29" s="788"/>
      <c r="CE29" s="774"/>
      <c r="CF29" s="774"/>
      <c r="CG29" s="774"/>
      <c r="CH29" s="774"/>
      <c r="CI29" s="774"/>
      <c r="CJ29" s="774"/>
      <c r="CK29" s="774"/>
      <c r="CL29" s="774"/>
      <c r="CM29" s="774"/>
      <c r="CN29" s="774"/>
      <c r="CO29" s="774"/>
      <c r="CP29" s="774"/>
      <c r="CQ29" s="774"/>
      <c r="CR29" s="774"/>
      <c r="CS29" s="774"/>
      <c r="CT29" s="774"/>
      <c r="CU29" s="774"/>
      <c r="CV29" s="774"/>
      <c r="CW29" s="774"/>
      <c r="CX29" s="774"/>
      <c r="CY29" s="774"/>
      <c r="CZ29" s="774"/>
      <c r="DA29" s="774"/>
      <c r="DB29" s="774"/>
      <c r="DC29" s="774"/>
      <c r="DD29" s="774"/>
      <c r="DE29" s="774"/>
      <c r="DF29" s="774"/>
      <c r="DG29" s="774"/>
      <c r="DH29" s="774"/>
      <c r="DI29" s="774"/>
      <c r="DJ29" s="774"/>
      <c r="DK29" s="774"/>
      <c r="DL29" s="774"/>
      <c r="DM29" s="774"/>
      <c r="DN29" s="774"/>
      <c r="DO29" s="774"/>
      <c r="DP29" s="774"/>
      <c r="DQ29" s="774"/>
      <c r="DR29" s="774"/>
      <c r="DS29" s="774"/>
      <c r="DT29" s="774"/>
      <c r="DU29" s="774"/>
      <c r="DV29" s="774"/>
      <c r="DW29" s="774"/>
      <c r="DX29" s="774"/>
      <c r="DY29" s="774"/>
      <c r="DZ29" s="774"/>
      <c r="EA29" s="774"/>
      <c r="EB29" s="774"/>
      <c r="EC29" s="774"/>
      <c r="ED29" s="774"/>
      <c r="EE29" s="774"/>
      <c r="EF29" s="774"/>
      <c r="EG29" s="774"/>
      <c r="EH29" s="774"/>
      <c r="EI29" s="774"/>
      <c r="EJ29" s="774"/>
      <c r="EK29" s="774"/>
      <c r="EL29" s="774"/>
      <c r="EM29" s="774"/>
      <c r="EN29" s="774"/>
      <c r="EO29" s="774"/>
      <c r="EP29" s="774"/>
      <c r="EQ29" s="774"/>
      <c r="ER29" s="774"/>
      <c r="ES29" s="774"/>
      <c r="ET29" s="774"/>
      <c r="EU29" s="774"/>
      <c r="EV29" s="774"/>
      <c r="EW29" s="774"/>
      <c r="EX29" s="774"/>
      <c r="EY29" s="774"/>
      <c r="EZ29" s="774"/>
      <c r="FA29" s="774"/>
      <c r="FB29" s="774"/>
      <c r="FC29" s="774"/>
      <c r="FD29" s="774"/>
      <c r="FE29" s="774"/>
      <c r="FF29" s="774"/>
      <c r="FG29" s="774"/>
      <c r="FH29" s="774"/>
      <c r="FI29" s="774"/>
      <c r="FJ29" s="774"/>
      <c r="FK29" s="774"/>
      <c r="FL29" s="774"/>
      <c r="FM29" s="774"/>
      <c r="FN29" s="774"/>
      <c r="FO29" s="774"/>
      <c r="FP29" s="774"/>
      <c r="FQ29" s="774"/>
      <c r="FR29" s="774"/>
      <c r="FS29" s="774"/>
      <c r="FT29" s="774"/>
      <c r="FU29" s="774"/>
      <c r="FV29" s="774"/>
      <c r="FW29" s="774"/>
      <c r="FX29" s="774"/>
      <c r="FY29" s="774"/>
      <c r="FZ29" s="774"/>
      <c r="GA29" s="774"/>
      <c r="GB29" s="774"/>
      <c r="GC29" s="774"/>
      <c r="GD29" s="774"/>
      <c r="GE29" s="774"/>
      <c r="GF29" s="792" t="s">
        <v>638</v>
      </c>
      <c r="GG29" s="774"/>
      <c r="GH29" s="774"/>
      <c r="GI29" s="774"/>
      <c r="GJ29" s="774"/>
      <c r="GK29" s="774"/>
      <c r="GL29" s="774"/>
      <c r="GM29" s="774"/>
      <c r="GN29" s="774"/>
      <c r="GO29" s="774"/>
      <c r="GP29" s="774"/>
      <c r="GQ29" s="774"/>
    </row>
    <row r="30" customHeight="1" spans="2:199">
      <c r="B30" s="758" t="s">
        <v>639</v>
      </c>
      <c r="C30" s="765">
        <v>1000</v>
      </c>
      <c r="D30" s="766" t="s">
        <v>581</v>
      </c>
      <c r="E30" s="772">
        <f>C30*G30*H30</f>
        <v>1</v>
      </c>
      <c r="F30" s="766" t="s">
        <v>582</v>
      </c>
      <c r="G30" s="768">
        <f>SUMIF(ER5:ER20,D30,ES5:ES20)</f>
        <v>1</v>
      </c>
      <c r="H30" s="769">
        <f>SUMIF(ES4:FB4,F30,ES5:FB5)</f>
        <v>0.001</v>
      </c>
      <c r="K30" s="774"/>
      <c r="L30" s="774"/>
      <c r="M30" s="774"/>
      <c r="N30" s="774"/>
      <c r="O30" s="774"/>
      <c r="P30" s="774"/>
      <c r="Q30" s="774"/>
      <c r="R30" s="774"/>
      <c r="S30" s="774"/>
      <c r="T30" s="774"/>
      <c r="U30" s="774"/>
      <c r="V30" s="774"/>
      <c r="W30" s="774"/>
      <c r="X30" s="774"/>
      <c r="Y30" s="774"/>
      <c r="Z30" s="774"/>
      <c r="AA30" s="774"/>
      <c r="AB30" s="774"/>
      <c r="AC30" s="774"/>
      <c r="AD30" s="774"/>
      <c r="AE30" s="774"/>
      <c r="AF30" s="774"/>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c r="BC30" s="774"/>
      <c r="BD30" s="774"/>
      <c r="BE30" s="774"/>
      <c r="BF30" s="774"/>
      <c r="BG30" s="774"/>
      <c r="BH30" s="774"/>
      <c r="BI30" s="774"/>
      <c r="BJ30" s="774"/>
      <c r="BK30" s="774"/>
      <c r="BL30" s="774"/>
      <c r="BM30" s="774"/>
      <c r="BN30" s="774"/>
      <c r="BO30" s="774"/>
      <c r="BP30" s="774"/>
      <c r="BQ30" s="774"/>
      <c r="BR30" s="774"/>
      <c r="BS30" s="774"/>
      <c r="BT30" s="774"/>
      <c r="BU30" s="774"/>
      <c r="BV30" s="774"/>
      <c r="BW30" s="774"/>
      <c r="BX30" s="774"/>
      <c r="BY30" s="774"/>
      <c r="BZ30" s="774"/>
      <c r="CA30" s="774"/>
      <c r="CB30" s="774"/>
      <c r="CC30" s="774"/>
      <c r="CD30" s="788"/>
      <c r="CE30" s="774"/>
      <c r="CF30" s="774"/>
      <c r="CG30" s="774"/>
      <c r="CH30" s="774"/>
      <c r="CI30" s="774"/>
      <c r="CJ30" s="774"/>
      <c r="CK30" s="774"/>
      <c r="CL30" s="774"/>
      <c r="CM30" s="774"/>
      <c r="CN30" s="774"/>
      <c r="CO30" s="774"/>
      <c r="CP30" s="774"/>
      <c r="CQ30" s="774"/>
      <c r="CR30" s="774"/>
      <c r="CS30" s="774"/>
      <c r="CT30" s="774"/>
      <c r="CU30" s="774"/>
      <c r="CV30" s="774"/>
      <c r="CW30" s="774"/>
      <c r="CX30" s="774"/>
      <c r="CY30" s="774"/>
      <c r="CZ30" s="774"/>
      <c r="DA30" s="774"/>
      <c r="DB30" s="774"/>
      <c r="DC30" s="774"/>
      <c r="DD30" s="774"/>
      <c r="DE30" s="774"/>
      <c r="DF30" s="774"/>
      <c r="DG30" s="774"/>
      <c r="DH30" s="774"/>
      <c r="DI30" s="774"/>
      <c r="DJ30" s="774"/>
      <c r="DK30" s="774"/>
      <c r="DL30" s="774"/>
      <c r="DM30" s="774"/>
      <c r="DN30" s="774"/>
      <c r="DO30" s="774"/>
      <c r="DP30" s="774"/>
      <c r="DQ30" s="774"/>
      <c r="DR30" s="774"/>
      <c r="DS30" s="774"/>
      <c r="DT30" s="774"/>
      <c r="DU30" s="774"/>
      <c r="DV30" s="774"/>
      <c r="DW30" s="774"/>
      <c r="DX30" s="774"/>
      <c r="DY30" s="774"/>
      <c r="DZ30" s="774"/>
      <c r="EA30" s="774"/>
      <c r="EB30" s="774"/>
      <c r="EC30" s="774"/>
      <c r="ED30" s="774"/>
      <c r="EE30" s="774"/>
      <c r="EF30" s="774"/>
      <c r="EG30" s="774"/>
      <c r="EH30" s="774"/>
      <c r="EI30" s="774"/>
      <c r="EJ30" s="774"/>
      <c r="EK30" s="774"/>
      <c r="EL30" s="774"/>
      <c r="EM30" s="774"/>
      <c r="EN30" s="774"/>
      <c r="EO30" s="774"/>
      <c r="EP30" s="774"/>
      <c r="EQ30" s="774"/>
      <c r="ER30" s="774"/>
      <c r="ES30" s="774"/>
      <c r="ET30" s="774"/>
      <c r="EU30" s="774"/>
      <c r="EV30" s="774"/>
      <c r="EW30" s="774"/>
      <c r="EX30" s="774"/>
      <c r="EY30" s="774"/>
      <c r="EZ30" s="774"/>
      <c r="FA30" s="774"/>
      <c r="FB30" s="774"/>
      <c r="FC30" s="774"/>
      <c r="FD30" s="774"/>
      <c r="FE30" s="774"/>
      <c r="FF30" s="774"/>
      <c r="FG30" s="774"/>
      <c r="FH30" s="774"/>
      <c r="FI30" s="774"/>
      <c r="FJ30" s="774"/>
      <c r="FK30" s="774"/>
      <c r="FL30" s="774"/>
      <c r="FM30" s="774"/>
      <c r="FN30" s="774"/>
      <c r="FO30" s="774"/>
      <c r="FP30" s="774"/>
      <c r="FQ30" s="774"/>
      <c r="FR30" s="774"/>
      <c r="FS30" s="774"/>
      <c r="FT30" s="774"/>
      <c r="FU30" s="774"/>
      <c r="FV30" s="774"/>
      <c r="FW30" s="774"/>
      <c r="FX30" s="774"/>
      <c r="FY30" s="774"/>
      <c r="FZ30" s="774"/>
      <c r="GA30" s="774"/>
      <c r="GB30" s="774"/>
      <c r="GC30" s="774"/>
      <c r="GD30" s="774"/>
      <c r="GE30" s="774"/>
      <c r="GF30" s="792" t="s">
        <v>640</v>
      </c>
      <c r="GG30" s="774"/>
      <c r="GH30" s="774"/>
      <c r="GI30" s="774"/>
      <c r="GJ30" s="774"/>
      <c r="GK30" s="774"/>
      <c r="GL30" s="774"/>
      <c r="GM30" s="774"/>
      <c r="GN30" s="774"/>
      <c r="GO30" s="774"/>
      <c r="GP30" s="774"/>
      <c r="GQ30" s="774"/>
    </row>
    <row r="31" ht="2.1" customHeight="1" spans="11:199">
      <c r="K31" s="774"/>
      <c r="L31" s="774"/>
      <c r="M31" s="774"/>
      <c r="N31" s="774"/>
      <c r="O31" s="774"/>
      <c r="P31" s="774"/>
      <c r="Q31" s="774"/>
      <c r="R31" s="774"/>
      <c r="S31" s="774"/>
      <c r="T31" s="774"/>
      <c r="U31" s="774"/>
      <c r="V31" s="774"/>
      <c r="W31" s="774"/>
      <c r="X31" s="774"/>
      <c r="Y31" s="774"/>
      <c r="Z31" s="774"/>
      <c r="AA31" s="774"/>
      <c r="AB31" s="774"/>
      <c r="AC31" s="774"/>
      <c r="AD31" s="774"/>
      <c r="AE31" s="774"/>
      <c r="AF31" s="774"/>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c r="BC31" s="774"/>
      <c r="BD31" s="774"/>
      <c r="BE31" s="774"/>
      <c r="BF31" s="774"/>
      <c r="BG31" s="774"/>
      <c r="BH31" s="774"/>
      <c r="BI31" s="774"/>
      <c r="BJ31" s="774"/>
      <c r="BK31" s="774"/>
      <c r="BL31" s="774"/>
      <c r="BM31" s="774"/>
      <c r="BN31" s="774"/>
      <c r="BO31" s="774"/>
      <c r="BP31" s="774"/>
      <c r="BQ31" s="774"/>
      <c r="BR31" s="774"/>
      <c r="BS31" s="774"/>
      <c r="BT31" s="774"/>
      <c r="BU31" s="774"/>
      <c r="BV31" s="774"/>
      <c r="BW31" s="774"/>
      <c r="BX31" s="774"/>
      <c r="BY31" s="774"/>
      <c r="BZ31" s="774"/>
      <c r="CA31" s="774"/>
      <c r="CB31" s="774"/>
      <c r="CC31" s="774"/>
      <c r="CD31" s="788"/>
      <c r="CE31" s="774"/>
      <c r="CF31" s="774"/>
      <c r="CG31" s="774"/>
      <c r="CH31" s="774"/>
      <c r="CI31" s="774"/>
      <c r="CJ31" s="774"/>
      <c r="CK31" s="774"/>
      <c r="CL31" s="774"/>
      <c r="CM31" s="774"/>
      <c r="CN31" s="774"/>
      <c r="CO31" s="774"/>
      <c r="CP31" s="774"/>
      <c r="CQ31" s="774"/>
      <c r="CR31" s="774"/>
      <c r="CS31" s="774"/>
      <c r="CT31" s="774"/>
      <c r="CU31" s="774"/>
      <c r="CV31" s="774"/>
      <c r="CW31" s="774"/>
      <c r="CX31" s="774"/>
      <c r="CY31" s="774"/>
      <c r="CZ31" s="774"/>
      <c r="DA31" s="774"/>
      <c r="DB31" s="774"/>
      <c r="DC31" s="774"/>
      <c r="DD31" s="774"/>
      <c r="DE31" s="774"/>
      <c r="DF31" s="774"/>
      <c r="DG31" s="774"/>
      <c r="DH31" s="774"/>
      <c r="DI31" s="774"/>
      <c r="DJ31" s="774"/>
      <c r="DK31" s="774"/>
      <c r="DL31" s="774"/>
      <c r="DM31" s="774"/>
      <c r="DN31" s="774"/>
      <c r="DO31" s="774"/>
      <c r="DP31" s="774"/>
      <c r="DQ31" s="774"/>
      <c r="DR31" s="774"/>
      <c r="DS31" s="774"/>
      <c r="DT31" s="774"/>
      <c r="DU31" s="774"/>
      <c r="DV31" s="774"/>
      <c r="DW31" s="774"/>
      <c r="DX31" s="774"/>
      <c r="DY31" s="774"/>
      <c r="DZ31" s="774"/>
      <c r="EA31" s="774"/>
      <c r="EB31" s="774"/>
      <c r="EC31" s="774"/>
      <c r="ED31" s="774"/>
      <c r="EE31" s="774"/>
      <c r="EF31" s="774"/>
      <c r="EG31" s="774"/>
      <c r="EH31" s="774"/>
      <c r="EI31" s="774"/>
      <c r="EJ31" s="774"/>
      <c r="EK31" s="774"/>
      <c r="EL31" s="774"/>
      <c r="EM31" s="774"/>
      <c r="EN31" s="774"/>
      <c r="EO31" s="774"/>
      <c r="EP31" s="774"/>
      <c r="EQ31" s="774"/>
      <c r="ER31" s="774"/>
      <c r="ES31" s="774"/>
      <c r="ET31" s="774"/>
      <c r="EU31" s="774"/>
      <c r="EV31" s="774"/>
      <c r="EW31" s="774"/>
      <c r="EX31" s="774"/>
      <c r="EY31" s="774"/>
      <c r="EZ31" s="774"/>
      <c r="FA31" s="774"/>
      <c r="FB31" s="774"/>
      <c r="FC31" s="774"/>
      <c r="FD31" s="774"/>
      <c r="FE31" s="774"/>
      <c r="FF31" s="774"/>
      <c r="FG31" s="774"/>
      <c r="FH31" s="774"/>
      <c r="FI31" s="774"/>
      <c r="FJ31" s="774"/>
      <c r="FK31" s="774"/>
      <c r="FL31" s="774"/>
      <c r="FM31" s="774"/>
      <c r="FN31" s="774"/>
      <c r="FO31" s="774"/>
      <c r="FP31" s="774"/>
      <c r="FQ31" s="774"/>
      <c r="FR31" s="774"/>
      <c r="FS31" s="774"/>
      <c r="FT31" s="774"/>
      <c r="FU31" s="774"/>
      <c r="FV31" s="774"/>
      <c r="FW31" s="774"/>
      <c r="FX31" s="774"/>
      <c r="FY31" s="774"/>
      <c r="FZ31" s="774"/>
      <c r="GA31" s="774"/>
      <c r="GB31" s="774"/>
      <c r="GC31" s="774"/>
      <c r="GD31" s="774"/>
      <c r="GE31" s="774"/>
      <c r="GF31" s="792" t="s">
        <v>641</v>
      </c>
      <c r="GG31" s="774"/>
      <c r="GH31" s="774"/>
      <c r="GI31" s="774"/>
      <c r="GJ31" s="774"/>
      <c r="GK31" s="774"/>
      <c r="GL31" s="774"/>
      <c r="GM31" s="774"/>
      <c r="GN31" s="774"/>
      <c r="GO31" s="774"/>
      <c r="GP31" s="774"/>
      <c r="GQ31" s="774"/>
    </row>
    <row r="32" ht="2.1" customHeight="1" spans="11:199">
      <c r="K32" s="774"/>
      <c r="L32" s="774"/>
      <c r="M32" s="774"/>
      <c r="N32" s="774"/>
      <c r="O32" s="774"/>
      <c r="P32" s="774"/>
      <c r="Q32" s="774"/>
      <c r="R32" s="774"/>
      <c r="S32" s="774"/>
      <c r="T32" s="774"/>
      <c r="U32" s="774"/>
      <c r="V32" s="774"/>
      <c r="W32" s="774"/>
      <c r="X32" s="774"/>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c r="BC32" s="774"/>
      <c r="BD32" s="774"/>
      <c r="BE32" s="774"/>
      <c r="BF32" s="774"/>
      <c r="BG32" s="774"/>
      <c r="BH32" s="774"/>
      <c r="BI32" s="774"/>
      <c r="BJ32" s="774"/>
      <c r="BK32" s="774"/>
      <c r="BL32" s="774"/>
      <c r="BM32" s="774"/>
      <c r="BN32" s="774"/>
      <c r="BO32" s="774"/>
      <c r="BP32" s="774"/>
      <c r="BQ32" s="774"/>
      <c r="BR32" s="774"/>
      <c r="BS32" s="774"/>
      <c r="BT32" s="774"/>
      <c r="BU32" s="774"/>
      <c r="BV32" s="774"/>
      <c r="BW32" s="774"/>
      <c r="BX32" s="774"/>
      <c r="BY32" s="774"/>
      <c r="BZ32" s="774"/>
      <c r="CA32" s="774"/>
      <c r="CB32" s="774"/>
      <c r="CC32" s="774"/>
      <c r="CD32" s="788"/>
      <c r="CE32" s="774"/>
      <c r="CF32" s="774"/>
      <c r="CG32" s="774"/>
      <c r="CH32" s="774"/>
      <c r="CI32" s="774"/>
      <c r="CJ32" s="774"/>
      <c r="CK32" s="774"/>
      <c r="CL32" s="774"/>
      <c r="CM32" s="774"/>
      <c r="CN32" s="774"/>
      <c r="CO32" s="774"/>
      <c r="CP32" s="774"/>
      <c r="CQ32" s="774"/>
      <c r="CR32" s="774"/>
      <c r="CS32" s="774"/>
      <c r="CT32" s="774"/>
      <c r="CU32" s="774"/>
      <c r="CV32" s="774"/>
      <c r="CW32" s="774"/>
      <c r="CX32" s="774"/>
      <c r="CY32" s="774"/>
      <c r="CZ32" s="774"/>
      <c r="DA32" s="774"/>
      <c r="DB32" s="774"/>
      <c r="DC32" s="774"/>
      <c r="DD32" s="774"/>
      <c r="DE32" s="774"/>
      <c r="DF32" s="774"/>
      <c r="DG32" s="774"/>
      <c r="DH32" s="774"/>
      <c r="DI32" s="774"/>
      <c r="DJ32" s="774"/>
      <c r="DK32" s="774"/>
      <c r="DL32" s="774"/>
      <c r="DM32" s="774"/>
      <c r="DN32" s="774"/>
      <c r="DO32" s="774"/>
      <c r="DP32" s="774"/>
      <c r="DQ32" s="774"/>
      <c r="DR32" s="774"/>
      <c r="DS32" s="774"/>
      <c r="DT32" s="774"/>
      <c r="DU32" s="774"/>
      <c r="DV32" s="774"/>
      <c r="DW32" s="774"/>
      <c r="DX32" s="774"/>
      <c r="DY32" s="774"/>
      <c r="DZ32" s="774"/>
      <c r="EA32" s="774"/>
      <c r="EB32" s="774"/>
      <c r="EC32" s="774"/>
      <c r="ED32" s="774"/>
      <c r="EE32" s="774"/>
      <c r="EF32" s="774"/>
      <c r="EG32" s="774"/>
      <c r="EH32" s="774"/>
      <c r="EI32" s="774"/>
      <c r="EJ32" s="774"/>
      <c r="EK32" s="774"/>
      <c r="EL32" s="774"/>
      <c r="EM32" s="774"/>
      <c r="EN32" s="774"/>
      <c r="EO32" s="774"/>
      <c r="EP32" s="774"/>
      <c r="EQ32" s="774"/>
      <c r="ER32" s="774"/>
      <c r="ES32" s="774"/>
      <c r="ET32" s="774"/>
      <c r="EU32" s="774"/>
      <c r="EV32" s="774"/>
      <c r="EW32" s="774"/>
      <c r="EX32" s="774"/>
      <c r="EY32" s="774"/>
      <c r="EZ32" s="774"/>
      <c r="FA32" s="774"/>
      <c r="FB32" s="774"/>
      <c r="FC32" s="774"/>
      <c r="FD32" s="774"/>
      <c r="FE32" s="774"/>
      <c r="FF32" s="774"/>
      <c r="FG32" s="774"/>
      <c r="FH32" s="774"/>
      <c r="FI32" s="774"/>
      <c r="FJ32" s="774"/>
      <c r="FK32" s="774"/>
      <c r="FL32" s="774"/>
      <c r="FM32" s="774"/>
      <c r="FN32" s="774"/>
      <c r="FO32" s="774"/>
      <c r="FP32" s="774"/>
      <c r="FQ32" s="774"/>
      <c r="FR32" s="774"/>
      <c r="FS32" s="774"/>
      <c r="FT32" s="774"/>
      <c r="FU32" s="774"/>
      <c r="FV32" s="774"/>
      <c r="FW32" s="774"/>
      <c r="FX32" s="774"/>
      <c r="FY32" s="774"/>
      <c r="FZ32" s="774"/>
      <c r="GA32" s="774"/>
      <c r="GB32" s="774"/>
      <c r="GC32" s="774"/>
      <c r="GD32" s="774"/>
      <c r="GE32" s="774"/>
      <c r="GF32" s="792" t="s">
        <v>642</v>
      </c>
      <c r="GG32" s="774"/>
      <c r="GH32" s="774"/>
      <c r="GI32" s="774"/>
      <c r="GJ32" s="774"/>
      <c r="GK32" s="774"/>
      <c r="GL32" s="774"/>
      <c r="GM32" s="774"/>
      <c r="GN32" s="774"/>
      <c r="GO32" s="774"/>
      <c r="GP32" s="774"/>
      <c r="GQ32" s="774"/>
    </row>
    <row r="33" ht="2.1" customHeight="1" spans="11:199">
      <c r="K33" s="774"/>
      <c r="L33" s="774"/>
      <c r="M33" s="774"/>
      <c r="N33" s="774"/>
      <c r="O33" s="774"/>
      <c r="P33" s="774"/>
      <c r="Q33" s="774"/>
      <c r="R33" s="774"/>
      <c r="S33" s="774"/>
      <c r="T33" s="774"/>
      <c r="U33" s="774"/>
      <c r="V33" s="774"/>
      <c r="W33" s="774"/>
      <c r="X33" s="774"/>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c r="BC33" s="774"/>
      <c r="BD33" s="774"/>
      <c r="BE33" s="774"/>
      <c r="BF33" s="774"/>
      <c r="BG33" s="774"/>
      <c r="BH33" s="774"/>
      <c r="BI33" s="774"/>
      <c r="BJ33" s="774"/>
      <c r="BK33" s="774"/>
      <c r="BL33" s="774"/>
      <c r="BM33" s="774"/>
      <c r="BN33" s="774"/>
      <c r="BO33" s="774"/>
      <c r="BP33" s="774"/>
      <c r="BQ33" s="774"/>
      <c r="BR33" s="774"/>
      <c r="BS33" s="774"/>
      <c r="BT33" s="774"/>
      <c r="BU33" s="774"/>
      <c r="BV33" s="774"/>
      <c r="BW33" s="774"/>
      <c r="BX33" s="774"/>
      <c r="BY33" s="774"/>
      <c r="BZ33" s="774"/>
      <c r="CA33" s="774"/>
      <c r="CB33" s="774"/>
      <c r="CC33" s="774"/>
      <c r="CD33" s="788"/>
      <c r="CE33" s="774"/>
      <c r="CF33" s="774"/>
      <c r="CG33" s="774"/>
      <c r="CH33" s="774"/>
      <c r="CI33" s="774"/>
      <c r="CJ33" s="774"/>
      <c r="CK33" s="774"/>
      <c r="CL33" s="774"/>
      <c r="CM33" s="774"/>
      <c r="CN33" s="774"/>
      <c r="CO33" s="774"/>
      <c r="CP33" s="774"/>
      <c r="CQ33" s="774"/>
      <c r="CR33" s="774"/>
      <c r="CS33" s="774"/>
      <c r="CT33" s="774"/>
      <c r="CU33" s="774"/>
      <c r="CV33" s="774"/>
      <c r="CW33" s="774"/>
      <c r="CX33" s="774"/>
      <c r="CY33" s="774"/>
      <c r="CZ33" s="774"/>
      <c r="DA33" s="774"/>
      <c r="DB33" s="774"/>
      <c r="DC33" s="774"/>
      <c r="DD33" s="774"/>
      <c r="DE33" s="774"/>
      <c r="DF33" s="774"/>
      <c r="DG33" s="774"/>
      <c r="DH33" s="774"/>
      <c r="DI33" s="774"/>
      <c r="DJ33" s="774"/>
      <c r="DK33" s="774"/>
      <c r="DL33" s="774"/>
      <c r="DM33" s="774"/>
      <c r="DN33" s="774"/>
      <c r="DO33" s="774"/>
      <c r="DP33" s="774"/>
      <c r="DQ33" s="774"/>
      <c r="DR33" s="774"/>
      <c r="DS33" s="774"/>
      <c r="DT33" s="774"/>
      <c r="DU33" s="774"/>
      <c r="DV33" s="774"/>
      <c r="DW33" s="774"/>
      <c r="DX33" s="774"/>
      <c r="DY33" s="774"/>
      <c r="DZ33" s="774"/>
      <c r="EA33" s="774"/>
      <c r="EB33" s="774"/>
      <c r="EC33" s="774"/>
      <c r="ED33" s="774"/>
      <c r="EE33" s="774"/>
      <c r="EF33" s="774"/>
      <c r="EG33" s="774"/>
      <c r="EH33" s="774"/>
      <c r="EI33" s="774"/>
      <c r="EJ33" s="774"/>
      <c r="EK33" s="774"/>
      <c r="EL33" s="774"/>
      <c r="EM33" s="774"/>
      <c r="EN33" s="774"/>
      <c r="EO33" s="774"/>
      <c r="EP33" s="774"/>
      <c r="EQ33" s="774"/>
      <c r="ER33" s="774"/>
      <c r="ES33" s="774"/>
      <c r="ET33" s="774"/>
      <c r="EU33" s="774"/>
      <c r="EV33" s="774"/>
      <c r="EW33" s="774"/>
      <c r="EX33" s="774"/>
      <c r="EY33" s="774"/>
      <c r="EZ33" s="774"/>
      <c r="FA33" s="774"/>
      <c r="FB33" s="774"/>
      <c r="FC33" s="774"/>
      <c r="FD33" s="774"/>
      <c r="FE33" s="774"/>
      <c r="FF33" s="774"/>
      <c r="FG33" s="774"/>
      <c r="FH33" s="774"/>
      <c r="FI33" s="774"/>
      <c r="FJ33" s="774"/>
      <c r="FK33" s="774"/>
      <c r="FL33" s="774"/>
      <c r="FM33" s="774"/>
      <c r="FN33" s="774"/>
      <c r="FO33" s="774"/>
      <c r="FP33" s="774"/>
      <c r="FQ33" s="774"/>
      <c r="FR33" s="774"/>
      <c r="FS33" s="774"/>
      <c r="FT33" s="774"/>
      <c r="FU33" s="774"/>
      <c r="FV33" s="774"/>
      <c r="FW33" s="774"/>
      <c r="FX33" s="774"/>
      <c r="FY33" s="774"/>
      <c r="FZ33" s="774"/>
      <c r="GA33" s="774"/>
      <c r="GB33" s="774"/>
      <c r="GC33" s="774"/>
      <c r="GD33" s="774"/>
      <c r="GE33" s="774"/>
      <c r="GF33" s="792" t="s">
        <v>643</v>
      </c>
      <c r="GG33" s="774"/>
      <c r="GH33" s="774"/>
      <c r="GI33" s="774"/>
      <c r="GJ33" s="774"/>
      <c r="GK33" s="774"/>
      <c r="GL33" s="774"/>
      <c r="GM33" s="774"/>
      <c r="GN33" s="774"/>
      <c r="GO33" s="774"/>
      <c r="GP33" s="774"/>
      <c r="GQ33" s="774"/>
    </row>
    <row r="34" customHeight="1" spans="2:199">
      <c r="B34" s="758" t="s">
        <v>644</v>
      </c>
      <c r="C34" s="765">
        <v>1</v>
      </c>
      <c r="D34" s="766" t="s">
        <v>597</v>
      </c>
      <c r="E34" s="772">
        <f>C34*G34*H34</f>
        <v>3599999.99999997</v>
      </c>
      <c r="F34" s="766" t="s">
        <v>591</v>
      </c>
      <c r="G34" s="768">
        <f>SUMIF(FF5:FF13,D34,FG5:FG13)</f>
        <v>3599999.99999997</v>
      </c>
      <c r="H34" s="769">
        <f>SUMIF(FG4:FO4,F34,FG5:FO5)</f>
        <v>1</v>
      </c>
      <c r="K34" s="774"/>
      <c r="L34" s="774"/>
      <c r="M34" s="774"/>
      <c r="N34" s="774"/>
      <c r="O34" s="774"/>
      <c r="P34" s="774"/>
      <c r="Q34" s="774"/>
      <c r="R34" s="774"/>
      <c r="S34" s="774"/>
      <c r="T34" s="774"/>
      <c r="U34" s="774"/>
      <c r="V34" s="774"/>
      <c r="W34" s="774"/>
      <c r="X34" s="774"/>
      <c r="Y34" s="774"/>
      <c r="Z34" s="774"/>
      <c r="AA34" s="774"/>
      <c r="AB34" s="774"/>
      <c r="AC34" s="774"/>
      <c r="AD34" s="774"/>
      <c r="AE34" s="774"/>
      <c r="AF34" s="774"/>
      <c r="AG34" s="774"/>
      <c r="AH34" s="774"/>
      <c r="AI34" s="774"/>
      <c r="AJ34" s="774"/>
      <c r="AK34" s="774"/>
      <c r="AL34" s="774"/>
      <c r="AM34" s="774"/>
      <c r="AN34" s="774"/>
      <c r="AO34" s="774"/>
      <c r="AP34" s="774"/>
      <c r="AQ34" s="774"/>
      <c r="AR34" s="774"/>
      <c r="AS34" s="774"/>
      <c r="AT34" s="774"/>
      <c r="AU34" s="774"/>
      <c r="AV34" s="774"/>
      <c r="AW34" s="774"/>
      <c r="AX34" s="774"/>
      <c r="AY34" s="774"/>
      <c r="AZ34" s="774"/>
      <c r="BA34" s="774"/>
      <c r="BB34" s="774"/>
      <c r="BC34" s="774"/>
      <c r="BD34" s="774"/>
      <c r="BE34" s="774"/>
      <c r="BF34" s="774"/>
      <c r="BG34" s="774"/>
      <c r="BH34" s="774"/>
      <c r="BI34" s="774"/>
      <c r="BJ34" s="774"/>
      <c r="BK34" s="774"/>
      <c r="BL34" s="774"/>
      <c r="BM34" s="774"/>
      <c r="BN34" s="774"/>
      <c r="BO34" s="774"/>
      <c r="BP34" s="774"/>
      <c r="BQ34" s="774"/>
      <c r="BR34" s="774"/>
      <c r="BS34" s="774"/>
      <c r="BT34" s="774"/>
      <c r="BU34" s="774"/>
      <c r="BV34" s="774"/>
      <c r="BW34" s="774"/>
      <c r="BX34" s="774"/>
      <c r="BY34" s="774"/>
      <c r="BZ34" s="774"/>
      <c r="CA34" s="774"/>
      <c r="CB34" s="774"/>
      <c r="CC34" s="774"/>
      <c r="CD34" s="788"/>
      <c r="CE34" s="774"/>
      <c r="CF34" s="774"/>
      <c r="CG34" s="774"/>
      <c r="CH34" s="774"/>
      <c r="CI34" s="774"/>
      <c r="CJ34" s="774"/>
      <c r="CK34" s="774"/>
      <c r="CL34" s="774"/>
      <c r="CM34" s="774"/>
      <c r="CN34" s="774"/>
      <c r="CO34" s="774"/>
      <c r="CP34" s="774"/>
      <c r="CQ34" s="774"/>
      <c r="CR34" s="774"/>
      <c r="CS34" s="774"/>
      <c r="CT34" s="774"/>
      <c r="CU34" s="774"/>
      <c r="CV34" s="774"/>
      <c r="CW34" s="774"/>
      <c r="CX34" s="774"/>
      <c r="CY34" s="774"/>
      <c r="CZ34" s="774"/>
      <c r="DA34" s="774"/>
      <c r="DB34" s="774"/>
      <c r="DC34" s="774"/>
      <c r="DD34" s="774"/>
      <c r="DE34" s="774"/>
      <c r="DF34" s="774"/>
      <c r="DG34" s="774"/>
      <c r="DH34" s="774"/>
      <c r="DI34" s="774"/>
      <c r="DJ34" s="774"/>
      <c r="DK34" s="774"/>
      <c r="DL34" s="774"/>
      <c r="DM34" s="774"/>
      <c r="DN34" s="774"/>
      <c r="DO34" s="774"/>
      <c r="DP34" s="774"/>
      <c r="DQ34" s="774"/>
      <c r="DR34" s="774"/>
      <c r="DS34" s="774"/>
      <c r="DT34" s="774"/>
      <c r="DU34" s="774"/>
      <c r="DV34" s="774"/>
      <c r="DW34" s="774"/>
      <c r="DX34" s="774"/>
      <c r="DY34" s="774"/>
      <c r="DZ34" s="774"/>
      <c r="EA34" s="774"/>
      <c r="EB34" s="774"/>
      <c r="EC34" s="774"/>
      <c r="ED34" s="774"/>
      <c r="EE34" s="774"/>
      <c r="EF34" s="774"/>
      <c r="EG34" s="774"/>
      <c r="EH34" s="774"/>
      <c r="EI34" s="774"/>
      <c r="EJ34" s="774"/>
      <c r="EK34" s="774"/>
      <c r="EL34" s="774"/>
      <c r="EM34" s="774"/>
      <c r="EN34" s="774"/>
      <c r="EO34" s="774"/>
      <c r="EP34" s="774"/>
      <c r="EQ34" s="774"/>
      <c r="ER34" s="774"/>
      <c r="ES34" s="774"/>
      <c r="ET34" s="774"/>
      <c r="EU34" s="774"/>
      <c r="EV34" s="774"/>
      <c r="EW34" s="774"/>
      <c r="EX34" s="774"/>
      <c r="EY34" s="774"/>
      <c r="EZ34" s="774"/>
      <c r="FA34" s="774"/>
      <c r="FB34" s="774"/>
      <c r="FC34" s="774"/>
      <c r="FD34" s="774"/>
      <c r="FE34" s="774"/>
      <c r="FF34" s="774"/>
      <c r="FG34" s="774"/>
      <c r="FH34" s="774"/>
      <c r="FI34" s="774"/>
      <c r="FJ34" s="774"/>
      <c r="FK34" s="774"/>
      <c r="FL34" s="774"/>
      <c r="FM34" s="774"/>
      <c r="FN34" s="774"/>
      <c r="FO34" s="774"/>
      <c r="FP34" s="774"/>
      <c r="FQ34" s="774"/>
      <c r="FR34" s="774"/>
      <c r="FS34" s="774"/>
      <c r="FT34" s="774"/>
      <c r="FU34" s="774"/>
      <c r="FV34" s="774"/>
      <c r="FW34" s="774"/>
      <c r="FX34" s="774"/>
      <c r="FY34" s="774"/>
      <c r="FZ34" s="774"/>
      <c r="GA34" s="774"/>
      <c r="GB34" s="774"/>
      <c r="GC34" s="774"/>
      <c r="GD34" s="774"/>
      <c r="GE34" s="774"/>
      <c r="GF34" s="792" t="s">
        <v>645</v>
      </c>
      <c r="GG34" s="774"/>
      <c r="GH34" s="774"/>
      <c r="GI34" s="774"/>
      <c r="GJ34" s="774"/>
      <c r="GK34" s="774"/>
      <c r="GL34" s="774"/>
      <c r="GM34" s="774"/>
      <c r="GN34" s="774"/>
      <c r="GO34" s="774"/>
      <c r="GP34" s="774"/>
      <c r="GQ34" s="774"/>
    </row>
    <row r="35" customHeight="1" spans="188:188">
      <c r="GF35" s="793" t="s">
        <v>646</v>
      </c>
    </row>
    <row r="36" customHeight="1" spans="188:188">
      <c r="GF36" s="793" t="s">
        <v>647</v>
      </c>
    </row>
    <row r="37" customHeight="1" spans="188:188">
      <c r="GF37" s="793" t="s">
        <v>648</v>
      </c>
    </row>
    <row r="38" customHeight="1" spans="188:188">
      <c r="GF38" s="793"/>
    </row>
    <row r="39" customHeight="1" spans="188:188">
      <c r="GF39" s="793" t="s">
        <v>649</v>
      </c>
    </row>
    <row r="40" customHeight="1" spans="188:188">
      <c r="GF40" s="793" t="s">
        <v>650</v>
      </c>
    </row>
    <row r="41" customHeight="1" spans="188:188">
      <c r="GF41" s="793" t="s">
        <v>651</v>
      </c>
    </row>
    <row r="42" customHeight="1" spans="188:188">
      <c r="GF42" s="793" t="s">
        <v>652</v>
      </c>
    </row>
    <row r="43" customHeight="1" spans="188:188">
      <c r="GF43" s="793" t="s">
        <v>653</v>
      </c>
    </row>
    <row r="44" customHeight="1" spans="188:188">
      <c r="GF44" s="793" t="s">
        <v>654</v>
      </c>
    </row>
    <row r="45" customHeight="1" spans="188:188">
      <c r="GF45" s="793" t="s">
        <v>655</v>
      </c>
    </row>
    <row r="46" customHeight="1" spans="188:188">
      <c r="GF46" s="793" t="s">
        <v>656</v>
      </c>
    </row>
    <row r="47" customHeight="1" spans="188:188">
      <c r="GF47" s="793" t="s">
        <v>657</v>
      </c>
    </row>
    <row r="48" customHeight="1" spans="188:188">
      <c r="GF48" s="793" t="s">
        <v>658</v>
      </c>
    </row>
    <row r="49" customHeight="1" spans="188:188">
      <c r="GF49" s="793" t="s">
        <v>659</v>
      </c>
    </row>
    <row r="50" customHeight="1" spans="188:188">
      <c r="GF50" s="793" t="s">
        <v>660</v>
      </c>
    </row>
    <row r="51" customHeight="1" spans="188:188">
      <c r="GF51" s="793" t="s">
        <v>661</v>
      </c>
    </row>
    <row r="53" customHeight="1" spans="188:191">
      <c r="GF53" s="794" t="s">
        <v>662</v>
      </c>
      <c r="GI53" s="794" t="s">
        <v>663</v>
      </c>
    </row>
    <row r="54" customHeight="1" spans="188:191">
      <c r="GF54" s="794" t="s">
        <v>664</v>
      </c>
      <c r="GI54" s="794" t="s">
        <v>665</v>
      </c>
    </row>
    <row r="55" customHeight="1" spans="188:191">
      <c r="GF55" s="794" t="s">
        <v>666</v>
      </c>
      <c r="GI55" s="794" t="s">
        <v>667</v>
      </c>
    </row>
  </sheetData>
  <sheetProtection password="919D" sheet="1" selectLockedCells="1" objects="1" scenarios="1"/>
  <mergeCells count="1">
    <mergeCell ref="B5:H5"/>
  </mergeCells>
  <dataValidations count="8">
    <dataValidation type="list" allowBlank="1" showInputMessage="1" showErrorMessage="1" sqref="D6 F6 IZ6 JB6 SV6 SX6 ACR6 ACT6 AMN6 AMP6 AWJ6 AWL6 BGF6 BGH6 BQB6 BQD6 BZX6 BZZ6 CJT6 CJV6 CTP6 CTR6 DDL6 DDN6 DNH6 DNJ6 DXD6 DXF6 EGZ6 EHB6 EQV6 EQX6 FAR6 FAT6 FKN6 FKP6 FUJ6 FUL6 GEF6 GEH6 GOB6 GOD6 GXX6 GXZ6 HHT6 HHV6 HRP6 HRR6 IBL6 IBN6 ILH6 ILJ6 IVD6 IVF6 JEZ6 JFB6 JOV6 JOX6 JYR6 JYT6 KIN6 KIP6 KSJ6 KSL6 LCF6 LCH6 LMB6 LMD6 LVX6 LVZ6 MFT6 MFV6 MPP6 MPR6 MZL6 MZN6 NJH6 NJJ6 NTD6 NTF6 OCZ6 ODB6 OMV6 OMX6 OWR6 OWT6 PGN6 PGP6 PQJ6 PQL6 QAF6 QAH6 QKB6 QKD6 QTX6 QTZ6 RDT6 RDV6 RNP6 RNR6 RXL6 RXN6 SHH6 SHJ6 SRD6 SRF6 TAZ6 TBB6 TKV6 TKX6 TUR6 TUT6 UEN6 UEP6 UOJ6 UOL6 UYF6 UYH6 VIB6 VID6 VRX6 VRZ6 WBT6 WBV6 WLP6 WLR6 WVL6 WVN6 D65542 F65542 IZ65542 JB65542 SV65542 SX65542 ACR65542 ACT65542 AMN65542 AMP65542 AWJ65542 AWL65542 BGF65542 BGH65542 BQB65542 BQD65542 BZX65542 BZZ65542 CJT65542 CJV65542 CTP65542 CTR65542 DDL65542 DDN65542 DNH65542 DNJ65542 DXD65542 DXF65542 EGZ65542 EHB65542 EQV65542 EQX65542 FAR65542 FAT65542 FKN65542 FKP65542 FUJ65542 FUL65542 GEF65542 GEH65542 GOB65542 GOD65542 GXX65542 GXZ65542 HHT65542 HHV65542 HRP65542 HRR65542 IBL65542 IBN65542 ILH65542 ILJ65542 IVD65542 IVF65542 JEZ65542 JFB65542 JOV65542 JOX65542 JYR65542 JYT65542 KIN65542 KIP65542 KSJ65542 KSL65542 LCF65542 LCH65542 LMB65542 LMD65542 LVX65542 LVZ65542 MFT65542 MFV65542 MPP65542 MPR65542 MZL65542 MZN65542 NJH65542 NJJ65542 NTD65542 NTF65542 OCZ65542 ODB65542 OMV65542 OMX65542 OWR65542 OWT65542 PGN65542 PGP65542 PQJ65542 PQL65542 QAF65542 QAH65542 QKB65542 QKD65542 QTX65542 QTZ65542 RDT65542 RDV65542 RNP65542 RNR65542 RXL65542 RXN65542 SHH65542 SHJ65542 SRD65542 SRF65542 TAZ65542 TBB65542 TKV65542 TKX65542 TUR65542 TUT65542 UEN65542 UEP65542 UOJ65542 UOL65542 UYF65542 UYH65542 VIB65542 VID65542 VRX65542 VRZ65542 WBT65542 WBV65542 WLP65542 WLR65542 WVL65542 WVN65542 D131078 F131078 IZ131078 JB131078 SV131078 SX131078 ACR131078 ACT131078 AMN131078 AMP131078 AWJ131078 AWL131078 BGF131078 BGH131078 BQB131078 BQD131078 BZX131078 BZZ131078 CJT131078 CJV131078 CTP131078 CTR131078 DDL131078 DDN131078 DNH131078 DNJ131078 DXD131078 DXF131078 EGZ131078 EHB131078 EQV131078 EQX131078 FAR131078 FAT131078 FKN131078 FKP131078 FUJ131078 FUL131078 GEF131078 GEH131078 GOB131078 GOD131078 GXX131078 GXZ131078 HHT131078 HHV131078 HRP131078 HRR131078 IBL131078 IBN131078 ILH131078 ILJ131078 IVD131078 IVF131078 JEZ131078 JFB131078 JOV131078 JOX131078 JYR131078 JYT131078 KIN131078 KIP131078 KSJ131078 KSL131078 LCF131078 LCH131078 LMB131078 LMD131078 LVX131078 LVZ131078 MFT131078 MFV131078 MPP131078 MPR131078 MZL131078 MZN131078 NJH131078 NJJ131078 NTD131078 NTF131078 OCZ131078 ODB131078 OMV131078 OMX131078 OWR131078 OWT131078 PGN131078 PGP131078 PQJ131078 PQL131078 QAF131078 QAH131078 QKB131078 QKD131078 QTX131078 QTZ131078 RDT131078 RDV131078 RNP131078 RNR131078 RXL131078 RXN131078 SHH131078 SHJ131078 SRD131078 SRF131078 TAZ131078 TBB131078 TKV131078 TKX131078 TUR131078 TUT131078 UEN131078 UEP131078 UOJ131078 UOL131078 UYF131078 UYH131078 VIB131078 VID131078 VRX131078 VRZ131078 WBT131078 WBV131078 WLP131078 WLR131078 WVL131078 WVN131078 D196614 F196614 IZ196614 JB196614 SV196614 SX196614 ACR196614 ACT196614 AMN196614 AMP196614 AWJ196614 AWL196614 BGF196614 BGH196614 BQB196614 BQD196614 BZX196614 BZZ196614 CJT196614 CJV196614 CTP196614 CTR196614 DDL196614 DDN196614 DNH196614 DNJ196614 DXD196614 DXF196614 EGZ196614 EHB196614 EQV196614 EQX196614 FAR196614 FAT196614 FKN196614 FKP196614 FUJ196614 FUL196614 GEF196614 GEH196614 GOB196614 GOD196614 GXX196614 GXZ196614 HHT196614 HHV196614 HRP196614 HRR196614 IBL196614 IBN196614 ILH196614 ILJ196614 IVD196614 IVF196614 JEZ196614 JFB196614 JOV196614 JOX196614 JYR196614 JYT196614 KIN196614 KIP196614 KSJ196614 KSL196614 LCF196614 LCH196614 LMB196614 LMD196614 LVX196614 LVZ196614 MFT196614 MFV196614 MPP196614 MPR196614 MZL196614 MZN196614 NJH196614 NJJ196614 NTD196614 NTF196614 OCZ196614 ODB196614 OMV196614 OMX196614 OWR196614 OWT196614 PGN196614 PGP196614 PQJ196614 PQL196614 QAF196614 QAH196614 QKB196614 QKD196614 QTX196614 QTZ196614 RDT196614 RDV196614 RNP196614 RNR196614 RXL196614 RXN196614 SHH196614 SHJ196614 SRD196614 SRF196614 TAZ196614 TBB196614 TKV196614 TKX196614 TUR196614 TUT196614 UEN196614 UEP196614 UOJ196614 UOL196614 UYF196614 UYH196614 VIB196614 VID196614 VRX196614 VRZ196614 WBT196614 WBV196614 WLP196614 WLR196614 WVL196614 WVN196614 D262150 F262150 IZ262150 JB262150 SV262150 SX262150 ACR262150 ACT262150 AMN262150 AMP262150 AWJ262150 AWL262150 BGF262150 BGH262150 BQB262150 BQD262150 BZX262150 BZZ262150 CJT262150 CJV262150 CTP262150 CTR262150 DDL262150 DDN262150 DNH262150 DNJ262150 DXD262150 DXF262150 EGZ262150 EHB262150 EQV262150 EQX262150 FAR262150 FAT262150 FKN262150 FKP262150 FUJ262150 FUL262150 GEF262150 GEH262150 GOB262150 GOD262150 GXX262150 GXZ262150 HHT262150 HHV262150 HRP262150 HRR262150 IBL262150 IBN262150 ILH262150 ILJ262150 IVD262150 IVF262150 JEZ262150 JFB262150 JOV262150 JOX262150 JYR262150 JYT262150 KIN262150 KIP262150 KSJ262150 KSL262150 LCF262150 LCH262150 LMB262150 LMD262150 LVX262150 LVZ262150 MFT262150 MFV262150 MPP262150 MPR262150 MZL262150 MZN262150 NJH262150 NJJ262150 NTD262150 NTF262150 OCZ262150 ODB262150 OMV262150 OMX262150 OWR262150 OWT262150 PGN262150 PGP262150 PQJ262150 PQL262150 QAF262150 QAH262150 QKB262150 QKD262150 QTX262150 QTZ262150 RDT262150 RDV262150 RNP262150 RNR262150 RXL262150 RXN262150 SHH262150 SHJ262150 SRD262150 SRF262150 TAZ262150 TBB262150 TKV262150 TKX262150 TUR262150 TUT262150 UEN262150 UEP262150 UOJ262150 UOL262150 UYF262150 UYH262150 VIB262150 VID262150 VRX262150 VRZ262150 WBT262150 WBV262150 WLP262150 WLR262150 WVL262150 WVN262150 D327686 F327686 IZ327686 JB327686 SV327686 SX327686 ACR327686 ACT327686 AMN327686 AMP327686 AWJ327686 AWL327686 BGF327686 BGH327686 BQB327686 BQD327686 BZX327686 BZZ327686 CJT327686 CJV327686 CTP327686 CTR327686 DDL327686 DDN327686 DNH327686 DNJ327686 DXD327686 DXF327686 EGZ327686 EHB327686 EQV327686 EQX327686 FAR327686 FAT327686 FKN327686 FKP327686 FUJ327686 FUL327686 GEF327686 GEH327686 GOB327686 GOD327686 GXX327686 GXZ327686 HHT327686 HHV327686 HRP327686 HRR327686 IBL327686 IBN327686 ILH327686 ILJ327686 IVD327686 IVF327686 JEZ327686 JFB327686 JOV327686 JOX327686 JYR327686 JYT327686 KIN327686 KIP327686 KSJ327686 KSL327686 LCF327686 LCH327686 LMB327686 LMD327686 LVX327686 LVZ327686 MFT327686 MFV327686 MPP327686 MPR327686 MZL327686 MZN327686 NJH327686 NJJ327686 NTD327686 NTF327686 OCZ327686 ODB327686 OMV327686 OMX327686 OWR327686 OWT327686 PGN327686 PGP327686 PQJ327686 PQL327686 QAF327686 QAH327686 QKB327686 QKD327686 QTX327686 QTZ327686 RDT327686 RDV327686 RNP327686 RNR327686 RXL327686 RXN327686 SHH327686 SHJ327686 SRD327686 SRF327686 TAZ327686 TBB327686 TKV327686 TKX327686 TUR327686 TUT327686 UEN327686 UEP327686 UOJ327686 UOL327686 UYF327686 UYH327686 VIB327686 VID327686 VRX327686 VRZ327686 WBT327686 WBV327686 WLP327686 WLR327686 WVL327686 WVN327686 D393222 F393222 IZ393222 JB393222 SV393222 SX393222 ACR393222 ACT393222 AMN393222 AMP393222 AWJ393222 AWL393222 BGF393222 BGH393222 BQB393222 BQD393222 BZX393222 BZZ393222 CJT393222 CJV393222 CTP393222 CTR393222 DDL393222 DDN393222 DNH393222 DNJ393222 DXD393222 DXF393222 EGZ393222 EHB393222 EQV393222 EQX393222 FAR393222 FAT393222 FKN393222 FKP393222 FUJ393222 FUL393222 GEF393222 GEH393222 GOB393222 GOD393222 GXX393222 GXZ393222 HHT393222 HHV393222 HRP393222 HRR393222 IBL393222 IBN393222 ILH393222 ILJ393222 IVD393222 IVF393222 JEZ393222 JFB393222 JOV393222 JOX393222 JYR393222 JYT393222 KIN393222 KIP393222 KSJ393222 KSL393222 LCF393222 LCH393222 LMB393222 LMD393222 LVX393222 LVZ393222 MFT393222 MFV393222 MPP393222 MPR393222 MZL393222 MZN393222 NJH393222 NJJ393222 NTD393222 NTF393222 OCZ393222 ODB393222 OMV393222 OMX393222 OWR393222 OWT393222 PGN393222 PGP393222 PQJ393222 PQL393222 QAF393222 QAH393222 QKB393222 QKD393222 QTX393222 QTZ393222 RDT393222 RDV393222 RNP393222 RNR393222 RXL393222 RXN393222 SHH393222 SHJ393222 SRD393222 SRF393222 TAZ393222 TBB393222 TKV393222 TKX393222 TUR393222 TUT393222 UEN393222 UEP393222 UOJ393222 UOL393222 UYF393222 UYH393222 VIB393222 VID393222 VRX393222 VRZ393222 WBT393222 WBV393222 WLP393222 WLR393222 WVL393222 WVN393222 D458758 F458758 IZ458758 JB458758 SV458758 SX458758 ACR458758 ACT458758 AMN458758 AMP458758 AWJ458758 AWL458758 BGF458758 BGH458758 BQB458758 BQD458758 BZX458758 BZZ458758 CJT458758 CJV458758 CTP458758 CTR458758 DDL458758 DDN458758 DNH458758 DNJ458758 DXD458758 DXF458758 EGZ458758 EHB458758 EQV458758 EQX458758 FAR458758 FAT458758 FKN458758 FKP458758 FUJ458758 FUL458758 GEF458758 GEH458758 GOB458758 GOD458758 GXX458758 GXZ458758 HHT458758 HHV458758 HRP458758 HRR458758 IBL458758 IBN458758 ILH458758 ILJ458758 IVD458758 IVF458758 JEZ458758 JFB458758 JOV458758 JOX458758 JYR458758 JYT458758 KIN458758 KIP458758 KSJ458758 KSL458758 LCF458758 LCH458758 LMB458758 LMD458758 LVX458758 LVZ458758 MFT458758 MFV458758 MPP458758 MPR458758 MZL458758 MZN458758 NJH458758 NJJ458758 NTD458758 NTF458758 OCZ458758 ODB458758 OMV458758 OMX458758 OWR458758 OWT458758 PGN458758 PGP458758 PQJ458758 PQL458758 QAF458758 QAH458758 QKB458758 QKD458758 QTX458758 QTZ458758 RDT458758 RDV458758 RNP458758 RNR458758 RXL458758 RXN458758 SHH458758 SHJ458758 SRD458758 SRF458758 TAZ458758 TBB458758 TKV458758 TKX458758 TUR458758 TUT458758 UEN458758 UEP458758 UOJ458758 UOL458758 UYF458758 UYH458758 VIB458758 VID458758 VRX458758 VRZ458758 WBT458758 WBV458758 WLP458758 WLR458758 WVL458758 WVN458758 D524294 F524294 IZ524294 JB524294 SV524294 SX524294 ACR524294 ACT524294 AMN524294 AMP524294 AWJ524294 AWL524294 BGF524294 BGH524294 BQB524294 BQD524294 BZX524294 BZZ524294 CJT524294 CJV524294 CTP524294 CTR524294 DDL524294 DDN524294 DNH524294 DNJ524294 DXD524294 DXF524294 EGZ524294 EHB524294 EQV524294 EQX524294 FAR524294 FAT524294 FKN524294 FKP524294 FUJ524294 FUL524294 GEF524294 GEH524294 GOB524294 GOD524294 GXX524294 GXZ524294 HHT524294 HHV524294 HRP524294 HRR524294 IBL524294 IBN524294 ILH524294 ILJ524294 IVD524294 IVF524294 JEZ524294 JFB524294 JOV524294 JOX524294 JYR524294 JYT524294 KIN524294 KIP524294 KSJ524294 KSL524294 LCF524294 LCH524294 LMB524294 LMD524294 LVX524294 LVZ524294 MFT524294 MFV524294 MPP524294 MPR524294 MZL524294 MZN524294 NJH524294 NJJ524294 NTD524294 NTF524294 OCZ524294 ODB524294 OMV524294 OMX524294 OWR524294 OWT524294 PGN524294 PGP524294 PQJ524294 PQL524294 QAF524294 QAH524294 QKB524294 QKD524294 QTX524294 QTZ524294 RDT524294 RDV524294 RNP524294 RNR524294 RXL524294 RXN524294 SHH524294 SHJ524294 SRD524294 SRF524294 TAZ524294 TBB524294 TKV524294 TKX524294 TUR524294 TUT524294 UEN524294 UEP524294 UOJ524294 UOL524294 UYF524294 UYH524294 VIB524294 VID524294 VRX524294 VRZ524294 WBT524294 WBV524294 WLP524294 WLR524294 WVL524294 WVN524294 D589830 F589830 IZ589830 JB589830 SV589830 SX589830 ACR589830 ACT589830 AMN589830 AMP589830 AWJ589830 AWL589830 BGF589830 BGH589830 BQB589830 BQD589830 BZX589830 BZZ589830 CJT589830 CJV589830 CTP589830 CTR589830 DDL589830 DDN589830 DNH589830 DNJ589830 DXD589830 DXF589830 EGZ589830 EHB589830 EQV589830 EQX589830 FAR589830 FAT589830 FKN589830 FKP589830 FUJ589830 FUL589830 GEF589830 GEH589830 GOB589830 GOD589830 GXX589830 GXZ589830 HHT589830 HHV589830 HRP589830 HRR589830 IBL589830 IBN589830 ILH589830 ILJ589830 IVD589830 IVF589830 JEZ589830 JFB589830 JOV589830 JOX589830 JYR589830 JYT589830 KIN589830 KIP589830 KSJ589830 KSL589830 LCF589830 LCH589830 LMB589830 LMD589830 LVX589830 LVZ589830 MFT589830 MFV589830 MPP589830 MPR589830 MZL589830 MZN589830 NJH589830 NJJ589830 NTD589830 NTF589830 OCZ589830 ODB589830 OMV589830 OMX589830 OWR589830 OWT589830 PGN589830 PGP589830 PQJ589830 PQL589830 QAF589830 QAH589830 QKB589830 QKD589830 QTX589830 QTZ589830 RDT589830 RDV589830 RNP589830 RNR589830 RXL589830 RXN589830 SHH589830 SHJ589830 SRD589830 SRF589830 TAZ589830 TBB589830 TKV589830 TKX589830 TUR589830 TUT589830 UEN589830 UEP589830 UOJ589830 UOL589830 UYF589830 UYH589830 VIB589830 VID589830 VRX589830 VRZ589830 WBT589830 WBV589830 WLP589830 WLR589830 WVL589830 WVN589830 D655366 F655366 IZ655366 JB655366 SV655366 SX655366 ACR655366 ACT655366 AMN655366 AMP655366 AWJ655366 AWL655366 BGF655366 BGH655366 BQB655366 BQD655366 BZX655366 BZZ655366 CJT655366 CJV655366 CTP655366 CTR655366 DDL655366 DDN655366 DNH655366 DNJ655366 DXD655366 DXF655366 EGZ655366 EHB655366 EQV655366 EQX655366 FAR655366 FAT655366 FKN655366 FKP655366 FUJ655366 FUL655366 GEF655366 GEH655366 GOB655366 GOD655366 GXX655366 GXZ655366 HHT655366 HHV655366 HRP655366 HRR655366 IBL655366 IBN655366 ILH655366 ILJ655366 IVD655366 IVF655366 JEZ655366 JFB655366 JOV655366 JOX655366 JYR655366 JYT655366 KIN655366 KIP655366 KSJ655366 KSL655366 LCF655366 LCH655366 LMB655366 LMD655366 LVX655366 LVZ655366 MFT655366 MFV655366 MPP655366 MPR655366 MZL655366 MZN655366 NJH655366 NJJ655366 NTD655366 NTF655366 OCZ655366 ODB655366 OMV655366 OMX655366 OWR655366 OWT655366 PGN655366 PGP655366 PQJ655366 PQL655366 QAF655366 QAH655366 QKB655366 QKD655366 QTX655366 QTZ655366 RDT655366 RDV655366 RNP655366 RNR655366 RXL655366 RXN655366 SHH655366 SHJ655366 SRD655366 SRF655366 TAZ655366 TBB655366 TKV655366 TKX655366 TUR655366 TUT655366 UEN655366 UEP655366 UOJ655366 UOL655366 UYF655366 UYH655366 VIB655366 VID655366 VRX655366 VRZ655366 WBT655366 WBV655366 WLP655366 WLR655366 WVL655366 WVN655366 D720902 F720902 IZ720902 JB720902 SV720902 SX720902 ACR720902 ACT720902 AMN720902 AMP720902 AWJ720902 AWL720902 BGF720902 BGH720902 BQB720902 BQD720902 BZX720902 BZZ720902 CJT720902 CJV720902 CTP720902 CTR720902 DDL720902 DDN720902 DNH720902 DNJ720902 DXD720902 DXF720902 EGZ720902 EHB720902 EQV720902 EQX720902 FAR720902 FAT720902 FKN720902 FKP720902 FUJ720902 FUL720902 GEF720902 GEH720902 GOB720902 GOD720902 GXX720902 GXZ720902 HHT720902 HHV720902 HRP720902 HRR720902 IBL720902 IBN720902 ILH720902 ILJ720902 IVD720902 IVF720902 JEZ720902 JFB720902 JOV720902 JOX720902 JYR720902 JYT720902 KIN720902 KIP720902 KSJ720902 KSL720902 LCF720902 LCH720902 LMB720902 LMD720902 LVX720902 LVZ720902 MFT720902 MFV720902 MPP720902 MPR720902 MZL720902 MZN720902 NJH720902 NJJ720902 NTD720902 NTF720902 OCZ720902 ODB720902 OMV720902 OMX720902 OWR720902 OWT720902 PGN720902 PGP720902 PQJ720902 PQL720902 QAF720902 QAH720902 QKB720902 QKD720902 QTX720902 QTZ720902 RDT720902 RDV720902 RNP720902 RNR720902 RXL720902 RXN720902 SHH720902 SHJ720902 SRD720902 SRF720902 TAZ720902 TBB720902 TKV720902 TKX720902 TUR720902 TUT720902 UEN720902 UEP720902 UOJ720902 UOL720902 UYF720902 UYH720902 VIB720902 VID720902 VRX720902 VRZ720902 WBT720902 WBV720902 WLP720902 WLR720902 WVL720902 WVN720902 D786438 F786438 IZ786438 JB786438 SV786438 SX786438 ACR786438 ACT786438 AMN786438 AMP786438 AWJ786438 AWL786438 BGF786438 BGH786438 BQB786438 BQD786438 BZX786438 BZZ786438 CJT786438 CJV786438 CTP786438 CTR786438 DDL786438 DDN786438 DNH786438 DNJ786438 DXD786438 DXF786438 EGZ786438 EHB786438 EQV786438 EQX786438 FAR786438 FAT786438 FKN786438 FKP786438 FUJ786438 FUL786438 GEF786438 GEH786438 GOB786438 GOD786438 GXX786438 GXZ786438 HHT786438 HHV786438 HRP786438 HRR786438 IBL786438 IBN786438 ILH786438 ILJ786438 IVD786438 IVF786438 JEZ786438 JFB786438 JOV786438 JOX786438 JYR786438 JYT786438 KIN786438 KIP786438 KSJ786438 KSL786438 LCF786438 LCH786438 LMB786438 LMD786438 LVX786438 LVZ786438 MFT786438 MFV786438 MPP786438 MPR786438 MZL786438 MZN786438 NJH786438 NJJ786438 NTD786438 NTF786438 OCZ786438 ODB786438 OMV786438 OMX786438 OWR786438 OWT786438 PGN786438 PGP786438 PQJ786438 PQL786438 QAF786438 QAH786438 QKB786438 QKD786438 QTX786438 QTZ786438 RDT786438 RDV786438 RNP786438 RNR786438 RXL786438 RXN786438 SHH786438 SHJ786438 SRD786438 SRF786438 TAZ786438 TBB786438 TKV786438 TKX786438 TUR786438 TUT786438 UEN786438 UEP786438 UOJ786438 UOL786438 UYF786438 UYH786438 VIB786438 VID786438 VRX786438 VRZ786438 WBT786438 WBV786438 WLP786438 WLR786438 WVL786438 WVN786438 D851974 F851974 IZ851974 JB851974 SV851974 SX851974 ACR851974 ACT851974 AMN851974 AMP851974 AWJ851974 AWL851974 BGF851974 BGH851974 BQB851974 BQD851974 BZX851974 BZZ851974 CJT851974 CJV851974 CTP851974 CTR851974 DDL851974 DDN851974 DNH851974 DNJ851974 DXD851974 DXF851974 EGZ851974 EHB851974 EQV851974 EQX851974 FAR851974 FAT851974 FKN851974 FKP851974 FUJ851974 FUL851974 GEF851974 GEH851974 GOB851974 GOD851974 GXX851974 GXZ851974 HHT851974 HHV851974 HRP851974 HRR851974 IBL851974 IBN851974 ILH851974 ILJ851974 IVD851974 IVF851974 JEZ851974 JFB851974 JOV851974 JOX851974 JYR851974 JYT851974 KIN851974 KIP851974 KSJ851974 KSL851974 LCF851974 LCH851974 LMB851974 LMD851974 LVX851974 LVZ851974 MFT851974 MFV851974 MPP851974 MPR851974 MZL851974 MZN851974 NJH851974 NJJ851974 NTD851974 NTF851974 OCZ851974 ODB851974 OMV851974 OMX851974 OWR851974 OWT851974 PGN851974 PGP851974 PQJ851974 PQL851974 QAF851974 QAH851974 QKB851974 QKD851974 QTX851974 QTZ851974 RDT851974 RDV851974 RNP851974 RNR851974 RXL851974 RXN851974 SHH851974 SHJ851974 SRD851974 SRF851974 TAZ851974 TBB851974 TKV851974 TKX851974 TUR851974 TUT851974 UEN851974 UEP851974 UOJ851974 UOL851974 UYF851974 UYH851974 VIB851974 VID851974 VRX851974 VRZ851974 WBT851974 WBV851974 WLP851974 WLR851974 WVL851974 WVN851974 D917510 F917510 IZ917510 JB917510 SV917510 SX917510 ACR917510 ACT917510 AMN917510 AMP917510 AWJ917510 AWL917510 BGF917510 BGH917510 BQB917510 BQD917510 BZX917510 BZZ917510 CJT917510 CJV917510 CTP917510 CTR917510 DDL917510 DDN917510 DNH917510 DNJ917510 DXD917510 DXF917510 EGZ917510 EHB917510 EQV917510 EQX917510 FAR917510 FAT917510 FKN917510 FKP917510 FUJ917510 FUL917510 GEF917510 GEH917510 GOB917510 GOD917510 GXX917510 GXZ917510 HHT917510 HHV917510 HRP917510 HRR917510 IBL917510 IBN917510 ILH917510 ILJ917510 IVD917510 IVF917510 JEZ917510 JFB917510 JOV917510 JOX917510 JYR917510 JYT917510 KIN917510 KIP917510 KSJ917510 KSL917510 LCF917510 LCH917510 LMB917510 LMD917510 LVX917510 LVZ917510 MFT917510 MFV917510 MPP917510 MPR917510 MZL917510 MZN917510 NJH917510 NJJ917510 NTD917510 NTF917510 OCZ917510 ODB917510 OMV917510 OMX917510 OWR917510 OWT917510 PGN917510 PGP917510 PQJ917510 PQL917510 QAF917510 QAH917510 QKB917510 QKD917510 QTX917510 QTZ917510 RDT917510 RDV917510 RNP917510 RNR917510 RXL917510 RXN917510 SHH917510 SHJ917510 SRD917510 SRF917510 TAZ917510 TBB917510 TKV917510 TKX917510 TUR917510 TUT917510 UEN917510 UEP917510 UOJ917510 UOL917510 UYF917510 UYH917510 VIB917510 VID917510 VRX917510 VRZ917510 WBT917510 WBV917510 WLP917510 WLR917510 WVL917510 WVN917510 D983046 F983046 IZ983046 JB983046 SV983046 SX983046 ACR983046 ACT983046 AMN983046 AMP983046 AWJ983046 AWL983046 BGF983046 BGH983046 BQB983046 BQD983046 BZX983046 BZZ983046 CJT983046 CJV983046 CTP983046 CTR983046 DDL983046 DDN983046 DNH983046 DNJ983046 DXD983046 DXF983046 EGZ983046 EHB983046 EQV983046 EQX983046 FAR983046 FAT983046 FKN983046 FKP983046 FUJ983046 FUL983046 GEF983046 GEH983046 GOB983046 GOD983046 GXX983046 GXZ983046 HHT983046 HHV983046 HRP983046 HRR983046 IBL983046 IBN983046 ILH983046 ILJ983046 IVD983046 IVF983046 JEZ983046 JFB983046 JOV983046 JOX983046 JYR983046 JYT983046 KIN983046 KIP983046 KSJ983046 KSL983046 LCF983046 LCH983046 LMB983046 LMD983046 LVX983046 LVZ983046 MFT983046 MFV983046 MPP983046 MPR983046 MZL983046 MZN983046 NJH983046 NJJ983046 NTD983046 NTF983046 OCZ983046 ODB983046 OMV983046 OMX983046 OWR983046 OWT983046 PGN983046 PGP983046 PQJ983046 PQL983046 QAF983046 QAH983046 QKB983046 QKD983046 QTX983046 QTZ983046 RDT983046 RDV983046 RNP983046 RNR983046 RXL983046 RXN983046 SHH983046 SHJ983046 SRD983046 SRF983046 TAZ983046 TBB983046 TKV983046 TKX983046 TUR983046 TUT983046 UEN983046 UEP983046 UOJ983046 UOL983046 UYF983046 UYH983046 VIB983046 VID983046 VRX983046 VRZ983046 WBT983046 WBV983046 WLP983046 WLR983046 WVL983046 WVN983046">
      <formula1>$K$5:$K$16</formula1>
    </dataValidation>
    <dataValidation type="list" allowBlank="1" showInputMessage="1" showErrorMessage="1" sqref="D10 F10 IZ10 JB10 SV10 SX10 ACR10 ACT10 AMN10 AMP10 AWJ10 AWL10 BGF10 BGH10 BQB10 BQD10 BZX10 BZZ10 CJT10 CJV10 CTP10 CTR10 DDL10 DDN10 DNH10 DNJ10 DXD10 DXF10 EGZ10 EHB10 EQV10 EQX10 FAR10 FAT10 FKN10 FKP10 FUJ10 FUL10 GEF10 GEH10 GOB10 GOD10 GXX10 GXZ10 HHT10 HHV10 HRP10 HRR10 IBL10 IBN10 ILH10 ILJ10 IVD10 IVF10 JEZ10 JFB10 JOV10 JOX10 JYR10 JYT10 KIN10 KIP10 KSJ10 KSL10 LCF10 LCH10 LMB10 LMD10 LVX10 LVZ10 MFT10 MFV10 MPP10 MPR10 MZL10 MZN10 NJH10 NJJ10 NTD10 NTF10 OCZ10 ODB10 OMV10 OMX10 OWR10 OWT10 PGN10 PGP10 PQJ10 PQL10 QAF10 QAH10 QKB10 QKD10 QTX10 QTZ10 RDT10 RDV10 RNP10 RNR10 RXL10 RXN10 SHH10 SHJ10 SRD10 SRF10 TAZ10 TBB10 TKV10 TKX10 TUR10 TUT10 UEN10 UEP10 UOJ10 UOL10 UYF10 UYH10 VIB10 VID10 VRX10 VRZ10 WBT10 WBV10 WLP10 WLR10 WVL10 WVN10 D65546 F65546 IZ65546 JB65546 SV65546 SX65546 ACR65546 ACT65546 AMN65546 AMP65546 AWJ65546 AWL65546 BGF65546 BGH65546 BQB65546 BQD65546 BZX65546 BZZ65546 CJT65546 CJV65546 CTP65546 CTR65546 DDL65546 DDN65546 DNH65546 DNJ65546 DXD65546 DXF65546 EGZ65546 EHB65546 EQV65546 EQX65546 FAR65546 FAT65546 FKN65546 FKP65546 FUJ65546 FUL65546 GEF65546 GEH65546 GOB65546 GOD65546 GXX65546 GXZ65546 HHT65546 HHV65546 HRP65546 HRR65546 IBL65546 IBN65546 ILH65546 ILJ65546 IVD65546 IVF65546 JEZ65546 JFB65546 JOV65546 JOX65546 JYR65546 JYT65546 KIN65546 KIP65546 KSJ65546 KSL65546 LCF65546 LCH65546 LMB65546 LMD65546 LVX65546 LVZ65546 MFT65546 MFV65546 MPP65546 MPR65546 MZL65546 MZN65546 NJH65546 NJJ65546 NTD65546 NTF65546 OCZ65546 ODB65546 OMV65546 OMX65546 OWR65546 OWT65546 PGN65546 PGP65546 PQJ65546 PQL65546 QAF65546 QAH65546 QKB65546 QKD65546 QTX65546 QTZ65546 RDT65546 RDV65546 RNP65546 RNR65546 RXL65546 RXN65546 SHH65546 SHJ65546 SRD65546 SRF65546 TAZ65546 TBB65546 TKV65546 TKX65546 TUR65546 TUT65546 UEN65546 UEP65546 UOJ65546 UOL65546 UYF65546 UYH65546 VIB65546 VID65546 VRX65546 VRZ65546 WBT65546 WBV65546 WLP65546 WLR65546 WVL65546 WVN65546 D131082 F131082 IZ131082 JB131082 SV131082 SX131082 ACR131082 ACT131082 AMN131082 AMP131082 AWJ131082 AWL131082 BGF131082 BGH131082 BQB131082 BQD131082 BZX131082 BZZ131082 CJT131082 CJV131082 CTP131082 CTR131082 DDL131082 DDN131082 DNH131082 DNJ131082 DXD131082 DXF131082 EGZ131082 EHB131082 EQV131082 EQX131082 FAR131082 FAT131082 FKN131082 FKP131082 FUJ131082 FUL131082 GEF131082 GEH131082 GOB131082 GOD131082 GXX131082 GXZ131082 HHT131082 HHV131082 HRP131082 HRR131082 IBL131082 IBN131082 ILH131082 ILJ131082 IVD131082 IVF131082 JEZ131082 JFB131082 JOV131082 JOX131082 JYR131082 JYT131082 KIN131082 KIP131082 KSJ131082 KSL131082 LCF131082 LCH131082 LMB131082 LMD131082 LVX131082 LVZ131082 MFT131082 MFV131082 MPP131082 MPR131082 MZL131082 MZN131082 NJH131082 NJJ131082 NTD131082 NTF131082 OCZ131082 ODB131082 OMV131082 OMX131082 OWR131082 OWT131082 PGN131082 PGP131082 PQJ131082 PQL131082 QAF131082 QAH131082 QKB131082 QKD131082 QTX131082 QTZ131082 RDT131082 RDV131082 RNP131082 RNR131082 RXL131082 RXN131082 SHH131082 SHJ131082 SRD131082 SRF131082 TAZ131082 TBB131082 TKV131082 TKX131082 TUR131082 TUT131082 UEN131082 UEP131082 UOJ131082 UOL131082 UYF131082 UYH131082 VIB131082 VID131082 VRX131082 VRZ131082 WBT131082 WBV131082 WLP131082 WLR131082 WVL131082 WVN131082 D196618 F196618 IZ196618 JB196618 SV196618 SX196618 ACR196618 ACT196618 AMN196618 AMP196618 AWJ196618 AWL196618 BGF196618 BGH196618 BQB196618 BQD196618 BZX196618 BZZ196618 CJT196618 CJV196618 CTP196618 CTR196618 DDL196618 DDN196618 DNH196618 DNJ196618 DXD196618 DXF196618 EGZ196618 EHB196618 EQV196618 EQX196618 FAR196618 FAT196618 FKN196618 FKP196618 FUJ196618 FUL196618 GEF196618 GEH196618 GOB196618 GOD196618 GXX196618 GXZ196618 HHT196618 HHV196618 HRP196618 HRR196618 IBL196618 IBN196618 ILH196618 ILJ196618 IVD196618 IVF196618 JEZ196618 JFB196618 JOV196618 JOX196618 JYR196618 JYT196618 KIN196618 KIP196618 KSJ196618 KSL196618 LCF196618 LCH196618 LMB196618 LMD196618 LVX196618 LVZ196618 MFT196618 MFV196618 MPP196618 MPR196618 MZL196618 MZN196618 NJH196618 NJJ196618 NTD196618 NTF196618 OCZ196618 ODB196618 OMV196618 OMX196618 OWR196618 OWT196618 PGN196618 PGP196618 PQJ196618 PQL196618 QAF196618 QAH196618 QKB196618 QKD196618 QTX196618 QTZ196618 RDT196618 RDV196618 RNP196618 RNR196618 RXL196618 RXN196618 SHH196618 SHJ196618 SRD196618 SRF196618 TAZ196618 TBB196618 TKV196618 TKX196618 TUR196618 TUT196618 UEN196618 UEP196618 UOJ196618 UOL196618 UYF196618 UYH196618 VIB196618 VID196618 VRX196618 VRZ196618 WBT196618 WBV196618 WLP196618 WLR196618 WVL196618 WVN196618 D262154 F262154 IZ262154 JB262154 SV262154 SX262154 ACR262154 ACT262154 AMN262154 AMP262154 AWJ262154 AWL262154 BGF262154 BGH262154 BQB262154 BQD262154 BZX262154 BZZ262154 CJT262154 CJV262154 CTP262154 CTR262154 DDL262154 DDN262154 DNH262154 DNJ262154 DXD262154 DXF262154 EGZ262154 EHB262154 EQV262154 EQX262154 FAR262154 FAT262154 FKN262154 FKP262154 FUJ262154 FUL262154 GEF262154 GEH262154 GOB262154 GOD262154 GXX262154 GXZ262154 HHT262154 HHV262154 HRP262154 HRR262154 IBL262154 IBN262154 ILH262154 ILJ262154 IVD262154 IVF262154 JEZ262154 JFB262154 JOV262154 JOX262154 JYR262154 JYT262154 KIN262154 KIP262154 KSJ262154 KSL262154 LCF262154 LCH262154 LMB262154 LMD262154 LVX262154 LVZ262154 MFT262154 MFV262154 MPP262154 MPR262154 MZL262154 MZN262154 NJH262154 NJJ262154 NTD262154 NTF262154 OCZ262154 ODB262154 OMV262154 OMX262154 OWR262154 OWT262154 PGN262154 PGP262154 PQJ262154 PQL262154 QAF262154 QAH262154 QKB262154 QKD262154 QTX262154 QTZ262154 RDT262154 RDV262154 RNP262154 RNR262154 RXL262154 RXN262154 SHH262154 SHJ262154 SRD262154 SRF262154 TAZ262154 TBB262154 TKV262154 TKX262154 TUR262154 TUT262154 UEN262154 UEP262154 UOJ262154 UOL262154 UYF262154 UYH262154 VIB262154 VID262154 VRX262154 VRZ262154 WBT262154 WBV262154 WLP262154 WLR262154 WVL262154 WVN262154 D327690 F327690 IZ327690 JB327690 SV327690 SX327690 ACR327690 ACT327690 AMN327690 AMP327690 AWJ327690 AWL327690 BGF327690 BGH327690 BQB327690 BQD327690 BZX327690 BZZ327690 CJT327690 CJV327690 CTP327690 CTR327690 DDL327690 DDN327690 DNH327690 DNJ327690 DXD327690 DXF327690 EGZ327690 EHB327690 EQV327690 EQX327690 FAR327690 FAT327690 FKN327690 FKP327690 FUJ327690 FUL327690 GEF327690 GEH327690 GOB327690 GOD327690 GXX327690 GXZ327690 HHT327690 HHV327690 HRP327690 HRR327690 IBL327690 IBN327690 ILH327690 ILJ327690 IVD327690 IVF327690 JEZ327690 JFB327690 JOV327690 JOX327690 JYR327690 JYT327690 KIN327690 KIP327690 KSJ327690 KSL327690 LCF327690 LCH327690 LMB327690 LMD327690 LVX327690 LVZ327690 MFT327690 MFV327690 MPP327690 MPR327690 MZL327690 MZN327690 NJH327690 NJJ327690 NTD327690 NTF327690 OCZ327690 ODB327690 OMV327690 OMX327690 OWR327690 OWT327690 PGN327690 PGP327690 PQJ327690 PQL327690 QAF327690 QAH327690 QKB327690 QKD327690 QTX327690 QTZ327690 RDT327690 RDV327690 RNP327690 RNR327690 RXL327690 RXN327690 SHH327690 SHJ327690 SRD327690 SRF327690 TAZ327690 TBB327690 TKV327690 TKX327690 TUR327690 TUT327690 UEN327690 UEP327690 UOJ327690 UOL327690 UYF327690 UYH327690 VIB327690 VID327690 VRX327690 VRZ327690 WBT327690 WBV327690 WLP327690 WLR327690 WVL327690 WVN327690 D393226 F393226 IZ393226 JB393226 SV393226 SX393226 ACR393226 ACT393226 AMN393226 AMP393226 AWJ393226 AWL393226 BGF393226 BGH393226 BQB393226 BQD393226 BZX393226 BZZ393226 CJT393226 CJV393226 CTP393226 CTR393226 DDL393226 DDN393226 DNH393226 DNJ393226 DXD393226 DXF393226 EGZ393226 EHB393226 EQV393226 EQX393226 FAR393226 FAT393226 FKN393226 FKP393226 FUJ393226 FUL393226 GEF393226 GEH393226 GOB393226 GOD393226 GXX393226 GXZ393226 HHT393226 HHV393226 HRP393226 HRR393226 IBL393226 IBN393226 ILH393226 ILJ393226 IVD393226 IVF393226 JEZ393226 JFB393226 JOV393226 JOX393226 JYR393226 JYT393226 KIN393226 KIP393226 KSJ393226 KSL393226 LCF393226 LCH393226 LMB393226 LMD393226 LVX393226 LVZ393226 MFT393226 MFV393226 MPP393226 MPR393226 MZL393226 MZN393226 NJH393226 NJJ393226 NTD393226 NTF393226 OCZ393226 ODB393226 OMV393226 OMX393226 OWR393226 OWT393226 PGN393226 PGP393226 PQJ393226 PQL393226 QAF393226 QAH393226 QKB393226 QKD393226 QTX393226 QTZ393226 RDT393226 RDV393226 RNP393226 RNR393226 RXL393226 RXN393226 SHH393226 SHJ393226 SRD393226 SRF393226 TAZ393226 TBB393226 TKV393226 TKX393226 TUR393226 TUT393226 UEN393226 UEP393226 UOJ393226 UOL393226 UYF393226 UYH393226 VIB393226 VID393226 VRX393226 VRZ393226 WBT393226 WBV393226 WLP393226 WLR393226 WVL393226 WVN393226 D458762 F458762 IZ458762 JB458762 SV458762 SX458762 ACR458762 ACT458762 AMN458762 AMP458762 AWJ458762 AWL458762 BGF458762 BGH458762 BQB458762 BQD458762 BZX458762 BZZ458762 CJT458762 CJV458762 CTP458762 CTR458762 DDL458762 DDN458762 DNH458762 DNJ458762 DXD458762 DXF458762 EGZ458762 EHB458762 EQV458762 EQX458762 FAR458762 FAT458762 FKN458762 FKP458762 FUJ458762 FUL458762 GEF458762 GEH458762 GOB458762 GOD458762 GXX458762 GXZ458762 HHT458762 HHV458762 HRP458762 HRR458762 IBL458762 IBN458762 ILH458762 ILJ458762 IVD458762 IVF458762 JEZ458762 JFB458762 JOV458762 JOX458762 JYR458762 JYT458762 KIN458762 KIP458762 KSJ458762 KSL458762 LCF458762 LCH458762 LMB458762 LMD458762 LVX458762 LVZ458762 MFT458762 MFV458762 MPP458762 MPR458762 MZL458762 MZN458762 NJH458762 NJJ458762 NTD458762 NTF458762 OCZ458762 ODB458762 OMV458762 OMX458762 OWR458762 OWT458762 PGN458762 PGP458762 PQJ458762 PQL458762 QAF458762 QAH458762 QKB458762 QKD458762 QTX458762 QTZ458762 RDT458762 RDV458762 RNP458762 RNR458762 RXL458762 RXN458762 SHH458762 SHJ458762 SRD458762 SRF458762 TAZ458762 TBB458762 TKV458762 TKX458762 TUR458762 TUT458762 UEN458762 UEP458762 UOJ458762 UOL458762 UYF458762 UYH458762 VIB458762 VID458762 VRX458762 VRZ458762 WBT458762 WBV458762 WLP458762 WLR458762 WVL458762 WVN458762 D524298 F524298 IZ524298 JB524298 SV524298 SX524298 ACR524298 ACT524298 AMN524298 AMP524298 AWJ524298 AWL524298 BGF524298 BGH524298 BQB524298 BQD524298 BZX524298 BZZ524298 CJT524298 CJV524298 CTP524298 CTR524298 DDL524298 DDN524298 DNH524298 DNJ524298 DXD524298 DXF524298 EGZ524298 EHB524298 EQV524298 EQX524298 FAR524298 FAT524298 FKN524298 FKP524298 FUJ524298 FUL524298 GEF524298 GEH524298 GOB524298 GOD524298 GXX524298 GXZ524298 HHT524298 HHV524298 HRP524298 HRR524298 IBL524298 IBN524298 ILH524298 ILJ524298 IVD524298 IVF524298 JEZ524298 JFB524298 JOV524298 JOX524298 JYR524298 JYT524298 KIN524298 KIP524298 KSJ524298 KSL524298 LCF524298 LCH524298 LMB524298 LMD524298 LVX524298 LVZ524298 MFT524298 MFV524298 MPP524298 MPR524298 MZL524298 MZN524298 NJH524298 NJJ524298 NTD524298 NTF524298 OCZ524298 ODB524298 OMV524298 OMX524298 OWR524298 OWT524298 PGN524298 PGP524298 PQJ524298 PQL524298 QAF524298 QAH524298 QKB524298 QKD524298 QTX524298 QTZ524298 RDT524298 RDV524298 RNP524298 RNR524298 RXL524298 RXN524298 SHH524298 SHJ524298 SRD524298 SRF524298 TAZ524298 TBB524298 TKV524298 TKX524298 TUR524298 TUT524298 UEN524298 UEP524298 UOJ524298 UOL524298 UYF524298 UYH524298 VIB524298 VID524298 VRX524298 VRZ524298 WBT524298 WBV524298 WLP524298 WLR524298 WVL524298 WVN524298 D589834 F589834 IZ589834 JB589834 SV589834 SX589834 ACR589834 ACT589834 AMN589834 AMP589834 AWJ589834 AWL589834 BGF589834 BGH589834 BQB589834 BQD589834 BZX589834 BZZ589834 CJT589834 CJV589834 CTP589834 CTR589834 DDL589834 DDN589834 DNH589834 DNJ589834 DXD589834 DXF589834 EGZ589834 EHB589834 EQV589834 EQX589834 FAR589834 FAT589834 FKN589834 FKP589834 FUJ589834 FUL589834 GEF589834 GEH589834 GOB589834 GOD589834 GXX589834 GXZ589834 HHT589834 HHV589834 HRP589834 HRR589834 IBL589834 IBN589834 ILH589834 ILJ589834 IVD589834 IVF589834 JEZ589834 JFB589834 JOV589834 JOX589834 JYR589834 JYT589834 KIN589834 KIP589834 KSJ589834 KSL589834 LCF589834 LCH589834 LMB589834 LMD589834 LVX589834 LVZ589834 MFT589834 MFV589834 MPP589834 MPR589834 MZL589834 MZN589834 NJH589834 NJJ589834 NTD589834 NTF589834 OCZ589834 ODB589834 OMV589834 OMX589834 OWR589834 OWT589834 PGN589834 PGP589834 PQJ589834 PQL589834 QAF589834 QAH589834 QKB589834 QKD589834 QTX589834 QTZ589834 RDT589834 RDV589834 RNP589834 RNR589834 RXL589834 RXN589834 SHH589834 SHJ589834 SRD589834 SRF589834 TAZ589834 TBB589834 TKV589834 TKX589834 TUR589834 TUT589834 UEN589834 UEP589834 UOJ589834 UOL589834 UYF589834 UYH589834 VIB589834 VID589834 VRX589834 VRZ589834 WBT589834 WBV589834 WLP589834 WLR589834 WVL589834 WVN589834 D655370 F655370 IZ655370 JB655370 SV655370 SX655370 ACR655370 ACT655370 AMN655370 AMP655370 AWJ655370 AWL655370 BGF655370 BGH655370 BQB655370 BQD655370 BZX655370 BZZ655370 CJT655370 CJV655370 CTP655370 CTR655370 DDL655370 DDN655370 DNH655370 DNJ655370 DXD655370 DXF655370 EGZ655370 EHB655370 EQV655370 EQX655370 FAR655370 FAT655370 FKN655370 FKP655370 FUJ655370 FUL655370 GEF655370 GEH655370 GOB655370 GOD655370 GXX655370 GXZ655370 HHT655370 HHV655370 HRP655370 HRR655370 IBL655370 IBN655370 ILH655370 ILJ655370 IVD655370 IVF655370 JEZ655370 JFB655370 JOV655370 JOX655370 JYR655370 JYT655370 KIN655370 KIP655370 KSJ655370 KSL655370 LCF655370 LCH655370 LMB655370 LMD655370 LVX655370 LVZ655370 MFT655370 MFV655370 MPP655370 MPR655370 MZL655370 MZN655370 NJH655370 NJJ655370 NTD655370 NTF655370 OCZ655370 ODB655370 OMV655370 OMX655370 OWR655370 OWT655370 PGN655370 PGP655370 PQJ655370 PQL655370 QAF655370 QAH655370 QKB655370 QKD655370 QTX655370 QTZ655370 RDT655370 RDV655370 RNP655370 RNR655370 RXL655370 RXN655370 SHH655370 SHJ655370 SRD655370 SRF655370 TAZ655370 TBB655370 TKV655370 TKX655370 TUR655370 TUT655370 UEN655370 UEP655370 UOJ655370 UOL655370 UYF655370 UYH655370 VIB655370 VID655370 VRX655370 VRZ655370 WBT655370 WBV655370 WLP655370 WLR655370 WVL655370 WVN655370 D720906 F720906 IZ720906 JB720906 SV720906 SX720906 ACR720906 ACT720906 AMN720906 AMP720906 AWJ720906 AWL720906 BGF720906 BGH720906 BQB720906 BQD720906 BZX720906 BZZ720906 CJT720906 CJV720906 CTP720906 CTR720906 DDL720906 DDN720906 DNH720906 DNJ720906 DXD720906 DXF720906 EGZ720906 EHB720906 EQV720906 EQX720906 FAR720906 FAT720906 FKN720906 FKP720906 FUJ720906 FUL720906 GEF720906 GEH720906 GOB720906 GOD720906 GXX720906 GXZ720906 HHT720906 HHV720906 HRP720906 HRR720906 IBL720906 IBN720906 ILH720906 ILJ720906 IVD720906 IVF720906 JEZ720906 JFB720906 JOV720906 JOX720906 JYR720906 JYT720906 KIN720906 KIP720906 KSJ720906 KSL720906 LCF720906 LCH720906 LMB720906 LMD720906 LVX720906 LVZ720906 MFT720906 MFV720906 MPP720906 MPR720906 MZL720906 MZN720906 NJH720906 NJJ720906 NTD720906 NTF720906 OCZ720906 ODB720906 OMV720906 OMX720906 OWR720906 OWT720906 PGN720906 PGP720906 PQJ720906 PQL720906 QAF720906 QAH720906 QKB720906 QKD720906 QTX720906 QTZ720906 RDT720906 RDV720906 RNP720906 RNR720906 RXL720906 RXN720906 SHH720906 SHJ720906 SRD720906 SRF720906 TAZ720906 TBB720906 TKV720906 TKX720906 TUR720906 TUT720906 UEN720906 UEP720906 UOJ720906 UOL720906 UYF720906 UYH720906 VIB720906 VID720906 VRX720906 VRZ720906 WBT720906 WBV720906 WLP720906 WLR720906 WVL720906 WVN720906 D786442 F786442 IZ786442 JB786442 SV786442 SX786442 ACR786442 ACT786442 AMN786442 AMP786442 AWJ786442 AWL786442 BGF786442 BGH786442 BQB786442 BQD786442 BZX786442 BZZ786442 CJT786442 CJV786442 CTP786442 CTR786442 DDL786442 DDN786442 DNH786442 DNJ786442 DXD786442 DXF786442 EGZ786442 EHB786442 EQV786442 EQX786442 FAR786442 FAT786442 FKN786442 FKP786442 FUJ786442 FUL786442 GEF786442 GEH786442 GOB786442 GOD786442 GXX786442 GXZ786442 HHT786442 HHV786442 HRP786442 HRR786442 IBL786442 IBN786442 ILH786442 ILJ786442 IVD786442 IVF786442 JEZ786442 JFB786442 JOV786442 JOX786442 JYR786442 JYT786442 KIN786442 KIP786442 KSJ786442 KSL786442 LCF786442 LCH786442 LMB786442 LMD786442 LVX786442 LVZ786442 MFT786442 MFV786442 MPP786442 MPR786442 MZL786442 MZN786442 NJH786442 NJJ786442 NTD786442 NTF786442 OCZ786442 ODB786442 OMV786442 OMX786442 OWR786442 OWT786442 PGN786442 PGP786442 PQJ786442 PQL786442 QAF786442 QAH786442 QKB786442 QKD786442 QTX786442 QTZ786442 RDT786442 RDV786442 RNP786442 RNR786442 RXL786442 RXN786442 SHH786442 SHJ786442 SRD786442 SRF786442 TAZ786442 TBB786442 TKV786442 TKX786442 TUR786442 TUT786442 UEN786442 UEP786442 UOJ786442 UOL786442 UYF786442 UYH786442 VIB786442 VID786442 VRX786442 VRZ786442 WBT786442 WBV786442 WLP786442 WLR786442 WVL786442 WVN786442 D851978 F851978 IZ851978 JB851978 SV851978 SX851978 ACR851978 ACT851978 AMN851978 AMP851978 AWJ851978 AWL851978 BGF851978 BGH851978 BQB851978 BQD851978 BZX851978 BZZ851978 CJT851978 CJV851978 CTP851978 CTR851978 DDL851978 DDN851978 DNH851978 DNJ851978 DXD851978 DXF851978 EGZ851978 EHB851978 EQV851978 EQX851978 FAR851978 FAT851978 FKN851978 FKP851978 FUJ851978 FUL851978 GEF851978 GEH851978 GOB851978 GOD851978 GXX851978 GXZ851978 HHT851978 HHV851978 HRP851978 HRR851978 IBL851978 IBN851978 ILH851978 ILJ851978 IVD851978 IVF851978 JEZ851978 JFB851978 JOV851978 JOX851978 JYR851978 JYT851978 KIN851978 KIP851978 KSJ851978 KSL851978 LCF851978 LCH851978 LMB851978 LMD851978 LVX851978 LVZ851978 MFT851978 MFV851978 MPP851978 MPR851978 MZL851978 MZN851978 NJH851978 NJJ851978 NTD851978 NTF851978 OCZ851978 ODB851978 OMV851978 OMX851978 OWR851978 OWT851978 PGN851978 PGP851978 PQJ851978 PQL851978 QAF851978 QAH851978 QKB851978 QKD851978 QTX851978 QTZ851978 RDT851978 RDV851978 RNP851978 RNR851978 RXL851978 RXN851978 SHH851978 SHJ851978 SRD851978 SRF851978 TAZ851978 TBB851978 TKV851978 TKX851978 TUR851978 TUT851978 UEN851978 UEP851978 UOJ851978 UOL851978 UYF851978 UYH851978 VIB851978 VID851978 VRX851978 VRZ851978 WBT851978 WBV851978 WLP851978 WLR851978 WVL851978 WVN851978 D917514 F917514 IZ917514 JB917514 SV917514 SX917514 ACR917514 ACT917514 AMN917514 AMP917514 AWJ917514 AWL917514 BGF917514 BGH917514 BQB917514 BQD917514 BZX917514 BZZ917514 CJT917514 CJV917514 CTP917514 CTR917514 DDL917514 DDN917514 DNH917514 DNJ917514 DXD917514 DXF917514 EGZ917514 EHB917514 EQV917514 EQX917514 FAR917514 FAT917514 FKN917514 FKP917514 FUJ917514 FUL917514 GEF917514 GEH917514 GOB917514 GOD917514 GXX917514 GXZ917514 HHT917514 HHV917514 HRP917514 HRR917514 IBL917514 IBN917514 ILH917514 ILJ917514 IVD917514 IVF917514 JEZ917514 JFB917514 JOV917514 JOX917514 JYR917514 JYT917514 KIN917514 KIP917514 KSJ917514 KSL917514 LCF917514 LCH917514 LMB917514 LMD917514 LVX917514 LVZ917514 MFT917514 MFV917514 MPP917514 MPR917514 MZL917514 MZN917514 NJH917514 NJJ917514 NTD917514 NTF917514 OCZ917514 ODB917514 OMV917514 OMX917514 OWR917514 OWT917514 PGN917514 PGP917514 PQJ917514 PQL917514 QAF917514 QAH917514 QKB917514 QKD917514 QTX917514 QTZ917514 RDT917514 RDV917514 RNP917514 RNR917514 RXL917514 RXN917514 SHH917514 SHJ917514 SRD917514 SRF917514 TAZ917514 TBB917514 TKV917514 TKX917514 TUR917514 TUT917514 UEN917514 UEP917514 UOJ917514 UOL917514 UYF917514 UYH917514 VIB917514 VID917514 VRX917514 VRZ917514 WBT917514 WBV917514 WLP917514 WLR917514 WVL917514 WVN917514 D983050 F983050 IZ983050 JB983050 SV983050 SX983050 ACR983050 ACT983050 AMN983050 AMP983050 AWJ983050 AWL983050 BGF983050 BGH983050 BQB983050 BQD983050 BZX983050 BZZ983050 CJT983050 CJV983050 CTP983050 CTR983050 DDL983050 DDN983050 DNH983050 DNJ983050 DXD983050 DXF983050 EGZ983050 EHB983050 EQV983050 EQX983050 FAR983050 FAT983050 FKN983050 FKP983050 FUJ983050 FUL983050 GEF983050 GEH983050 GOB983050 GOD983050 GXX983050 GXZ983050 HHT983050 HHV983050 HRP983050 HRR983050 IBL983050 IBN983050 ILH983050 ILJ983050 IVD983050 IVF983050 JEZ983050 JFB983050 JOV983050 JOX983050 JYR983050 JYT983050 KIN983050 KIP983050 KSJ983050 KSL983050 LCF983050 LCH983050 LMB983050 LMD983050 LVX983050 LVZ983050 MFT983050 MFV983050 MPP983050 MPR983050 MZL983050 MZN983050 NJH983050 NJJ983050 NTD983050 NTF983050 OCZ983050 ODB983050 OMV983050 OMX983050 OWR983050 OWT983050 PGN983050 PGP983050 PQJ983050 PQL983050 QAF983050 QAH983050 QKB983050 QKD983050 QTX983050 QTZ983050 RDT983050 RDV983050 RNP983050 RNR983050 RXL983050 RXN983050 SHH983050 SHJ983050 SRD983050 SRF983050 TAZ983050 TBB983050 TKV983050 TKX983050 TUR983050 TUT983050 UEN983050 UEP983050 UOJ983050 UOL983050 UYF983050 UYH983050 VIB983050 VID983050 VRX983050 VRZ983050 WBT983050 WBV983050 WLP983050 WLR983050 WVL983050 WVN983050">
      <formula1>$L$5:$L$16</formula1>
    </dataValidation>
    <dataValidation type="list" allowBlank="1" showInputMessage="1" showErrorMessage="1" sqref="D14 F14 IZ14 JB14 SV14 SX14 ACR14 ACT14 AMN14 AMP14 AWJ14 AWL14 BGF14 BGH14 BQB14 BQD14 BZX14 BZZ14 CJT14 CJV14 CTP14 CTR14 DDL14 DDN14 DNH14 DNJ14 DXD14 DXF14 EGZ14 EHB14 EQV14 EQX14 FAR14 FAT14 FKN14 FKP14 FUJ14 FUL14 GEF14 GEH14 GOB14 GOD14 GXX14 GXZ14 HHT14 HHV14 HRP14 HRR14 IBL14 IBN14 ILH14 ILJ14 IVD14 IVF14 JEZ14 JFB14 JOV14 JOX14 JYR14 JYT14 KIN14 KIP14 KSJ14 KSL14 LCF14 LCH14 LMB14 LMD14 LVX14 LVZ14 MFT14 MFV14 MPP14 MPR14 MZL14 MZN14 NJH14 NJJ14 NTD14 NTF14 OCZ14 ODB14 OMV14 OMX14 OWR14 OWT14 PGN14 PGP14 PQJ14 PQL14 QAF14 QAH14 QKB14 QKD14 QTX14 QTZ14 RDT14 RDV14 RNP14 RNR14 RXL14 RXN14 SHH14 SHJ14 SRD14 SRF14 TAZ14 TBB14 TKV14 TKX14 TUR14 TUT14 UEN14 UEP14 UOJ14 UOL14 UYF14 UYH14 VIB14 VID14 VRX14 VRZ14 WBT14 WBV14 WLP14 WLR14 WVL14 WVN14 D65550 F65550 IZ65550 JB65550 SV65550 SX65550 ACR65550 ACT65550 AMN65550 AMP65550 AWJ65550 AWL65550 BGF65550 BGH65550 BQB65550 BQD65550 BZX65550 BZZ65550 CJT65550 CJV65550 CTP65550 CTR65550 DDL65550 DDN65550 DNH65550 DNJ65550 DXD65550 DXF65550 EGZ65550 EHB65550 EQV65550 EQX65550 FAR65550 FAT65550 FKN65550 FKP65550 FUJ65550 FUL65550 GEF65550 GEH65550 GOB65550 GOD65550 GXX65550 GXZ65550 HHT65550 HHV65550 HRP65550 HRR65550 IBL65550 IBN65550 ILH65550 ILJ65550 IVD65550 IVF65550 JEZ65550 JFB65550 JOV65550 JOX65550 JYR65550 JYT65550 KIN65550 KIP65550 KSJ65550 KSL65550 LCF65550 LCH65550 LMB65550 LMD65550 LVX65550 LVZ65550 MFT65550 MFV65550 MPP65550 MPR65550 MZL65550 MZN65550 NJH65550 NJJ65550 NTD65550 NTF65550 OCZ65550 ODB65550 OMV65550 OMX65550 OWR65550 OWT65550 PGN65550 PGP65550 PQJ65550 PQL65550 QAF65550 QAH65550 QKB65550 QKD65550 QTX65550 QTZ65550 RDT65550 RDV65550 RNP65550 RNR65550 RXL65550 RXN65550 SHH65550 SHJ65550 SRD65550 SRF65550 TAZ65550 TBB65550 TKV65550 TKX65550 TUR65550 TUT65550 UEN65550 UEP65550 UOJ65550 UOL65550 UYF65550 UYH65550 VIB65550 VID65550 VRX65550 VRZ65550 WBT65550 WBV65550 WLP65550 WLR65550 WVL65550 WVN65550 D131086 F131086 IZ131086 JB131086 SV131086 SX131086 ACR131086 ACT131086 AMN131086 AMP131086 AWJ131086 AWL131086 BGF131086 BGH131086 BQB131086 BQD131086 BZX131086 BZZ131086 CJT131086 CJV131086 CTP131086 CTR131086 DDL131086 DDN131086 DNH131086 DNJ131086 DXD131086 DXF131086 EGZ131086 EHB131086 EQV131086 EQX131086 FAR131086 FAT131086 FKN131086 FKP131086 FUJ131086 FUL131086 GEF131086 GEH131086 GOB131086 GOD131086 GXX131086 GXZ131086 HHT131086 HHV131086 HRP131086 HRR131086 IBL131086 IBN131086 ILH131086 ILJ131086 IVD131086 IVF131086 JEZ131086 JFB131086 JOV131086 JOX131086 JYR131086 JYT131086 KIN131086 KIP131086 KSJ131086 KSL131086 LCF131086 LCH131086 LMB131086 LMD131086 LVX131086 LVZ131086 MFT131086 MFV131086 MPP131086 MPR131086 MZL131086 MZN131086 NJH131086 NJJ131086 NTD131086 NTF131086 OCZ131086 ODB131086 OMV131086 OMX131086 OWR131086 OWT131086 PGN131086 PGP131086 PQJ131086 PQL131086 QAF131086 QAH131086 QKB131086 QKD131086 QTX131086 QTZ131086 RDT131086 RDV131086 RNP131086 RNR131086 RXL131086 RXN131086 SHH131086 SHJ131086 SRD131086 SRF131086 TAZ131086 TBB131086 TKV131086 TKX131086 TUR131086 TUT131086 UEN131086 UEP131086 UOJ131086 UOL131086 UYF131086 UYH131086 VIB131086 VID131086 VRX131086 VRZ131086 WBT131086 WBV131086 WLP131086 WLR131086 WVL131086 WVN131086 D196622 F196622 IZ196622 JB196622 SV196622 SX196622 ACR196622 ACT196622 AMN196622 AMP196622 AWJ196622 AWL196622 BGF196622 BGH196622 BQB196622 BQD196622 BZX196622 BZZ196622 CJT196622 CJV196622 CTP196622 CTR196622 DDL196622 DDN196622 DNH196622 DNJ196622 DXD196622 DXF196622 EGZ196622 EHB196622 EQV196622 EQX196622 FAR196622 FAT196622 FKN196622 FKP196622 FUJ196622 FUL196622 GEF196622 GEH196622 GOB196622 GOD196622 GXX196622 GXZ196622 HHT196622 HHV196622 HRP196622 HRR196622 IBL196622 IBN196622 ILH196622 ILJ196622 IVD196622 IVF196622 JEZ196622 JFB196622 JOV196622 JOX196622 JYR196622 JYT196622 KIN196622 KIP196622 KSJ196622 KSL196622 LCF196622 LCH196622 LMB196622 LMD196622 LVX196622 LVZ196622 MFT196622 MFV196622 MPP196622 MPR196622 MZL196622 MZN196622 NJH196622 NJJ196622 NTD196622 NTF196622 OCZ196622 ODB196622 OMV196622 OMX196622 OWR196622 OWT196622 PGN196622 PGP196622 PQJ196622 PQL196622 QAF196622 QAH196622 QKB196622 QKD196622 QTX196622 QTZ196622 RDT196622 RDV196622 RNP196622 RNR196622 RXL196622 RXN196622 SHH196622 SHJ196622 SRD196622 SRF196622 TAZ196622 TBB196622 TKV196622 TKX196622 TUR196622 TUT196622 UEN196622 UEP196622 UOJ196622 UOL196622 UYF196622 UYH196622 VIB196622 VID196622 VRX196622 VRZ196622 WBT196622 WBV196622 WLP196622 WLR196622 WVL196622 WVN196622 D262158 F262158 IZ262158 JB262158 SV262158 SX262158 ACR262158 ACT262158 AMN262158 AMP262158 AWJ262158 AWL262158 BGF262158 BGH262158 BQB262158 BQD262158 BZX262158 BZZ262158 CJT262158 CJV262158 CTP262158 CTR262158 DDL262158 DDN262158 DNH262158 DNJ262158 DXD262158 DXF262158 EGZ262158 EHB262158 EQV262158 EQX262158 FAR262158 FAT262158 FKN262158 FKP262158 FUJ262158 FUL262158 GEF262158 GEH262158 GOB262158 GOD262158 GXX262158 GXZ262158 HHT262158 HHV262158 HRP262158 HRR262158 IBL262158 IBN262158 ILH262158 ILJ262158 IVD262158 IVF262158 JEZ262158 JFB262158 JOV262158 JOX262158 JYR262158 JYT262158 KIN262158 KIP262158 KSJ262158 KSL262158 LCF262158 LCH262158 LMB262158 LMD262158 LVX262158 LVZ262158 MFT262158 MFV262158 MPP262158 MPR262158 MZL262158 MZN262158 NJH262158 NJJ262158 NTD262158 NTF262158 OCZ262158 ODB262158 OMV262158 OMX262158 OWR262158 OWT262158 PGN262158 PGP262158 PQJ262158 PQL262158 QAF262158 QAH262158 QKB262158 QKD262158 QTX262158 QTZ262158 RDT262158 RDV262158 RNP262158 RNR262158 RXL262158 RXN262158 SHH262158 SHJ262158 SRD262158 SRF262158 TAZ262158 TBB262158 TKV262158 TKX262158 TUR262158 TUT262158 UEN262158 UEP262158 UOJ262158 UOL262158 UYF262158 UYH262158 VIB262158 VID262158 VRX262158 VRZ262158 WBT262158 WBV262158 WLP262158 WLR262158 WVL262158 WVN262158 D327694 F327694 IZ327694 JB327694 SV327694 SX327694 ACR327694 ACT327694 AMN327694 AMP327694 AWJ327694 AWL327694 BGF327694 BGH327694 BQB327694 BQD327694 BZX327694 BZZ327694 CJT327694 CJV327694 CTP327694 CTR327694 DDL327694 DDN327694 DNH327694 DNJ327694 DXD327694 DXF327694 EGZ327694 EHB327694 EQV327694 EQX327694 FAR327694 FAT327694 FKN327694 FKP327694 FUJ327694 FUL327694 GEF327694 GEH327694 GOB327694 GOD327694 GXX327694 GXZ327694 HHT327694 HHV327694 HRP327694 HRR327694 IBL327694 IBN327694 ILH327694 ILJ327694 IVD327694 IVF327694 JEZ327694 JFB327694 JOV327694 JOX327694 JYR327694 JYT327694 KIN327694 KIP327694 KSJ327694 KSL327694 LCF327694 LCH327694 LMB327694 LMD327694 LVX327694 LVZ327694 MFT327694 MFV327694 MPP327694 MPR327694 MZL327694 MZN327694 NJH327694 NJJ327694 NTD327694 NTF327694 OCZ327694 ODB327694 OMV327694 OMX327694 OWR327694 OWT327694 PGN327694 PGP327694 PQJ327694 PQL327694 QAF327694 QAH327694 QKB327694 QKD327694 QTX327694 QTZ327694 RDT327694 RDV327694 RNP327694 RNR327694 RXL327694 RXN327694 SHH327694 SHJ327694 SRD327694 SRF327694 TAZ327694 TBB327694 TKV327694 TKX327694 TUR327694 TUT327694 UEN327694 UEP327694 UOJ327694 UOL327694 UYF327694 UYH327694 VIB327694 VID327694 VRX327694 VRZ327694 WBT327694 WBV327694 WLP327694 WLR327694 WVL327694 WVN327694 D393230 F393230 IZ393230 JB393230 SV393230 SX393230 ACR393230 ACT393230 AMN393230 AMP393230 AWJ393230 AWL393230 BGF393230 BGH393230 BQB393230 BQD393230 BZX393230 BZZ393230 CJT393230 CJV393230 CTP393230 CTR393230 DDL393230 DDN393230 DNH393230 DNJ393230 DXD393230 DXF393230 EGZ393230 EHB393230 EQV393230 EQX393230 FAR393230 FAT393230 FKN393230 FKP393230 FUJ393230 FUL393230 GEF393230 GEH393230 GOB393230 GOD393230 GXX393230 GXZ393230 HHT393230 HHV393230 HRP393230 HRR393230 IBL393230 IBN393230 ILH393230 ILJ393230 IVD393230 IVF393230 JEZ393230 JFB393230 JOV393230 JOX393230 JYR393230 JYT393230 KIN393230 KIP393230 KSJ393230 KSL393230 LCF393230 LCH393230 LMB393230 LMD393230 LVX393230 LVZ393230 MFT393230 MFV393230 MPP393230 MPR393230 MZL393230 MZN393230 NJH393230 NJJ393230 NTD393230 NTF393230 OCZ393230 ODB393230 OMV393230 OMX393230 OWR393230 OWT393230 PGN393230 PGP393230 PQJ393230 PQL393230 QAF393230 QAH393230 QKB393230 QKD393230 QTX393230 QTZ393230 RDT393230 RDV393230 RNP393230 RNR393230 RXL393230 RXN393230 SHH393230 SHJ393230 SRD393230 SRF393230 TAZ393230 TBB393230 TKV393230 TKX393230 TUR393230 TUT393230 UEN393230 UEP393230 UOJ393230 UOL393230 UYF393230 UYH393230 VIB393230 VID393230 VRX393230 VRZ393230 WBT393230 WBV393230 WLP393230 WLR393230 WVL393230 WVN393230 D458766 F458766 IZ458766 JB458766 SV458766 SX458766 ACR458766 ACT458766 AMN458766 AMP458766 AWJ458766 AWL458766 BGF458766 BGH458766 BQB458766 BQD458766 BZX458766 BZZ458766 CJT458766 CJV458766 CTP458766 CTR458766 DDL458766 DDN458766 DNH458766 DNJ458766 DXD458766 DXF458766 EGZ458766 EHB458766 EQV458766 EQX458766 FAR458766 FAT458766 FKN458766 FKP458766 FUJ458766 FUL458766 GEF458766 GEH458766 GOB458766 GOD458766 GXX458766 GXZ458766 HHT458766 HHV458766 HRP458766 HRR458766 IBL458766 IBN458766 ILH458766 ILJ458766 IVD458766 IVF458766 JEZ458766 JFB458766 JOV458766 JOX458766 JYR458766 JYT458766 KIN458766 KIP458766 KSJ458766 KSL458766 LCF458766 LCH458766 LMB458766 LMD458766 LVX458766 LVZ458766 MFT458766 MFV458766 MPP458766 MPR458766 MZL458766 MZN458766 NJH458766 NJJ458766 NTD458766 NTF458766 OCZ458766 ODB458766 OMV458766 OMX458766 OWR458766 OWT458766 PGN458766 PGP458766 PQJ458766 PQL458766 QAF458766 QAH458766 QKB458766 QKD458766 QTX458766 QTZ458766 RDT458766 RDV458766 RNP458766 RNR458766 RXL458766 RXN458766 SHH458766 SHJ458766 SRD458766 SRF458766 TAZ458766 TBB458766 TKV458766 TKX458766 TUR458766 TUT458766 UEN458766 UEP458766 UOJ458766 UOL458766 UYF458766 UYH458766 VIB458766 VID458766 VRX458766 VRZ458766 WBT458766 WBV458766 WLP458766 WLR458766 WVL458766 WVN458766 D524302 F524302 IZ524302 JB524302 SV524302 SX524302 ACR524302 ACT524302 AMN524302 AMP524302 AWJ524302 AWL524302 BGF524302 BGH524302 BQB524302 BQD524302 BZX524302 BZZ524302 CJT524302 CJV524302 CTP524302 CTR524302 DDL524302 DDN524302 DNH524302 DNJ524302 DXD524302 DXF524302 EGZ524302 EHB524302 EQV524302 EQX524302 FAR524302 FAT524302 FKN524302 FKP524302 FUJ524302 FUL524302 GEF524302 GEH524302 GOB524302 GOD524302 GXX524302 GXZ524302 HHT524302 HHV524302 HRP524302 HRR524302 IBL524302 IBN524302 ILH524302 ILJ524302 IVD524302 IVF524302 JEZ524302 JFB524302 JOV524302 JOX524302 JYR524302 JYT524302 KIN524302 KIP524302 KSJ524302 KSL524302 LCF524302 LCH524302 LMB524302 LMD524302 LVX524302 LVZ524302 MFT524302 MFV524302 MPP524302 MPR524302 MZL524302 MZN524302 NJH524302 NJJ524302 NTD524302 NTF524302 OCZ524302 ODB524302 OMV524302 OMX524302 OWR524302 OWT524302 PGN524302 PGP524302 PQJ524302 PQL524302 QAF524302 QAH524302 QKB524302 QKD524302 QTX524302 QTZ524302 RDT524302 RDV524302 RNP524302 RNR524302 RXL524302 RXN524302 SHH524302 SHJ524302 SRD524302 SRF524302 TAZ524302 TBB524302 TKV524302 TKX524302 TUR524302 TUT524302 UEN524302 UEP524302 UOJ524302 UOL524302 UYF524302 UYH524302 VIB524302 VID524302 VRX524302 VRZ524302 WBT524302 WBV524302 WLP524302 WLR524302 WVL524302 WVN524302 D589838 F589838 IZ589838 JB589838 SV589838 SX589838 ACR589838 ACT589838 AMN589838 AMP589838 AWJ589838 AWL589838 BGF589838 BGH589838 BQB589838 BQD589838 BZX589838 BZZ589838 CJT589838 CJV589838 CTP589838 CTR589838 DDL589838 DDN589838 DNH589838 DNJ589838 DXD589838 DXF589838 EGZ589838 EHB589838 EQV589838 EQX589838 FAR589838 FAT589838 FKN589838 FKP589838 FUJ589838 FUL589838 GEF589838 GEH589838 GOB589838 GOD589838 GXX589838 GXZ589838 HHT589838 HHV589838 HRP589838 HRR589838 IBL589838 IBN589838 ILH589838 ILJ589838 IVD589838 IVF589838 JEZ589838 JFB589838 JOV589838 JOX589838 JYR589838 JYT589838 KIN589838 KIP589838 KSJ589838 KSL589838 LCF589838 LCH589838 LMB589838 LMD589838 LVX589838 LVZ589838 MFT589838 MFV589838 MPP589838 MPR589838 MZL589838 MZN589838 NJH589838 NJJ589838 NTD589838 NTF589838 OCZ589838 ODB589838 OMV589838 OMX589838 OWR589838 OWT589838 PGN589838 PGP589838 PQJ589838 PQL589838 QAF589838 QAH589838 QKB589838 QKD589838 QTX589838 QTZ589838 RDT589838 RDV589838 RNP589838 RNR589838 RXL589838 RXN589838 SHH589838 SHJ589838 SRD589838 SRF589838 TAZ589838 TBB589838 TKV589838 TKX589838 TUR589838 TUT589838 UEN589838 UEP589838 UOJ589838 UOL589838 UYF589838 UYH589838 VIB589838 VID589838 VRX589838 VRZ589838 WBT589838 WBV589838 WLP589838 WLR589838 WVL589838 WVN589838 D655374 F655374 IZ655374 JB655374 SV655374 SX655374 ACR655374 ACT655374 AMN655374 AMP655374 AWJ655374 AWL655374 BGF655374 BGH655374 BQB655374 BQD655374 BZX655374 BZZ655374 CJT655374 CJV655374 CTP655374 CTR655374 DDL655374 DDN655374 DNH655374 DNJ655374 DXD655374 DXF655374 EGZ655374 EHB655374 EQV655374 EQX655374 FAR655374 FAT655374 FKN655374 FKP655374 FUJ655374 FUL655374 GEF655374 GEH655374 GOB655374 GOD655374 GXX655374 GXZ655374 HHT655374 HHV655374 HRP655374 HRR655374 IBL655374 IBN655374 ILH655374 ILJ655374 IVD655374 IVF655374 JEZ655374 JFB655374 JOV655374 JOX655374 JYR655374 JYT655374 KIN655374 KIP655374 KSJ655374 KSL655374 LCF655374 LCH655374 LMB655374 LMD655374 LVX655374 LVZ655374 MFT655374 MFV655374 MPP655374 MPR655374 MZL655374 MZN655374 NJH655374 NJJ655374 NTD655374 NTF655374 OCZ655374 ODB655374 OMV655374 OMX655374 OWR655374 OWT655374 PGN655374 PGP655374 PQJ655374 PQL655374 QAF655374 QAH655374 QKB655374 QKD655374 QTX655374 QTZ655374 RDT655374 RDV655374 RNP655374 RNR655374 RXL655374 RXN655374 SHH655374 SHJ655374 SRD655374 SRF655374 TAZ655374 TBB655374 TKV655374 TKX655374 TUR655374 TUT655374 UEN655374 UEP655374 UOJ655374 UOL655374 UYF655374 UYH655374 VIB655374 VID655374 VRX655374 VRZ655374 WBT655374 WBV655374 WLP655374 WLR655374 WVL655374 WVN655374 D720910 F720910 IZ720910 JB720910 SV720910 SX720910 ACR720910 ACT720910 AMN720910 AMP720910 AWJ720910 AWL720910 BGF720910 BGH720910 BQB720910 BQD720910 BZX720910 BZZ720910 CJT720910 CJV720910 CTP720910 CTR720910 DDL720910 DDN720910 DNH720910 DNJ720910 DXD720910 DXF720910 EGZ720910 EHB720910 EQV720910 EQX720910 FAR720910 FAT720910 FKN720910 FKP720910 FUJ720910 FUL720910 GEF720910 GEH720910 GOB720910 GOD720910 GXX720910 GXZ720910 HHT720910 HHV720910 HRP720910 HRR720910 IBL720910 IBN720910 ILH720910 ILJ720910 IVD720910 IVF720910 JEZ720910 JFB720910 JOV720910 JOX720910 JYR720910 JYT720910 KIN720910 KIP720910 KSJ720910 KSL720910 LCF720910 LCH720910 LMB720910 LMD720910 LVX720910 LVZ720910 MFT720910 MFV720910 MPP720910 MPR720910 MZL720910 MZN720910 NJH720910 NJJ720910 NTD720910 NTF720910 OCZ720910 ODB720910 OMV720910 OMX720910 OWR720910 OWT720910 PGN720910 PGP720910 PQJ720910 PQL720910 QAF720910 QAH720910 QKB720910 QKD720910 QTX720910 QTZ720910 RDT720910 RDV720910 RNP720910 RNR720910 RXL720910 RXN720910 SHH720910 SHJ720910 SRD720910 SRF720910 TAZ720910 TBB720910 TKV720910 TKX720910 TUR720910 TUT720910 UEN720910 UEP720910 UOJ720910 UOL720910 UYF720910 UYH720910 VIB720910 VID720910 VRX720910 VRZ720910 WBT720910 WBV720910 WLP720910 WLR720910 WVL720910 WVN720910 D786446 F786446 IZ786446 JB786446 SV786446 SX786446 ACR786446 ACT786446 AMN786446 AMP786446 AWJ786446 AWL786446 BGF786446 BGH786446 BQB786446 BQD786446 BZX786446 BZZ786446 CJT786446 CJV786446 CTP786446 CTR786446 DDL786446 DDN786446 DNH786446 DNJ786446 DXD786446 DXF786446 EGZ786446 EHB786446 EQV786446 EQX786446 FAR786446 FAT786446 FKN786446 FKP786446 FUJ786446 FUL786446 GEF786446 GEH786446 GOB786446 GOD786446 GXX786446 GXZ786446 HHT786446 HHV786446 HRP786446 HRR786446 IBL786446 IBN786446 ILH786446 ILJ786446 IVD786446 IVF786446 JEZ786446 JFB786446 JOV786446 JOX786446 JYR786446 JYT786446 KIN786446 KIP786446 KSJ786446 KSL786446 LCF786446 LCH786446 LMB786446 LMD786446 LVX786446 LVZ786446 MFT786446 MFV786446 MPP786446 MPR786446 MZL786446 MZN786446 NJH786446 NJJ786446 NTD786446 NTF786446 OCZ786446 ODB786446 OMV786446 OMX786446 OWR786446 OWT786446 PGN786446 PGP786446 PQJ786446 PQL786446 QAF786446 QAH786446 QKB786446 QKD786446 QTX786446 QTZ786446 RDT786446 RDV786446 RNP786446 RNR786446 RXL786446 RXN786446 SHH786446 SHJ786446 SRD786446 SRF786446 TAZ786446 TBB786446 TKV786446 TKX786446 TUR786446 TUT786446 UEN786446 UEP786446 UOJ786446 UOL786446 UYF786446 UYH786446 VIB786446 VID786446 VRX786446 VRZ786446 WBT786446 WBV786446 WLP786446 WLR786446 WVL786446 WVN786446 D851982 F851982 IZ851982 JB851982 SV851982 SX851982 ACR851982 ACT851982 AMN851982 AMP851982 AWJ851982 AWL851982 BGF851982 BGH851982 BQB851982 BQD851982 BZX851982 BZZ851982 CJT851982 CJV851982 CTP851982 CTR851982 DDL851982 DDN851982 DNH851982 DNJ851982 DXD851982 DXF851982 EGZ851982 EHB851982 EQV851982 EQX851982 FAR851982 FAT851982 FKN851982 FKP851982 FUJ851982 FUL851982 GEF851982 GEH851982 GOB851982 GOD851982 GXX851982 GXZ851982 HHT851982 HHV851982 HRP851982 HRR851982 IBL851982 IBN851982 ILH851982 ILJ851982 IVD851982 IVF851982 JEZ851982 JFB851982 JOV851982 JOX851982 JYR851982 JYT851982 KIN851982 KIP851982 KSJ851982 KSL851982 LCF851982 LCH851982 LMB851982 LMD851982 LVX851982 LVZ851982 MFT851982 MFV851982 MPP851982 MPR851982 MZL851982 MZN851982 NJH851982 NJJ851982 NTD851982 NTF851982 OCZ851982 ODB851982 OMV851982 OMX851982 OWR851982 OWT851982 PGN851982 PGP851982 PQJ851982 PQL851982 QAF851982 QAH851982 QKB851982 QKD851982 QTX851982 QTZ851982 RDT851982 RDV851982 RNP851982 RNR851982 RXL851982 RXN851982 SHH851982 SHJ851982 SRD851982 SRF851982 TAZ851982 TBB851982 TKV851982 TKX851982 TUR851982 TUT851982 UEN851982 UEP851982 UOJ851982 UOL851982 UYF851982 UYH851982 VIB851982 VID851982 VRX851982 VRZ851982 WBT851982 WBV851982 WLP851982 WLR851982 WVL851982 WVN851982 D917518 F917518 IZ917518 JB917518 SV917518 SX917518 ACR917518 ACT917518 AMN917518 AMP917518 AWJ917518 AWL917518 BGF917518 BGH917518 BQB917518 BQD917518 BZX917518 BZZ917518 CJT917518 CJV917518 CTP917518 CTR917518 DDL917518 DDN917518 DNH917518 DNJ917518 DXD917518 DXF917518 EGZ917518 EHB917518 EQV917518 EQX917518 FAR917518 FAT917518 FKN917518 FKP917518 FUJ917518 FUL917518 GEF917518 GEH917518 GOB917518 GOD917518 GXX917518 GXZ917518 HHT917518 HHV917518 HRP917518 HRR917518 IBL917518 IBN917518 ILH917518 ILJ917518 IVD917518 IVF917518 JEZ917518 JFB917518 JOV917518 JOX917518 JYR917518 JYT917518 KIN917518 KIP917518 KSJ917518 KSL917518 LCF917518 LCH917518 LMB917518 LMD917518 LVX917518 LVZ917518 MFT917518 MFV917518 MPP917518 MPR917518 MZL917518 MZN917518 NJH917518 NJJ917518 NTD917518 NTF917518 OCZ917518 ODB917518 OMV917518 OMX917518 OWR917518 OWT917518 PGN917518 PGP917518 PQJ917518 PQL917518 QAF917518 QAH917518 QKB917518 QKD917518 QTX917518 QTZ917518 RDT917518 RDV917518 RNP917518 RNR917518 RXL917518 RXN917518 SHH917518 SHJ917518 SRD917518 SRF917518 TAZ917518 TBB917518 TKV917518 TKX917518 TUR917518 TUT917518 UEN917518 UEP917518 UOJ917518 UOL917518 UYF917518 UYH917518 VIB917518 VID917518 VRX917518 VRZ917518 WBT917518 WBV917518 WLP917518 WLR917518 WVL917518 WVN917518 D983054 F983054 IZ983054 JB983054 SV983054 SX983054 ACR983054 ACT983054 AMN983054 AMP983054 AWJ983054 AWL983054 BGF983054 BGH983054 BQB983054 BQD983054 BZX983054 BZZ983054 CJT983054 CJV983054 CTP983054 CTR983054 DDL983054 DDN983054 DNH983054 DNJ983054 DXD983054 DXF983054 EGZ983054 EHB983054 EQV983054 EQX983054 FAR983054 FAT983054 FKN983054 FKP983054 FUJ983054 FUL983054 GEF983054 GEH983054 GOB983054 GOD983054 GXX983054 GXZ983054 HHT983054 HHV983054 HRP983054 HRR983054 IBL983054 IBN983054 ILH983054 ILJ983054 IVD983054 IVF983054 JEZ983054 JFB983054 JOV983054 JOX983054 JYR983054 JYT983054 KIN983054 KIP983054 KSJ983054 KSL983054 LCF983054 LCH983054 LMB983054 LMD983054 LVX983054 LVZ983054 MFT983054 MFV983054 MPP983054 MPR983054 MZL983054 MZN983054 NJH983054 NJJ983054 NTD983054 NTF983054 OCZ983054 ODB983054 OMV983054 OMX983054 OWR983054 OWT983054 PGN983054 PGP983054 PQJ983054 PQL983054 QAF983054 QAH983054 QKB983054 QKD983054 QTX983054 QTZ983054 RDT983054 RDV983054 RNP983054 RNR983054 RXL983054 RXN983054 SHH983054 SHJ983054 SRD983054 SRF983054 TAZ983054 TBB983054 TKV983054 TKX983054 TUR983054 TUT983054 UEN983054 UEP983054 UOJ983054 UOL983054 UYF983054 UYH983054 VIB983054 VID983054 VRX983054 VRZ983054 WBT983054 WBV983054 WLP983054 WLR983054 WVL983054 WVN983054">
      <formula1>$M$5:$M$23</formula1>
    </dataValidation>
    <dataValidation type="list" allowBlank="1" showInputMessage="1" showErrorMessage="1" sqref="D18 F18 IZ18 JB18 SV18 SX18 ACR18 ACT18 AMN18 AMP18 AWJ18 AWL18 BGF18 BGH18 BQB18 BQD18 BZX18 BZZ18 CJT18 CJV18 CTP18 CTR18 DDL18 DDN18 DNH18 DNJ18 DXD18 DXF18 EGZ18 EHB18 EQV18 EQX18 FAR18 FAT18 FKN18 FKP18 FUJ18 FUL18 GEF18 GEH18 GOB18 GOD18 GXX18 GXZ18 HHT18 HHV18 HRP18 HRR18 IBL18 IBN18 ILH18 ILJ18 IVD18 IVF18 JEZ18 JFB18 JOV18 JOX18 JYR18 JYT18 KIN18 KIP18 KSJ18 KSL18 LCF18 LCH18 LMB18 LMD18 LVX18 LVZ18 MFT18 MFV18 MPP18 MPR18 MZL18 MZN18 NJH18 NJJ18 NTD18 NTF18 OCZ18 ODB18 OMV18 OMX18 OWR18 OWT18 PGN18 PGP18 PQJ18 PQL18 QAF18 QAH18 QKB18 QKD18 QTX18 QTZ18 RDT18 RDV18 RNP18 RNR18 RXL18 RXN18 SHH18 SHJ18 SRD18 SRF18 TAZ18 TBB18 TKV18 TKX18 TUR18 TUT18 UEN18 UEP18 UOJ18 UOL18 UYF18 UYH18 VIB18 VID18 VRX18 VRZ18 WBT18 WBV18 WLP18 WLR18 WVL18 WVN18 D65554 F65554 IZ65554 JB65554 SV65554 SX65554 ACR65554 ACT65554 AMN65554 AMP65554 AWJ65554 AWL65554 BGF65554 BGH65554 BQB65554 BQD65554 BZX65554 BZZ65554 CJT65554 CJV65554 CTP65554 CTR65554 DDL65554 DDN65554 DNH65554 DNJ65554 DXD65554 DXF65554 EGZ65554 EHB65554 EQV65554 EQX65554 FAR65554 FAT65554 FKN65554 FKP65554 FUJ65554 FUL65554 GEF65554 GEH65554 GOB65554 GOD65554 GXX65554 GXZ65554 HHT65554 HHV65554 HRP65554 HRR65554 IBL65554 IBN65554 ILH65554 ILJ65554 IVD65554 IVF65554 JEZ65554 JFB65554 JOV65554 JOX65554 JYR65554 JYT65554 KIN65554 KIP65554 KSJ65554 KSL65554 LCF65554 LCH65554 LMB65554 LMD65554 LVX65554 LVZ65554 MFT65554 MFV65554 MPP65554 MPR65554 MZL65554 MZN65554 NJH65554 NJJ65554 NTD65554 NTF65554 OCZ65554 ODB65554 OMV65554 OMX65554 OWR65554 OWT65554 PGN65554 PGP65554 PQJ65554 PQL65554 QAF65554 QAH65554 QKB65554 QKD65554 QTX65554 QTZ65554 RDT65554 RDV65554 RNP65554 RNR65554 RXL65554 RXN65554 SHH65554 SHJ65554 SRD65554 SRF65554 TAZ65554 TBB65554 TKV65554 TKX65554 TUR65554 TUT65554 UEN65554 UEP65554 UOJ65554 UOL65554 UYF65554 UYH65554 VIB65554 VID65554 VRX65554 VRZ65554 WBT65554 WBV65554 WLP65554 WLR65554 WVL65554 WVN65554 D131090 F131090 IZ131090 JB131090 SV131090 SX131090 ACR131090 ACT131090 AMN131090 AMP131090 AWJ131090 AWL131090 BGF131090 BGH131090 BQB131090 BQD131090 BZX131090 BZZ131090 CJT131090 CJV131090 CTP131090 CTR131090 DDL131090 DDN131090 DNH131090 DNJ131090 DXD131090 DXF131090 EGZ131090 EHB131090 EQV131090 EQX131090 FAR131090 FAT131090 FKN131090 FKP131090 FUJ131090 FUL131090 GEF131090 GEH131090 GOB131090 GOD131090 GXX131090 GXZ131090 HHT131090 HHV131090 HRP131090 HRR131090 IBL131090 IBN131090 ILH131090 ILJ131090 IVD131090 IVF131090 JEZ131090 JFB131090 JOV131090 JOX131090 JYR131090 JYT131090 KIN131090 KIP131090 KSJ131090 KSL131090 LCF131090 LCH131090 LMB131090 LMD131090 LVX131090 LVZ131090 MFT131090 MFV131090 MPP131090 MPR131090 MZL131090 MZN131090 NJH131090 NJJ131090 NTD131090 NTF131090 OCZ131090 ODB131090 OMV131090 OMX131090 OWR131090 OWT131090 PGN131090 PGP131090 PQJ131090 PQL131090 QAF131090 QAH131090 QKB131090 QKD131090 QTX131090 QTZ131090 RDT131090 RDV131090 RNP131090 RNR131090 RXL131090 RXN131090 SHH131090 SHJ131090 SRD131090 SRF131090 TAZ131090 TBB131090 TKV131090 TKX131090 TUR131090 TUT131090 UEN131090 UEP131090 UOJ131090 UOL131090 UYF131090 UYH131090 VIB131090 VID131090 VRX131090 VRZ131090 WBT131090 WBV131090 WLP131090 WLR131090 WVL131090 WVN131090 D196626 F196626 IZ196626 JB196626 SV196626 SX196626 ACR196626 ACT196626 AMN196626 AMP196626 AWJ196626 AWL196626 BGF196626 BGH196626 BQB196626 BQD196626 BZX196626 BZZ196626 CJT196626 CJV196626 CTP196626 CTR196626 DDL196626 DDN196626 DNH196626 DNJ196626 DXD196626 DXF196626 EGZ196626 EHB196626 EQV196626 EQX196626 FAR196626 FAT196626 FKN196626 FKP196626 FUJ196626 FUL196626 GEF196626 GEH196626 GOB196626 GOD196626 GXX196626 GXZ196626 HHT196626 HHV196626 HRP196626 HRR196626 IBL196626 IBN196626 ILH196626 ILJ196626 IVD196626 IVF196626 JEZ196626 JFB196626 JOV196626 JOX196626 JYR196626 JYT196626 KIN196626 KIP196626 KSJ196626 KSL196626 LCF196626 LCH196626 LMB196626 LMD196626 LVX196626 LVZ196626 MFT196626 MFV196626 MPP196626 MPR196626 MZL196626 MZN196626 NJH196626 NJJ196626 NTD196626 NTF196626 OCZ196626 ODB196626 OMV196626 OMX196626 OWR196626 OWT196626 PGN196626 PGP196626 PQJ196626 PQL196626 QAF196626 QAH196626 QKB196626 QKD196626 QTX196626 QTZ196626 RDT196626 RDV196626 RNP196626 RNR196626 RXL196626 RXN196626 SHH196626 SHJ196626 SRD196626 SRF196626 TAZ196626 TBB196626 TKV196626 TKX196626 TUR196626 TUT196626 UEN196626 UEP196626 UOJ196626 UOL196626 UYF196626 UYH196626 VIB196626 VID196626 VRX196626 VRZ196626 WBT196626 WBV196626 WLP196626 WLR196626 WVL196626 WVN196626 D262162 F262162 IZ262162 JB262162 SV262162 SX262162 ACR262162 ACT262162 AMN262162 AMP262162 AWJ262162 AWL262162 BGF262162 BGH262162 BQB262162 BQD262162 BZX262162 BZZ262162 CJT262162 CJV262162 CTP262162 CTR262162 DDL262162 DDN262162 DNH262162 DNJ262162 DXD262162 DXF262162 EGZ262162 EHB262162 EQV262162 EQX262162 FAR262162 FAT262162 FKN262162 FKP262162 FUJ262162 FUL262162 GEF262162 GEH262162 GOB262162 GOD262162 GXX262162 GXZ262162 HHT262162 HHV262162 HRP262162 HRR262162 IBL262162 IBN262162 ILH262162 ILJ262162 IVD262162 IVF262162 JEZ262162 JFB262162 JOV262162 JOX262162 JYR262162 JYT262162 KIN262162 KIP262162 KSJ262162 KSL262162 LCF262162 LCH262162 LMB262162 LMD262162 LVX262162 LVZ262162 MFT262162 MFV262162 MPP262162 MPR262162 MZL262162 MZN262162 NJH262162 NJJ262162 NTD262162 NTF262162 OCZ262162 ODB262162 OMV262162 OMX262162 OWR262162 OWT262162 PGN262162 PGP262162 PQJ262162 PQL262162 QAF262162 QAH262162 QKB262162 QKD262162 QTX262162 QTZ262162 RDT262162 RDV262162 RNP262162 RNR262162 RXL262162 RXN262162 SHH262162 SHJ262162 SRD262162 SRF262162 TAZ262162 TBB262162 TKV262162 TKX262162 TUR262162 TUT262162 UEN262162 UEP262162 UOJ262162 UOL262162 UYF262162 UYH262162 VIB262162 VID262162 VRX262162 VRZ262162 WBT262162 WBV262162 WLP262162 WLR262162 WVL262162 WVN262162 D327698 F327698 IZ327698 JB327698 SV327698 SX327698 ACR327698 ACT327698 AMN327698 AMP327698 AWJ327698 AWL327698 BGF327698 BGH327698 BQB327698 BQD327698 BZX327698 BZZ327698 CJT327698 CJV327698 CTP327698 CTR327698 DDL327698 DDN327698 DNH327698 DNJ327698 DXD327698 DXF327698 EGZ327698 EHB327698 EQV327698 EQX327698 FAR327698 FAT327698 FKN327698 FKP327698 FUJ327698 FUL327698 GEF327698 GEH327698 GOB327698 GOD327698 GXX327698 GXZ327698 HHT327698 HHV327698 HRP327698 HRR327698 IBL327698 IBN327698 ILH327698 ILJ327698 IVD327698 IVF327698 JEZ327698 JFB327698 JOV327698 JOX327698 JYR327698 JYT327698 KIN327698 KIP327698 KSJ327698 KSL327698 LCF327698 LCH327698 LMB327698 LMD327698 LVX327698 LVZ327698 MFT327698 MFV327698 MPP327698 MPR327698 MZL327698 MZN327698 NJH327698 NJJ327698 NTD327698 NTF327698 OCZ327698 ODB327698 OMV327698 OMX327698 OWR327698 OWT327698 PGN327698 PGP327698 PQJ327698 PQL327698 QAF327698 QAH327698 QKB327698 QKD327698 QTX327698 QTZ327698 RDT327698 RDV327698 RNP327698 RNR327698 RXL327698 RXN327698 SHH327698 SHJ327698 SRD327698 SRF327698 TAZ327698 TBB327698 TKV327698 TKX327698 TUR327698 TUT327698 UEN327698 UEP327698 UOJ327698 UOL327698 UYF327698 UYH327698 VIB327698 VID327698 VRX327698 VRZ327698 WBT327698 WBV327698 WLP327698 WLR327698 WVL327698 WVN327698 D393234 F393234 IZ393234 JB393234 SV393234 SX393234 ACR393234 ACT393234 AMN393234 AMP393234 AWJ393234 AWL393234 BGF393234 BGH393234 BQB393234 BQD393234 BZX393234 BZZ393234 CJT393234 CJV393234 CTP393234 CTR393234 DDL393234 DDN393234 DNH393234 DNJ393234 DXD393234 DXF393234 EGZ393234 EHB393234 EQV393234 EQX393234 FAR393234 FAT393234 FKN393234 FKP393234 FUJ393234 FUL393234 GEF393234 GEH393234 GOB393234 GOD393234 GXX393234 GXZ393234 HHT393234 HHV393234 HRP393234 HRR393234 IBL393234 IBN393234 ILH393234 ILJ393234 IVD393234 IVF393234 JEZ393234 JFB393234 JOV393234 JOX393234 JYR393234 JYT393234 KIN393234 KIP393234 KSJ393234 KSL393234 LCF393234 LCH393234 LMB393234 LMD393234 LVX393234 LVZ393234 MFT393234 MFV393234 MPP393234 MPR393234 MZL393234 MZN393234 NJH393234 NJJ393234 NTD393234 NTF393234 OCZ393234 ODB393234 OMV393234 OMX393234 OWR393234 OWT393234 PGN393234 PGP393234 PQJ393234 PQL393234 QAF393234 QAH393234 QKB393234 QKD393234 QTX393234 QTZ393234 RDT393234 RDV393234 RNP393234 RNR393234 RXL393234 RXN393234 SHH393234 SHJ393234 SRD393234 SRF393234 TAZ393234 TBB393234 TKV393234 TKX393234 TUR393234 TUT393234 UEN393234 UEP393234 UOJ393234 UOL393234 UYF393234 UYH393234 VIB393234 VID393234 VRX393234 VRZ393234 WBT393234 WBV393234 WLP393234 WLR393234 WVL393234 WVN393234 D458770 F458770 IZ458770 JB458770 SV458770 SX458770 ACR458770 ACT458770 AMN458770 AMP458770 AWJ458770 AWL458770 BGF458770 BGH458770 BQB458770 BQD458770 BZX458770 BZZ458770 CJT458770 CJV458770 CTP458770 CTR458770 DDL458770 DDN458770 DNH458770 DNJ458770 DXD458770 DXF458770 EGZ458770 EHB458770 EQV458770 EQX458770 FAR458770 FAT458770 FKN458770 FKP458770 FUJ458770 FUL458770 GEF458770 GEH458770 GOB458770 GOD458770 GXX458770 GXZ458770 HHT458770 HHV458770 HRP458770 HRR458770 IBL458770 IBN458770 ILH458770 ILJ458770 IVD458770 IVF458770 JEZ458770 JFB458770 JOV458770 JOX458770 JYR458770 JYT458770 KIN458770 KIP458770 KSJ458770 KSL458770 LCF458770 LCH458770 LMB458770 LMD458770 LVX458770 LVZ458770 MFT458770 MFV458770 MPP458770 MPR458770 MZL458770 MZN458770 NJH458770 NJJ458770 NTD458770 NTF458770 OCZ458770 ODB458770 OMV458770 OMX458770 OWR458770 OWT458770 PGN458770 PGP458770 PQJ458770 PQL458770 QAF458770 QAH458770 QKB458770 QKD458770 QTX458770 QTZ458770 RDT458770 RDV458770 RNP458770 RNR458770 RXL458770 RXN458770 SHH458770 SHJ458770 SRD458770 SRF458770 TAZ458770 TBB458770 TKV458770 TKX458770 TUR458770 TUT458770 UEN458770 UEP458770 UOJ458770 UOL458770 UYF458770 UYH458770 VIB458770 VID458770 VRX458770 VRZ458770 WBT458770 WBV458770 WLP458770 WLR458770 WVL458770 WVN458770 D524306 F524306 IZ524306 JB524306 SV524306 SX524306 ACR524306 ACT524306 AMN524306 AMP524306 AWJ524306 AWL524306 BGF524306 BGH524306 BQB524306 BQD524306 BZX524306 BZZ524306 CJT524306 CJV524306 CTP524306 CTR524306 DDL524306 DDN524306 DNH524306 DNJ524306 DXD524306 DXF524306 EGZ524306 EHB524306 EQV524306 EQX524306 FAR524306 FAT524306 FKN524306 FKP524306 FUJ524306 FUL524306 GEF524306 GEH524306 GOB524306 GOD524306 GXX524306 GXZ524306 HHT524306 HHV524306 HRP524306 HRR524306 IBL524306 IBN524306 ILH524306 ILJ524306 IVD524306 IVF524306 JEZ524306 JFB524306 JOV524306 JOX524306 JYR524306 JYT524306 KIN524306 KIP524306 KSJ524306 KSL524306 LCF524306 LCH524306 LMB524306 LMD524306 LVX524306 LVZ524306 MFT524306 MFV524306 MPP524306 MPR524306 MZL524306 MZN524306 NJH524306 NJJ524306 NTD524306 NTF524306 OCZ524306 ODB524306 OMV524306 OMX524306 OWR524306 OWT524306 PGN524306 PGP524306 PQJ524306 PQL524306 QAF524306 QAH524306 QKB524306 QKD524306 QTX524306 QTZ524306 RDT524306 RDV524306 RNP524306 RNR524306 RXL524306 RXN524306 SHH524306 SHJ524306 SRD524306 SRF524306 TAZ524306 TBB524306 TKV524306 TKX524306 TUR524306 TUT524306 UEN524306 UEP524306 UOJ524306 UOL524306 UYF524306 UYH524306 VIB524306 VID524306 VRX524306 VRZ524306 WBT524306 WBV524306 WLP524306 WLR524306 WVL524306 WVN524306 D589842 F589842 IZ589842 JB589842 SV589842 SX589842 ACR589842 ACT589842 AMN589842 AMP589842 AWJ589842 AWL589842 BGF589842 BGH589842 BQB589842 BQD589842 BZX589842 BZZ589842 CJT589842 CJV589842 CTP589842 CTR589842 DDL589842 DDN589842 DNH589842 DNJ589842 DXD589842 DXF589842 EGZ589842 EHB589842 EQV589842 EQX589842 FAR589842 FAT589842 FKN589842 FKP589842 FUJ589842 FUL589842 GEF589842 GEH589842 GOB589842 GOD589842 GXX589842 GXZ589842 HHT589842 HHV589842 HRP589842 HRR589842 IBL589842 IBN589842 ILH589842 ILJ589842 IVD589842 IVF589842 JEZ589842 JFB589842 JOV589842 JOX589842 JYR589842 JYT589842 KIN589842 KIP589842 KSJ589842 KSL589842 LCF589842 LCH589842 LMB589842 LMD589842 LVX589842 LVZ589842 MFT589842 MFV589842 MPP589842 MPR589842 MZL589842 MZN589842 NJH589842 NJJ589842 NTD589842 NTF589842 OCZ589842 ODB589842 OMV589842 OMX589842 OWR589842 OWT589842 PGN589842 PGP589842 PQJ589842 PQL589842 QAF589842 QAH589842 QKB589842 QKD589842 QTX589842 QTZ589842 RDT589842 RDV589842 RNP589842 RNR589842 RXL589842 RXN589842 SHH589842 SHJ589842 SRD589842 SRF589842 TAZ589842 TBB589842 TKV589842 TKX589842 TUR589842 TUT589842 UEN589842 UEP589842 UOJ589842 UOL589842 UYF589842 UYH589842 VIB589842 VID589842 VRX589842 VRZ589842 WBT589842 WBV589842 WLP589842 WLR589842 WVL589842 WVN589842 D655378 F655378 IZ655378 JB655378 SV655378 SX655378 ACR655378 ACT655378 AMN655378 AMP655378 AWJ655378 AWL655378 BGF655378 BGH655378 BQB655378 BQD655378 BZX655378 BZZ655378 CJT655378 CJV655378 CTP655378 CTR655378 DDL655378 DDN655378 DNH655378 DNJ655378 DXD655378 DXF655378 EGZ655378 EHB655378 EQV655378 EQX655378 FAR655378 FAT655378 FKN655378 FKP655378 FUJ655378 FUL655378 GEF655378 GEH655378 GOB655378 GOD655378 GXX655378 GXZ655378 HHT655378 HHV655378 HRP655378 HRR655378 IBL655378 IBN655378 ILH655378 ILJ655378 IVD655378 IVF655378 JEZ655378 JFB655378 JOV655378 JOX655378 JYR655378 JYT655378 KIN655378 KIP655378 KSJ655378 KSL655378 LCF655378 LCH655378 LMB655378 LMD655378 LVX655378 LVZ655378 MFT655378 MFV655378 MPP655378 MPR655378 MZL655378 MZN655378 NJH655378 NJJ655378 NTD655378 NTF655378 OCZ655378 ODB655378 OMV655378 OMX655378 OWR655378 OWT655378 PGN655378 PGP655378 PQJ655378 PQL655378 QAF655378 QAH655378 QKB655378 QKD655378 QTX655378 QTZ655378 RDT655378 RDV655378 RNP655378 RNR655378 RXL655378 RXN655378 SHH655378 SHJ655378 SRD655378 SRF655378 TAZ655378 TBB655378 TKV655378 TKX655378 TUR655378 TUT655378 UEN655378 UEP655378 UOJ655378 UOL655378 UYF655378 UYH655378 VIB655378 VID655378 VRX655378 VRZ655378 WBT655378 WBV655378 WLP655378 WLR655378 WVL655378 WVN655378 D720914 F720914 IZ720914 JB720914 SV720914 SX720914 ACR720914 ACT720914 AMN720914 AMP720914 AWJ720914 AWL720914 BGF720914 BGH720914 BQB720914 BQD720914 BZX720914 BZZ720914 CJT720914 CJV720914 CTP720914 CTR720914 DDL720914 DDN720914 DNH720914 DNJ720914 DXD720914 DXF720914 EGZ720914 EHB720914 EQV720914 EQX720914 FAR720914 FAT720914 FKN720914 FKP720914 FUJ720914 FUL720914 GEF720914 GEH720914 GOB720914 GOD720914 GXX720914 GXZ720914 HHT720914 HHV720914 HRP720914 HRR720914 IBL720914 IBN720914 ILH720914 ILJ720914 IVD720914 IVF720914 JEZ720914 JFB720914 JOV720914 JOX720914 JYR720914 JYT720914 KIN720914 KIP720914 KSJ720914 KSL720914 LCF720914 LCH720914 LMB720914 LMD720914 LVX720914 LVZ720914 MFT720914 MFV720914 MPP720914 MPR720914 MZL720914 MZN720914 NJH720914 NJJ720914 NTD720914 NTF720914 OCZ720914 ODB720914 OMV720914 OMX720914 OWR720914 OWT720914 PGN720914 PGP720914 PQJ720914 PQL720914 QAF720914 QAH720914 QKB720914 QKD720914 QTX720914 QTZ720914 RDT720914 RDV720914 RNP720914 RNR720914 RXL720914 RXN720914 SHH720914 SHJ720914 SRD720914 SRF720914 TAZ720914 TBB720914 TKV720914 TKX720914 TUR720914 TUT720914 UEN720914 UEP720914 UOJ720914 UOL720914 UYF720914 UYH720914 VIB720914 VID720914 VRX720914 VRZ720914 WBT720914 WBV720914 WLP720914 WLR720914 WVL720914 WVN720914 D786450 F786450 IZ786450 JB786450 SV786450 SX786450 ACR786450 ACT786450 AMN786450 AMP786450 AWJ786450 AWL786450 BGF786450 BGH786450 BQB786450 BQD786450 BZX786450 BZZ786450 CJT786450 CJV786450 CTP786450 CTR786450 DDL786450 DDN786450 DNH786450 DNJ786450 DXD786450 DXF786450 EGZ786450 EHB786450 EQV786450 EQX786450 FAR786450 FAT786450 FKN786450 FKP786450 FUJ786450 FUL786450 GEF786450 GEH786450 GOB786450 GOD786450 GXX786450 GXZ786450 HHT786450 HHV786450 HRP786450 HRR786450 IBL786450 IBN786450 ILH786450 ILJ786450 IVD786450 IVF786450 JEZ786450 JFB786450 JOV786450 JOX786450 JYR786450 JYT786450 KIN786450 KIP786450 KSJ786450 KSL786450 LCF786450 LCH786450 LMB786450 LMD786450 LVX786450 LVZ786450 MFT786450 MFV786450 MPP786450 MPR786450 MZL786450 MZN786450 NJH786450 NJJ786450 NTD786450 NTF786450 OCZ786450 ODB786450 OMV786450 OMX786450 OWR786450 OWT786450 PGN786450 PGP786450 PQJ786450 PQL786450 QAF786450 QAH786450 QKB786450 QKD786450 QTX786450 QTZ786450 RDT786450 RDV786450 RNP786450 RNR786450 RXL786450 RXN786450 SHH786450 SHJ786450 SRD786450 SRF786450 TAZ786450 TBB786450 TKV786450 TKX786450 TUR786450 TUT786450 UEN786450 UEP786450 UOJ786450 UOL786450 UYF786450 UYH786450 VIB786450 VID786450 VRX786450 VRZ786450 WBT786450 WBV786450 WLP786450 WLR786450 WVL786450 WVN786450 D851986 F851986 IZ851986 JB851986 SV851986 SX851986 ACR851986 ACT851986 AMN851986 AMP851986 AWJ851986 AWL851986 BGF851986 BGH851986 BQB851986 BQD851986 BZX851986 BZZ851986 CJT851986 CJV851986 CTP851986 CTR851986 DDL851986 DDN851986 DNH851986 DNJ851986 DXD851986 DXF851986 EGZ851986 EHB851986 EQV851986 EQX851986 FAR851986 FAT851986 FKN851986 FKP851986 FUJ851986 FUL851986 GEF851986 GEH851986 GOB851986 GOD851986 GXX851986 GXZ851986 HHT851986 HHV851986 HRP851986 HRR851986 IBL851986 IBN851986 ILH851986 ILJ851986 IVD851986 IVF851986 JEZ851986 JFB851986 JOV851986 JOX851986 JYR851986 JYT851986 KIN851986 KIP851986 KSJ851986 KSL851986 LCF851986 LCH851986 LMB851986 LMD851986 LVX851986 LVZ851986 MFT851986 MFV851986 MPP851986 MPR851986 MZL851986 MZN851986 NJH851986 NJJ851986 NTD851986 NTF851986 OCZ851986 ODB851986 OMV851986 OMX851986 OWR851986 OWT851986 PGN851986 PGP851986 PQJ851986 PQL851986 QAF851986 QAH851986 QKB851986 QKD851986 QTX851986 QTZ851986 RDT851986 RDV851986 RNP851986 RNR851986 RXL851986 RXN851986 SHH851986 SHJ851986 SRD851986 SRF851986 TAZ851986 TBB851986 TKV851986 TKX851986 TUR851986 TUT851986 UEN851986 UEP851986 UOJ851986 UOL851986 UYF851986 UYH851986 VIB851986 VID851986 VRX851986 VRZ851986 WBT851986 WBV851986 WLP851986 WLR851986 WVL851986 WVN851986 D917522 F917522 IZ917522 JB917522 SV917522 SX917522 ACR917522 ACT917522 AMN917522 AMP917522 AWJ917522 AWL917522 BGF917522 BGH917522 BQB917522 BQD917522 BZX917522 BZZ917522 CJT917522 CJV917522 CTP917522 CTR917522 DDL917522 DDN917522 DNH917522 DNJ917522 DXD917522 DXF917522 EGZ917522 EHB917522 EQV917522 EQX917522 FAR917522 FAT917522 FKN917522 FKP917522 FUJ917522 FUL917522 GEF917522 GEH917522 GOB917522 GOD917522 GXX917522 GXZ917522 HHT917522 HHV917522 HRP917522 HRR917522 IBL917522 IBN917522 ILH917522 ILJ917522 IVD917522 IVF917522 JEZ917522 JFB917522 JOV917522 JOX917522 JYR917522 JYT917522 KIN917522 KIP917522 KSJ917522 KSL917522 LCF917522 LCH917522 LMB917522 LMD917522 LVX917522 LVZ917522 MFT917522 MFV917522 MPP917522 MPR917522 MZL917522 MZN917522 NJH917522 NJJ917522 NTD917522 NTF917522 OCZ917522 ODB917522 OMV917522 OMX917522 OWR917522 OWT917522 PGN917522 PGP917522 PQJ917522 PQL917522 QAF917522 QAH917522 QKB917522 QKD917522 QTX917522 QTZ917522 RDT917522 RDV917522 RNP917522 RNR917522 RXL917522 RXN917522 SHH917522 SHJ917522 SRD917522 SRF917522 TAZ917522 TBB917522 TKV917522 TKX917522 TUR917522 TUT917522 UEN917522 UEP917522 UOJ917522 UOL917522 UYF917522 UYH917522 VIB917522 VID917522 VRX917522 VRZ917522 WBT917522 WBV917522 WLP917522 WLR917522 WVL917522 WVN917522 D983058 F983058 IZ983058 JB983058 SV983058 SX983058 ACR983058 ACT983058 AMN983058 AMP983058 AWJ983058 AWL983058 BGF983058 BGH983058 BQB983058 BQD983058 BZX983058 BZZ983058 CJT983058 CJV983058 CTP983058 CTR983058 DDL983058 DDN983058 DNH983058 DNJ983058 DXD983058 DXF983058 EGZ983058 EHB983058 EQV983058 EQX983058 FAR983058 FAT983058 FKN983058 FKP983058 FUJ983058 FUL983058 GEF983058 GEH983058 GOB983058 GOD983058 GXX983058 GXZ983058 HHT983058 HHV983058 HRP983058 HRR983058 IBL983058 IBN983058 ILH983058 ILJ983058 IVD983058 IVF983058 JEZ983058 JFB983058 JOV983058 JOX983058 JYR983058 JYT983058 KIN983058 KIP983058 KSJ983058 KSL983058 LCF983058 LCH983058 LMB983058 LMD983058 LVX983058 LVZ983058 MFT983058 MFV983058 MPP983058 MPR983058 MZL983058 MZN983058 NJH983058 NJJ983058 NTD983058 NTF983058 OCZ983058 ODB983058 OMV983058 OMX983058 OWR983058 OWT983058 PGN983058 PGP983058 PQJ983058 PQL983058 QAF983058 QAH983058 QKB983058 QKD983058 QTX983058 QTZ983058 RDT983058 RDV983058 RNP983058 RNR983058 RXL983058 RXN983058 SHH983058 SHJ983058 SRD983058 SRF983058 TAZ983058 TBB983058 TKV983058 TKX983058 TUR983058 TUT983058 UEN983058 UEP983058 UOJ983058 UOL983058 UYF983058 UYH983058 VIB983058 VID983058 VRX983058 VRZ983058 WBT983058 WBV983058 WLP983058 WLR983058 WVL983058 WVN983058">
      <formula1>$N$5:$N$21</formula1>
    </dataValidation>
    <dataValidation type="list" allowBlank="1" showInputMessage="1" showErrorMessage="1" sqref="D26 F26 IZ26 JB26 SV26 SX26 ACR26 ACT26 AMN26 AMP26 AWJ26 AWL26 BGF26 BGH26 BQB26 BQD26 BZX26 BZZ26 CJT26 CJV26 CTP26 CTR26 DDL26 DDN26 DNH26 DNJ26 DXD26 DXF26 EGZ26 EHB26 EQV26 EQX26 FAR26 FAT26 FKN26 FKP26 FUJ26 FUL26 GEF26 GEH26 GOB26 GOD26 GXX26 GXZ26 HHT26 HHV26 HRP26 HRR26 IBL26 IBN26 ILH26 ILJ26 IVD26 IVF26 JEZ26 JFB26 JOV26 JOX26 JYR26 JYT26 KIN26 KIP26 KSJ26 KSL26 LCF26 LCH26 LMB26 LMD26 LVX26 LVZ26 MFT26 MFV26 MPP26 MPR26 MZL26 MZN26 NJH26 NJJ26 NTD26 NTF26 OCZ26 ODB26 OMV26 OMX26 OWR26 OWT26 PGN26 PGP26 PQJ26 PQL26 QAF26 QAH26 QKB26 QKD26 QTX26 QTZ26 RDT26 RDV26 RNP26 RNR26 RXL26 RXN26 SHH26 SHJ26 SRD26 SRF26 TAZ26 TBB26 TKV26 TKX26 TUR26 TUT26 UEN26 UEP26 UOJ26 UOL26 UYF26 UYH26 VIB26 VID26 VRX26 VRZ26 WBT26 WBV26 WLP26 WLR26 WVL26 WVN26 D65562 F65562 IZ65562 JB65562 SV65562 SX65562 ACR65562 ACT65562 AMN65562 AMP65562 AWJ65562 AWL65562 BGF65562 BGH65562 BQB65562 BQD65562 BZX65562 BZZ65562 CJT65562 CJV65562 CTP65562 CTR65562 DDL65562 DDN65562 DNH65562 DNJ65562 DXD65562 DXF65562 EGZ65562 EHB65562 EQV65562 EQX65562 FAR65562 FAT65562 FKN65562 FKP65562 FUJ65562 FUL65562 GEF65562 GEH65562 GOB65562 GOD65562 GXX65562 GXZ65562 HHT65562 HHV65562 HRP65562 HRR65562 IBL65562 IBN65562 ILH65562 ILJ65562 IVD65562 IVF65562 JEZ65562 JFB65562 JOV65562 JOX65562 JYR65562 JYT65562 KIN65562 KIP65562 KSJ65562 KSL65562 LCF65562 LCH65562 LMB65562 LMD65562 LVX65562 LVZ65562 MFT65562 MFV65562 MPP65562 MPR65562 MZL65562 MZN65562 NJH65562 NJJ65562 NTD65562 NTF65562 OCZ65562 ODB65562 OMV65562 OMX65562 OWR65562 OWT65562 PGN65562 PGP65562 PQJ65562 PQL65562 QAF65562 QAH65562 QKB65562 QKD65562 QTX65562 QTZ65562 RDT65562 RDV65562 RNP65562 RNR65562 RXL65562 RXN65562 SHH65562 SHJ65562 SRD65562 SRF65562 TAZ65562 TBB65562 TKV65562 TKX65562 TUR65562 TUT65562 UEN65562 UEP65562 UOJ65562 UOL65562 UYF65562 UYH65562 VIB65562 VID65562 VRX65562 VRZ65562 WBT65562 WBV65562 WLP65562 WLR65562 WVL65562 WVN65562 D131098 F131098 IZ131098 JB131098 SV131098 SX131098 ACR131098 ACT131098 AMN131098 AMP131098 AWJ131098 AWL131098 BGF131098 BGH131098 BQB131098 BQD131098 BZX131098 BZZ131098 CJT131098 CJV131098 CTP131098 CTR131098 DDL131098 DDN131098 DNH131098 DNJ131098 DXD131098 DXF131098 EGZ131098 EHB131098 EQV131098 EQX131098 FAR131098 FAT131098 FKN131098 FKP131098 FUJ131098 FUL131098 GEF131098 GEH131098 GOB131098 GOD131098 GXX131098 GXZ131098 HHT131098 HHV131098 HRP131098 HRR131098 IBL131098 IBN131098 ILH131098 ILJ131098 IVD131098 IVF131098 JEZ131098 JFB131098 JOV131098 JOX131098 JYR131098 JYT131098 KIN131098 KIP131098 KSJ131098 KSL131098 LCF131098 LCH131098 LMB131098 LMD131098 LVX131098 LVZ131098 MFT131098 MFV131098 MPP131098 MPR131098 MZL131098 MZN131098 NJH131098 NJJ131098 NTD131098 NTF131098 OCZ131098 ODB131098 OMV131098 OMX131098 OWR131098 OWT131098 PGN131098 PGP131098 PQJ131098 PQL131098 QAF131098 QAH131098 QKB131098 QKD131098 QTX131098 QTZ131098 RDT131098 RDV131098 RNP131098 RNR131098 RXL131098 RXN131098 SHH131098 SHJ131098 SRD131098 SRF131098 TAZ131098 TBB131098 TKV131098 TKX131098 TUR131098 TUT131098 UEN131098 UEP131098 UOJ131098 UOL131098 UYF131098 UYH131098 VIB131098 VID131098 VRX131098 VRZ131098 WBT131098 WBV131098 WLP131098 WLR131098 WVL131098 WVN131098 D196634 F196634 IZ196634 JB196634 SV196634 SX196634 ACR196634 ACT196634 AMN196634 AMP196634 AWJ196634 AWL196634 BGF196634 BGH196634 BQB196634 BQD196634 BZX196634 BZZ196634 CJT196634 CJV196634 CTP196634 CTR196634 DDL196634 DDN196634 DNH196634 DNJ196634 DXD196634 DXF196634 EGZ196634 EHB196634 EQV196634 EQX196634 FAR196634 FAT196634 FKN196634 FKP196634 FUJ196634 FUL196634 GEF196634 GEH196634 GOB196634 GOD196634 GXX196634 GXZ196634 HHT196634 HHV196634 HRP196634 HRR196634 IBL196634 IBN196634 ILH196634 ILJ196634 IVD196634 IVF196634 JEZ196634 JFB196634 JOV196634 JOX196634 JYR196634 JYT196634 KIN196634 KIP196634 KSJ196634 KSL196634 LCF196634 LCH196634 LMB196634 LMD196634 LVX196634 LVZ196634 MFT196634 MFV196634 MPP196634 MPR196634 MZL196634 MZN196634 NJH196634 NJJ196634 NTD196634 NTF196634 OCZ196634 ODB196634 OMV196634 OMX196634 OWR196634 OWT196634 PGN196634 PGP196634 PQJ196634 PQL196634 QAF196634 QAH196634 QKB196634 QKD196634 QTX196634 QTZ196634 RDT196634 RDV196634 RNP196634 RNR196634 RXL196634 RXN196634 SHH196634 SHJ196634 SRD196634 SRF196634 TAZ196634 TBB196634 TKV196634 TKX196634 TUR196634 TUT196634 UEN196634 UEP196634 UOJ196634 UOL196634 UYF196634 UYH196634 VIB196634 VID196634 VRX196634 VRZ196634 WBT196634 WBV196634 WLP196634 WLR196634 WVL196634 WVN196634 D262170 F262170 IZ262170 JB262170 SV262170 SX262170 ACR262170 ACT262170 AMN262170 AMP262170 AWJ262170 AWL262170 BGF262170 BGH262170 BQB262170 BQD262170 BZX262170 BZZ262170 CJT262170 CJV262170 CTP262170 CTR262170 DDL262170 DDN262170 DNH262170 DNJ262170 DXD262170 DXF262170 EGZ262170 EHB262170 EQV262170 EQX262170 FAR262170 FAT262170 FKN262170 FKP262170 FUJ262170 FUL262170 GEF262170 GEH262170 GOB262170 GOD262170 GXX262170 GXZ262170 HHT262170 HHV262170 HRP262170 HRR262170 IBL262170 IBN262170 ILH262170 ILJ262170 IVD262170 IVF262170 JEZ262170 JFB262170 JOV262170 JOX262170 JYR262170 JYT262170 KIN262170 KIP262170 KSJ262170 KSL262170 LCF262170 LCH262170 LMB262170 LMD262170 LVX262170 LVZ262170 MFT262170 MFV262170 MPP262170 MPR262170 MZL262170 MZN262170 NJH262170 NJJ262170 NTD262170 NTF262170 OCZ262170 ODB262170 OMV262170 OMX262170 OWR262170 OWT262170 PGN262170 PGP262170 PQJ262170 PQL262170 QAF262170 QAH262170 QKB262170 QKD262170 QTX262170 QTZ262170 RDT262170 RDV262170 RNP262170 RNR262170 RXL262170 RXN262170 SHH262170 SHJ262170 SRD262170 SRF262170 TAZ262170 TBB262170 TKV262170 TKX262170 TUR262170 TUT262170 UEN262170 UEP262170 UOJ262170 UOL262170 UYF262170 UYH262170 VIB262170 VID262170 VRX262170 VRZ262170 WBT262170 WBV262170 WLP262170 WLR262170 WVL262170 WVN262170 D327706 F327706 IZ327706 JB327706 SV327706 SX327706 ACR327706 ACT327706 AMN327706 AMP327706 AWJ327706 AWL327706 BGF327706 BGH327706 BQB327706 BQD327706 BZX327706 BZZ327706 CJT327706 CJV327706 CTP327706 CTR327706 DDL327706 DDN327706 DNH327706 DNJ327706 DXD327706 DXF327706 EGZ327706 EHB327706 EQV327706 EQX327706 FAR327706 FAT327706 FKN327706 FKP327706 FUJ327706 FUL327706 GEF327706 GEH327706 GOB327706 GOD327706 GXX327706 GXZ327706 HHT327706 HHV327706 HRP327706 HRR327706 IBL327706 IBN327706 ILH327706 ILJ327706 IVD327706 IVF327706 JEZ327706 JFB327706 JOV327706 JOX327706 JYR327706 JYT327706 KIN327706 KIP327706 KSJ327706 KSL327706 LCF327706 LCH327706 LMB327706 LMD327706 LVX327706 LVZ327706 MFT327706 MFV327706 MPP327706 MPR327706 MZL327706 MZN327706 NJH327706 NJJ327706 NTD327706 NTF327706 OCZ327706 ODB327706 OMV327706 OMX327706 OWR327706 OWT327706 PGN327706 PGP327706 PQJ327706 PQL327706 QAF327706 QAH327706 QKB327706 QKD327706 QTX327706 QTZ327706 RDT327706 RDV327706 RNP327706 RNR327706 RXL327706 RXN327706 SHH327706 SHJ327706 SRD327706 SRF327706 TAZ327706 TBB327706 TKV327706 TKX327706 TUR327706 TUT327706 UEN327706 UEP327706 UOJ327706 UOL327706 UYF327706 UYH327706 VIB327706 VID327706 VRX327706 VRZ327706 WBT327706 WBV327706 WLP327706 WLR327706 WVL327706 WVN327706 D393242 F393242 IZ393242 JB393242 SV393242 SX393242 ACR393242 ACT393242 AMN393242 AMP393242 AWJ393242 AWL393242 BGF393242 BGH393242 BQB393242 BQD393242 BZX393242 BZZ393242 CJT393242 CJV393242 CTP393242 CTR393242 DDL393242 DDN393242 DNH393242 DNJ393242 DXD393242 DXF393242 EGZ393242 EHB393242 EQV393242 EQX393242 FAR393242 FAT393242 FKN393242 FKP393242 FUJ393242 FUL393242 GEF393242 GEH393242 GOB393242 GOD393242 GXX393242 GXZ393242 HHT393242 HHV393242 HRP393242 HRR393242 IBL393242 IBN393242 ILH393242 ILJ393242 IVD393242 IVF393242 JEZ393242 JFB393242 JOV393242 JOX393242 JYR393242 JYT393242 KIN393242 KIP393242 KSJ393242 KSL393242 LCF393242 LCH393242 LMB393242 LMD393242 LVX393242 LVZ393242 MFT393242 MFV393242 MPP393242 MPR393242 MZL393242 MZN393242 NJH393242 NJJ393242 NTD393242 NTF393242 OCZ393242 ODB393242 OMV393242 OMX393242 OWR393242 OWT393242 PGN393242 PGP393242 PQJ393242 PQL393242 QAF393242 QAH393242 QKB393242 QKD393242 QTX393242 QTZ393242 RDT393242 RDV393242 RNP393242 RNR393242 RXL393242 RXN393242 SHH393242 SHJ393242 SRD393242 SRF393242 TAZ393242 TBB393242 TKV393242 TKX393242 TUR393242 TUT393242 UEN393242 UEP393242 UOJ393242 UOL393242 UYF393242 UYH393242 VIB393242 VID393242 VRX393242 VRZ393242 WBT393242 WBV393242 WLP393242 WLR393242 WVL393242 WVN393242 D458778 F458778 IZ458778 JB458778 SV458778 SX458778 ACR458778 ACT458778 AMN458778 AMP458778 AWJ458778 AWL458778 BGF458778 BGH458778 BQB458778 BQD458778 BZX458778 BZZ458778 CJT458778 CJV458778 CTP458778 CTR458778 DDL458778 DDN458778 DNH458778 DNJ458778 DXD458778 DXF458778 EGZ458778 EHB458778 EQV458778 EQX458778 FAR458778 FAT458778 FKN458778 FKP458778 FUJ458778 FUL458778 GEF458778 GEH458778 GOB458778 GOD458778 GXX458778 GXZ458778 HHT458778 HHV458778 HRP458778 HRR458778 IBL458778 IBN458778 ILH458778 ILJ458778 IVD458778 IVF458778 JEZ458778 JFB458778 JOV458778 JOX458778 JYR458778 JYT458778 KIN458778 KIP458778 KSJ458778 KSL458778 LCF458778 LCH458778 LMB458778 LMD458778 LVX458778 LVZ458778 MFT458778 MFV458778 MPP458778 MPR458778 MZL458778 MZN458778 NJH458778 NJJ458778 NTD458778 NTF458778 OCZ458778 ODB458778 OMV458778 OMX458778 OWR458778 OWT458778 PGN458778 PGP458778 PQJ458778 PQL458778 QAF458778 QAH458778 QKB458778 QKD458778 QTX458778 QTZ458778 RDT458778 RDV458778 RNP458778 RNR458778 RXL458778 RXN458778 SHH458778 SHJ458778 SRD458778 SRF458778 TAZ458778 TBB458778 TKV458778 TKX458778 TUR458778 TUT458778 UEN458778 UEP458778 UOJ458778 UOL458778 UYF458778 UYH458778 VIB458778 VID458778 VRX458778 VRZ458778 WBT458778 WBV458778 WLP458778 WLR458778 WVL458778 WVN458778 D524314 F524314 IZ524314 JB524314 SV524314 SX524314 ACR524314 ACT524314 AMN524314 AMP524314 AWJ524314 AWL524314 BGF524314 BGH524314 BQB524314 BQD524314 BZX524314 BZZ524314 CJT524314 CJV524314 CTP524314 CTR524314 DDL524314 DDN524314 DNH524314 DNJ524314 DXD524314 DXF524314 EGZ524314 EHB524314 EQV524314 EQX524314 FAR524314 FAT524314 FKN524314 FKP524314 FUJ524314 FUL524314 GEF524314 GEH524314 GOB524314 GOD524314 GXX524314 GXZ524314 HHT524314 HHV524314 HRP524314 HRR524314 IBL524314 IBN524314 ILH524314 ILJ524314 IVD524314 IVF524314 JEZ524314 JFB524314 JOV524314 JOX524314 JYR524314 JYT524314 KIN524314 KIP524314 KSJ524314 KSL524314 LCF524314 LCH524314 LMB524314 LMD524314 LVX524314 LVZ524314 MFT524314 MFV524314 MPP524314 MPR524314 MZL524314 MZN524314 NJH524314 NJJ524314 NTD524314 NTF524314 OCZ524314 ODB524314 OMV524314 OMX524314 OWR524314 OWT524314 PGN524314 PGP524314 PQJ524314 PQL524314 QAF524314 QAH524314 QKB524314 QKD524314 QTX524314 QTZ524314 RDT524314 RDV524314 RNP524314 RNR524314 RXL524314 RXN524314 SHH524314 SHJ524314 SRD524314 SRF524314 TAZ524314 TBB524314 TKV524314 TKX524314 TUR524314 TUT524314 UEN524314 UEP524314 UOJ524314 UOL524314 UYF524314 UYH524314 VIB524314 VID524314 VRX524314 VRZ524314 WBT524314 WBV524314 WLP524314 WLR524314 WVL524314 WVN524314 D589850 F589850 IZ589850 JB589850 SV589850 SX589850 ACR589850 ACT589850 AMN589850 AMP589850 AWJ589850 AWL589850 BGF589850 BGH589850 BQB589850 BQD589850 BZX589850 BZZ589850 CJT589850 CJV589850 CTP589850 CTR589850 DDL589850 DDN589850 DNH589850 DNJ589850 DXD589850 DXF589850 EGZ589850 EHB589850 EQV589850 EQX589850 FAR589850 FAT589850 FKN589850 FKP589850 FUJ589850 FUL589850 GEF589850 GEH589850 GOB589850 GOD589850 GXX589850 GXZ589850 HHT589850 HHV589850 HRP589850 HRR589850 IBL589850 IBN589850 ILH589850 ILJ589850 IVD589850 IVF589850 JEZ589850 JFB589850 JOV589850 JOX589850 JYR589850 JYT589850 KIN589850 KIP589850 KSJ589850 KSL589850 LCF589850 LCH589850 LMB589850 LMD589850 LVX589850 LVZ589850 MFT589850 MFV589850 MPP589850 MPR589850 MZL589850 MZN589850 NJH589850 NJJ589850 NTD589850 NTF589850 OCZ589850 ODB589850 OMV589850 OMX589850 OWR589850 OWT589850 PGN589850 PGP589850 PQJ589850 PQL589850 QAF589850 QAH589850 QKB589850 QKD589850 QTX589850 QTZ589850 RDT589850 RDV589850 RNP589850 RNR589850 RXL589850 RXN589850 SHH589850 SHJ589850 SRD589850 SRF589850 TAZ589850 TBB589850 TKV589850 TKX589850 TUR589850 TUT589850 UEN589850 UEP589850 UOJ589850 UOL589850 UYF589850 UYH589850 VIB589850 VID589850 VRX589850 VRZ589850 WBT589850 WBV589850 WLP589850 WLR589850 WVL589850 WVN589850 D655386 F655386 IZ655386 JB655386 SV655386 SX655386 ACR655386 ACT655386 AMN655386 AMP655386 AWJ655386 AWL655386 BGF655386 BGH655386 BQB655386 BQD655386 BZX655386 BZZ655386 CJT655386 CJV655386 CTP655386 CTR655386 DDL655386 DDN655386 DNH655386 DNJ655386 DXD655386 DXF655386 EGZ655386 EHB655386 EQV655386 EQX655386 FAR655386 FAT655386 FKN655386 FKP655386 FUJ655386 FUL655386 GEF655386 GEH655386 GOB655386 GOD655386 GXX655386 GXZ655386 HHT655386 HHV655386 HRP655386 HRR655386 IBL655386 IBN655386 ILH655386 ILJ655386 IVD655386 IVF655386 JEZ655386 JFB655386 JOV655386 JOX655386 JYR655386 JYT655386 KIN655386 KIP655386 KSJ655386 KSL655386 LCF655386 LCH655386 LMB655386 LMD655386 LVX655386 LVZ655386 MFT655386 MFV655386 MPP655386 MPR655386 MZL655386 MZN655386 NJH655386 NJJ655386 NTD655386 NTF655386 OCZ655386 ODB655386 OMV655386 OMX655386 OWR655386 OWT655386 PGN655386 PGP655386 PQJ655386 PQL655386 QAF655386 QAH655386 QKB655386 QKD655386 QTX655386 QTZ655386 RDT655386 RDV655386 RNP655386 RNR655386 RXL655386 RXN655386 SHH655386 SHJ655386 SRD655386 SRF655386 TAZ655386 TBB655386 TKV655386 TKX655386 TUR655386 TUT655386 UEN655386 UEP655386 UOJ655386 UOL655386 UYF655386 UYH655386 VIB655386 VID655386 VRX655386 VRZ655386 WBT655386 WBV655386 WLP655386 WLR655386 WVL655386 WVN655386 D720922 F720922 IZ720922 JB720922 SV720922 SX720922 ACR720922 ACT720922 AMN720922 AMP720922 AWJ720922 AWL720922 BGF720922 BGH720922 BQB720922 BQD720922 BZX720922 BZZ720922 CJT720922 CJV720922 CTP720922 CTR720922 DDL720922 DDN720922 DNH720922 DNJ720922 DXD720922 DXF720922 EGZ720922 EHB720922 EQV720922 EQX720922 FAR720922 FAT720922 FKN720922 FKP720922 FUJ720922 FUL720922 GEF720922 GEH720922 GOB720922 GOD720922 GXX720922 GXZ720922 HHT720922 HHV720922 HRP720922 HRR720922 IBL720922 IBN720922 ILH720922 ILJ720922 IVD720922 IVF720922 JEZ720922 JFB720922 JOV720922 JOX720922 JYR720922 JYT720922 KIN720922 KIP720922 KSJ720922 KSL720922 LCF720922 LCH720922 LMB720922 LMD720922 LVX720922 LVZ720922 MFT720922 MFV720922 MPP720922 MPR720922 MZL720922 MZN720922 NJH720922 NJJ720922 NTD720922 NTF720922 OCZ720922 ODB720922 OMV720922 OMX720922 OWR720922 OWT720922 PGN720922 PGP720922 PQJ720922 PQL720922 QAF720922 QAH720922 QKB720922 QKD720922 QTX720922 QTZ720922 RDT720922 RDV720922 RNP720922 RNR720922 RXL720922 RXN720922 SHH720922 SHJ720922 SRD720922 SRF720922 TAZ720922 TBB720922 TKV720922 TKX720922 TUR720922 TUT720922 UEN720922 UEP720922 UOJ720922 UOL720922 UYF720922 UYH720922 VIB720922 VID720922 VRX720922 VRZ720922 WBT720922 WBV720922 WLP720922 WLR720922 WVL720922 WVN720922 D786458 F786458 IZ786458 JB786458 SV786458 SX786458 ACR786458 ACT786458 AMN786458 AMP786458 AWJ786458 AWL786458 BGF786458 BGH786458 BQB786458 BQD786458 BZX786458 BZZ786458 CJT786458 CJV786458 CTP786458 CTR786458 DDL786458 DDN786458 DNH786458 DNJ786458 DXD786458 DXF786458 EGZ786458 EHB786458 EQV786458 EQX786458 FAR786458 FAT786458 FKN786458 FKP786458 FUJ786458 FUL786458 GEF786458 GEH786458 GOB786458 GOD786458 GXX786458 GXZ786458 HHT786458 HHV786458 HRP786458 HRR786458 IBL786458 IBN786458 ILH786458 ILJ786458 IVD786458 IVF786458 JEZ786458 JFB786458 JOV786458 JOX786458 JYR786458 JYT786458 KIN786458 KIP786458 KSJ786458 KSL786458 LCF786458 LCH786458 LMB786458 LMD786458 LVX786458 LVZ786458 MFT786458 MFV786458 MPP786458 MPR786458 MZL786458 MZN786458 NJH786458 NJJ786458 NTD786458 NTF786458 OCZ786458 ODB786458 OMV786458 OMX786458 OWR786458 OWT786458 PGN786458 PGP786458 PQJ786458 PQL786458 QAF786458 QAH786458 QKB786458 QKD786458 QTX786458 QTZ786458 RDT786458 RDV786458 RNP786458 RNR786458 RXL786458 RXN786458 SHH786458 SHJ786458 SRD786458 SRF786458 TAZ786458 TBB786458 TKV786458 TKX786458 TUR786458 TUT786458 UEN786458 UEP786458 UOJ786458 UOL786458 UYF786458 UYH786458 VIB786458 VID786458 VRX786458 VRZ786458 WBT786458 WBV786458 WLP786458 WLR786458 WVL786458 WVN786458 D851994 F851994 IZ851994 JB851994 SV851994 SX851994 ACR851994 ACT851994 AMN851994 AMP851994 AWJ851994 AWL851994 BGF851994 BGH851994 BQB851994 BQD851994 BZX851994 BZZ851994 CJT851994 CJV851994 CTP851994 CTR851994 DDL851994 DDN851994 DNH851994 DNJ851994 DXD851994 DXF851994 EGZ851994 EHB851994 EQV851994 EQX851994 FAR851994 FAT851994 FKN851994 FKP851994 FUJ851994 FUL851994 GEF851994 GEH851994 GOB851994 GOD851994 GXX851994 GXZ851994 HHT851994 HHV851994 HRP851994 HRR851994 IBL851994 IBN851994 ILH851994 ILJ851994 IVD851994 IVF851994 JEZ851994 JFB851994 JOV851994 JOX851994 JYR851994 JYT851994 KIN851994 KIP851994 KSJ851994 KSL851994 LCF851994 LCH851994 LMB851994 LMD851994 LVX851994 LVZ851994 MFT851994 MFV851994 MPP851994 MPR851994 MZL851994 MZN851994 NJH851994 NJJ851994 NTD851994 NTF851994 OCZ851994 ODB851994 OMV851994 OMX851994 OWR851994 OWT851994 PGN851994 PGP851994 PQJ851994 PQL851994 QAF851994 QAH851994 QKB851994 QKD851994 QTX851994 QTZ851994 RDT851994 RDV851994 RNP851994 RNR851994 RXL851994 RXN851994 SHH851994 SHJ851994 SRD851994 SRF851994 TAZ851994 TBB851994 TKV851994 TKX851994 TUR851994 TUT851994 UEN851994 UEP851994 UOJ851994 UOL851994 UYF851994 UYH851994 VIB851994 VID851994 VRX851994 VRZ851994 WBT851994 WBV851994 WLP851994 WLR851994 WVL851994 WVN851994 D917530 F917530 IZ917530 JB917530 SV917530 SX917530 ACR917530 ACT917530 AMN917530 AMP917530 AWJ917530 AWL917530 BGF917530 BGH917530 BQB917530 BQD917530 BZX917530 BZZ917530 CJT917530 CJV917530 CTP917530 CTR917530 DDL917530 DDN917530 DNH917530 DNJ917530 DXD917530 DXF917530 EGZ917530 EHB917530 EQV917530 EQX917530 FAR917530 FAT917530 FKN917530 FKP917530 FUJ917530 FUL917530 GEF917530 GEH917530 GOB917530 GOD917530 GXX917530 GXZ917530 HHT917530 HHV917530 HRP917530 HRR917530 IBL917530 IBN917530 ILH917530 ILJ917530 IVD917530 IVF917530 JEZ917530 JFB917530 JOV917530 JOX917530 JYR917530 JYT917530 KIN917530 KIP917530 KSJ917530 KSL917530 LCF917530 LCH917530 LMB917530 LMD917530 LVX917530 LVZ917530 MFT917530 MFV917530 MPP917530 MPR917530 MZL917530 MZN917530 NJH917530 NJJ917530 NTD917530 NTF917530 OCZ917530 ODB917530 OMV917530 OMX917530 OWR917530 OWT917530 PGN917530 PGP917530 PQJ917530 PQL917530 QAF917530 QAH917530 QKB917530 QKD917530 QTX917530 QTZ917530 RDT917530 RDV917530 RNP917530 RNR917530 RXL917530 RXN917530 SHH917530 SHJ917530 SRD917530 SRF917530 TAZ917530 TBB917530 TKV917530 TKX917530 TUR917530 TUT917530 UEN917530 UEP917530 UOJ917530 UOL917530 UYF917530 UYH917530 VIB917530 VID917530 VRX917530 VRZ917530 WBT917530 WBV917530 WLP917530 WLR917530 WVL917530 WVN917530 D983066 F983066 IZ983066 JB983066 SV983066 SX983066 ACR983066 ACT983066 AMN983066 AMP983066 AWJ983066 AWL983066 BGF983066 BGH983066 BQB983066 BQD983066 BZX983066 BZZ983066 CJT983066 CJV983066 CTP983066 CTR983066 DDL983066 DDN983066 DNH983066 DNJ983066 DXD983066 DXF983066 EGZ983066 EHB983066 EQV983066 EQX983066 FAR983066 FAT983066 FKN983066 FKP983066 FUJ983066 FUL983066 GEF983066 GEH983066 GOB983066 GOD983066 GXX983066 GXZ983066 HHT983066 HHV983066 HRP983066 HRR983066 IBL983066 IBN983066 ILH983066 ILJ983066 IVD983066 IVF983066 JEZ983066 JFB983066 JOV983066 JOX983066 JYR983066 JYT983066 KIN983066 KIP983066 KSJ983066 KSL983066 LCF983066 LCH983066 LMB983066 LMD983066 LVX983066 LVZ983066 MFT983066 MFV983066 MPP983066 MPR983066 MZL983066 MZN983066 NJH983066 NJJ983066 NTD983066 NTF983066 OCZ983066 ODB983066 OMV983066 OMX983066 OWR983066 OWT983066 PGN983066 PGP983066 PQJ983066 PQL983066 QAF983066 QAH983066 QKB983066 QKD983066 QTX983066 QTZ983066 RDT983066 RDV983066 RNP983066 RNR983066 RXL983066 RXN983066 SHH983066 SHJ983066 SRD983066 SRF983066 TAZ983066 TBB983066 TKV983066 TKX983066 TUR983066 TUT983066 UEN983066 UEP983066 UOJ983066 UOL983066 UYF983066 UYH983066 VIB983066 VID983066 VRX983066 VRZ983066 WBT983066 WBV983066 WLP983066 WLR983066 WVL983066 WVN983066">
      <formula1>$P$5:$P$23</formula1>
    </dataValidation>
    <dataValidation type="list" allowBlank="1" showInputMessage="1" showErrorMessage="1" sqref="D22 F22 IZ22 JB22 SV22 SX22 ACR22 ACT22 AMN22 AMP22 AWJ22 AWL22 BGF22 BGH22 BQB22 BQD22 BZX22 BZZ22 CJT22 CJV22 CTP22 CTR22 DDL22 DDN22 DNH22 DNJ22 DXD22 DXF22 EGZ22 EHB22 EQV22 EQX22 FAR22 FAT22 FKN22 FKP22 FUJ22 FUL22 GEF22 GEH22 GOB22 GOD22 GXX22 GXZ22 HHT22 HHV22 HRP22 HRR22 IBL22 IBN22 ILH22 ILJ22 IVD22 IVF22 JEZ22 JFB22 JOV22 JOX22 JYR22 JYT22 KIN22 KIP22 KSJ22 KSL22 LCF22 LCH22 LMB22 LMD22 LVX22 LVZ22 MFT22 MFV22 MPP22 MPR22 MZL22 MZN22 NJH22 NJJ22 NTD22 NTF22 OCZ22 ODB22 OMV22 OMX22 OWR22 OWT22 PGN22 PGP22 PQJ22 PQL22 QAF22 QAH22 QKB22 QKD22 QTX22 QTZ22 RDT22 RDV22 RNP22 RNR22 RXL22 RXN22 SHH22 SHJ22 SRD22 SRF22 TAZ22 TBB22 TKV22 TKX22 TUR22 TUT22 UEN22 UEP22 UOJ22 UOL22 UYF22 UYH22 VIB22 VID22 VRX22 VRZ22 WBT22 WBV22 WLP22 WLR22 WVL22 WVN22 D65558 F65558 IZ65558 JB65558 SV65558 SX65558 ACR65558 ACT65558 AMN65558 AMP65558 AWJ65558 AWL65558 BGF65558 BGH65558 BQB65558 BQD65558 BZX65558 BZZ65558 CJT65558 CJV65558 CTP65558 CTR65558 DDL65558 DDN65558 DNH65558 DNJ65558 DXD65558 DXF65558 EGZ65558 EHB65558 EQV65558 EQX65558 FAR65558 FAT65558 FKN65558 FKP65558 FUJ65558 FUL65558 GEF65558 GEH65558 GOB65558 GOD65558 GXX65558 GXZ65558 HHT65558 HHV65558 HRP65558 HRR65558 IBL65558 IBN65558 ILH65558 ILJ65558 IVD65558 IVF65558 JEZ65558 JFB65558 JOV65558 JOX65558 JYR65558 JYT65558 KIN65558 KIP65558 KSJ65558 KSL65558 LCF65558 LCH65558 LMB65558 LMD65558 LVX65558 LVZ65558 MFT65558 MFV65558 MPP65558 MPR65558 MZL65558 MZN65558 NJH65558 NJJ65558 NTD65558 NTF65558 OCZ65558 ODB65558 OMV65558 OMX65558 OWR65558 OWT65558 PGN65558 PGP65558 PQJ65558 PQL65558 QAF65558 QAH65558 QKB65558 QKD65558 QTX65558 QTZ65558 RDT65558 RDV65558 RNP65558 RNR65558 RXL65558 RXN65558 SHH65558 SHJ65558 SRD65558 SRF65558 TAZ65558 TBB65558 TKV65558 TKX65558 TUR65558 TUT65558 UEN65558 UEP65558 UOJ65558 UOL65558 UYF65558 UYH65558 VIB65558 VID65558 VRX65558 VRZ65558 WBT65558 WBV65558 WLP65558 WLR65558 WVL65558 WVN65558 D131094 F131094 IZ131094 JB131094 SV131094 SX131094 ACR131094 ACT131094 AMN131094 AMP131094 AWJ131094 AWL131094 BGF131094 BGH131094 BQB131094 BQD131094 BZX131094 BZZ131094 CJT131094 CJV131094 CTP131094 CTR131094 DDL131094 DDN131094 DNH131094 DNJ131094 DXD131094 DXF131094 EGZ131094 EHB131094 EQV131094 EQX131094 FAR131094 FAT131094 FKN131094 FKP131094 FUJ131094 FUL131094 GEF131094 GEH131094 GOB131094 GOD131094 GXX131094 GXZ131094 HHT131094 HHV131094 HRP131094 HRR131094 IBL131094 IBN131094 ILH131094 ILJ131094 IVD131094 IVF131094 JEZ131094 JFB131094 JOV131094 JOX131094 JYR131094 JYT131094 KIN131094 KIP131094 KSJ131094 KSL131094 LCF131094 LCH131094 LMB131094 LMD131094 LVX131094 LVZ131094 MFT131094 MFV131094 MPP131094 MPR131094 MZL131094 MZN131094 NJH131094 NJJ131094 NTD131094 NTF131094 OCZ131094 ODB131094 OMV131094 OMX131094 OWR131094 OWT131094 PGN131094 PGP131094 PQJ131094 PQL131094 QAF131094 QAH131094 QKB131094 QKD131094 QTX131094 QTZ131094 RDT131094 RDV131094 RNP131094 RNR131094 RXL131094 RXN131094 SHH131094 SHJ131094 SRD131094 SRF131094 TAZ131094 TBB131094 TKV131094 TKX131094 TUR131094 TUT131094 UEN131094 UEP131094 UOJ131094 UOL131094 UYF131094 UYH131094 VIB131094 VID131094 VRX131094 VRZ131094 WBT131094 WBV131094 WLP131094 WLR131094 WVL131094 WVN131094 D196630 F196630 IZ196630 JB196630 SV196630 SX196630 ACR196630 ACT196630 AMN196630 AMP196630 AWJ196630 AWL196630 BGF196630 BGH196630 BQB196630 BQD196630 BZX196630 BZZ196630 CJT196630 CJV196630 CTP196630 CTR196630 DDL196630 DDN196630 DNH196630 DNJ196630 DXD196630 DXF196630 EGZ196630 EHB196630 EQV196630 EQX196630 FAR196630 FAT196630 FKN196630 FKP196630 FUJ196630 FUL196630 GEF196630 GEH196630 GOB196630 GOD196630 GXX196630 GXZ196630 HHT196630 HHV196630 HRP196630 HRR196630 IBL196630 IBN196630 ILH196630 ILJ196630 IVD196630 IVF196630 JEZ196630 JFB196630 JOV196630 JOX196630 JYR196630 JYT196630 KIN196630 KIP196630 KSJ196630 KSL196630 LCF196630 LCH196630 LMB196630 LMD196630 LVX196630 LVZ196630 MFT196630 MFV196630 MPP196630 MPR196630 MZL196630 MZN196630 NJH196630 NJJ196630 NTD196630 NTF196630 OCZ196630 ODB196630 OMV196630 OMX196630 OWR196630 OWT196630 PGN196630 PGP196630 PQJ196630 PQL196630 QAF196630 QAH196630 QKB196630 QKD196630 QTX196630 QTZ196630 RDT196630 RDV196630 RNP196630 RNR196630 RXL196630 RXN196630 SHH196630 SHJ196630 SRD196630 SRF196630 TAZ196630 TBB196630 TKV196630 TKX196630 TUR196630 TUT196630 UEN196630 UEP196630 UOJ196630 UOL196630 UYF196630 UYH196630 VIB196630 VID196630 VRX196630 VRZ196630 WBT196630 WBV196630 WLP196630 WLR196630 WVL196630 WVN196630 D262166 F262166 IZ262166 JB262166 SV262166 SX262166 ACR262166 ACT262166 AMN262166 AMP262166 AWJ262166 AWL262166 BGF262166 BGH262166 BQB262166 BQD262166 BZX262166 BZZ262166 CJT262166 CJV262166 CTP262166 CTR262166 DDL262166 DDN262166 DNH262166 DNJ262166 DXD262166 DXF262166 EGZ262166 EHB262166 EQV262166 EQX262166 FAR262166 FAT262166 FKN262166 FKP262166 FUJ262166 FUL262166 GEF262166 GEH262166 GOB262166 GOD262166 GXX262166 GXZ262166 HHT262166 HHV262166 HRP262166 HRR262166 IBL262166 IBN262166 ILH262166 ILJ262166 IVD262166 IVF262166 JEZ262166 JFB262166 JOV262166 JOX262166 JYR262166 JYT262166 KIN262166 KIP262166 KSJ262166 KSL262166 LCF262166 LCH262166 LMB262166 LMD262166 LVX262166 LVZ262166 MFT262166 MFV262166 MPP262166 MPR262166 MZL262166 MZN262166 NJH262166 NJJ262166 NTD262166 NTF262166 OCZ262166 ODB262166 OMV262166 OMX262166 OWR262166 OWT262166 PGN262166 PGP262166 PQJ262166 PQL262166 QAF262166 QAH262166 QKB262166 QKD262166 QTX262166 QTZ262166 RDT262166 RDV262166 RNP262166 RNR262166 RXL262166 RXN262166 SHH262166 SHJ262166 SRD262166 SRF262166 TAZ262166 TBB262166 TKV262166 TKX262166 TUR262166 TUT262166 UEN262166 UEP262166 UOJ262166 UOL262166 UYF262166 UYH262166 VIB262166 VID262166 VRX262166 VRZ262166 WBT262166 WBV262166 WLP262166 WLR262166 WVL262166 WVN262166 D327702 F327702 IZ327702 JB327702 SV327702 SX327702 ACR327702 ACT327702 AMN327702 AMP327702 AWJ327702 AWL327702 BGF327702 BGH327702 BQB327702 BQD327702 BZX327702 BZZ327702 CJT327702 CJV327702 CTP327702 CTR327702 DDL327702 DDN327702 DNH327702 DNJ327702 DXD327702 DXF327702 EGZ327702 EHB327702 EQV327702 EQX327702 FAR327702 FAT327702 FKN327702 FKP327702 FUJ327702 FUL327702 GEF327702 GEH327702 GOB327702 GOD327702 GXX327702 GXZ327702 HHT327702 HHV327702 HRP327702 HRR327702 IBL327702 IBN327702 ILH327702 ILJ327702 IVD327702 IVF327702 JEZ327702 JFB327702 JOV327702 JOX327702 JYR327702 JYT327702 KIN327702 KIP327702 KSJ327702 KSL327702 LCF327702 LCH327702 LMB327702 LMD327702 LVX327702 LVZ327702 MFT327702 MFV327702 MPP327702 MPR327702 MZL327702 MZN327702 NJH327702 NJJ327702 NTD327702 NTF327702 OCZ327702 ODB327702 OMV327702 OMX327702 OWR327702 OWT327702 PGN327702 PGP327702 PQJ327702 PQL327702 QAF327702 QAH327702 QKB327702 QKD327702 QTX327702 QTZ327702 RDT327702 RDV327702 RNP327702 RNR327702 RXL327702 RXN327702 SHH327702 SHJ327702 SRD327702 SRF327702 TAZ327702 TBB327702 TKV327702 TKX327702 TUR327702 TUT327702 UEN327702 UEP327702 UOJ327702 UOL327702 UYF327702 UYH327702 VIB327702 VID327702 VRX327702 VRZ327702 WBT327702 WBV327702 WLP327702 WLR327702 WVL327702 WVN327702 D393238 F393238 IZ393238 JB393238 SV393238 SX393238 ACR393238 ACT393238 AMN393238 AMP393238 AWJ393238 AWL393238 BGF393238 BGH393238 BQB393238 BQD393238 BZX393238 BZZ393238 CJT393238 CJV393238 CTP393238 CTR393238 DDL393238 DDN393238 DNH393238 DNJ393238 DXD393238 DXF393238 EGZ393238 EHB393238 EQV393238 EQX393238 FAR393238 FAT393238 FKN393238 FKP393238 FUJ393238 FUL393238 GEF393238 GEH393238 GOB393238 GOD393238 GXX393238 GXZ393238 HHT393238 HHV393238 HRP393238 HRR393238 IBL393238 IBN393238 ILH393238 ILJ393238 IVD393238 IVF393238 JEZ393238 JFB393238 JOV393238 JOX393238 JYR393238 JYT393238 KIN393238 KIP393238 KSJ393238 KSL393238 LCF393238 LCH393238 LMB393238 LMD393238 LVX393238 LVZ393238 MFT393238 MFV393238 MPP393238 MPR393238 MZL393238 MZN393238 NJH393238 NJJ393238 NTD393238 NTF393238 OCZ393238 ODB393238 OMV393238 OMX393238 OWR393238 OWT393238 PGN393238 PGP393238 PQJ393238 PQL393238 QAF393238 QAH393238 QKB393238 QKD393238 QTX393238 QTZ393238 RDT393238 RDV393238 RNP393238 RNR393238 RXL393238 RXN393238 SHH393238 SHJ393238 SRD393238 SRF393238 TAZ393238 TBB393238 TKV393238 TKX393238 TUR393238 TUT393238 UEN393238 UEP393238 UOJ393238 UOL393238 UYF393238 UYH393238 VIB393238 VID393238 VRX393238 VRZ393238 WBT393238 WBV393238 WLP393238 WLR393238 WVL393238 WVN393238 D458774 F458774 IZ458774 JB458774 SV458774 SX458774 ACR458774 ACT458774 AMN458774 AMP458774 AWJ458774 AWL458774 BGF458774 BGH458774 BQB458774 BQD458774 BZX458774 BZZ458774 CJT458774 CJV458774 CTP458774 CTR458774 DDL458774 DDN458774 DNH458774 DNJ458774 DXD458774 DXF458774 EGZ458774 EHB458774 EQV458774 EQX458774 FAR458774 FAT458774 FKN458774 FKP458774 FUJ458774 FUL458774 GEF458774 GEH458774 GOB458774 GOD458774 GXX458774 GXZ458774 HHT458774 HHV458774 HRP458774 HRR458774 IBL458774 IBN458774 ILH458774 ILJ458774 IVD458774 IVF458774 JEZ458774 JFB458774 JOV458774 JOX458774 JYR458774 JYT458774 KIN458774 KIP458774 KSJ458774 KSL458774 LCF458774 LCH458774 LMB458774 LMD458774 LVX458774 LVZ458774 MFT458774 MFV458774 MPP458774 MPR458774 MZL458774 MZN458774 NJH458774 NJJ458774 NTD458774 NTF458774 OCZ458774 ODB458774 OMV458774 OMX458774 OWR458774 OWT458774 PGN458774 PGP458774 PQJ458774 PQL458774 QAF458774 QAH458774 QKB458774 QKD458774 QTX458774 QTZ458774 RDT458774 RDV458774 RNP458774 RNR458774 RXL458774 RXN458774 SHH458774 SHJ458774 SRD458774 SRF458774 TAZ458774 TBB458774 TKV458774 TKX458774 TUR458774 TUT458774 UEN458774 UEP458774 UOJ458774 UOL458774 UYF458774 UYH458774 VIB458774 VID458774 VRX458774 VRZ458774 WBT458774 WBV458774 WLP458774 WLR458774 WVL458774 WVN458774 D524310 F524310 IZ524310 JB524310 SV524310 SX524310 ACR524310 ACT524310 AMN524310 AMP524310 AWJ524310 AWL524310 BGF524310 BGH524310 BQB524310 BQD524310 BZX524310 BZZ524310 CJT524310 CJV524310 CTP524310 CTR524310 DDL524310 DDN524310 DNH524310 DNJ524310 DXD524310 DXF524310 EGZ524310 EHB524310 EQV524310 EQX524310 FAR524310 FAT524310 FKN524310 FKP524310 FUJ524310 FUL524310 GEF524310 GEH524310 GOB524310 GOD524310 GXX524310 GXZ524310 HHT524310 HHV524310 HRP524310 HRR524310 IBL524310 IBN524310 ILH524310 ILJ524310 IVD524310 IVF524310 JEZ524310 JFB524310 JOV524310 JOX524310 JYR524310 JYT524310 KIN524310 KIP524310 KSJ524310 KSL524310 LCF524310 LCH524310 LMB524310 LMD524310 LVX524310 LVZ524310 MFT524310 MFV524310 MPP524310 MPR524310 MZL524310 MZN524310 NJH524310 NJJ524310 NTD524310 NTF524310 OCZ524310 ODB524310 OMV524310 OMX524310 OWR524310 OWT524310 PGN524310 PGP524310 PQJ524310 PQL524310 QAF524310 QAH524310 QKB524310 QKD524310 QTX524310 QTZ524310 RDT524310 RDV524310 RNP524310 RNR524310 RXL524310 RXN524310 SHH524310 SHJ524310 SRD524310 SRF524310 TAZ524310 TBB524310 TKV524310 TKX524310 TUR524310 TUT524310 UEN524310 UEP524310 UOJ524310 UOL524310 UYF524310 UYH524310 VIB524310 VID524310 VRX524310 VRZ524310 WBT524310 WBV524310 WLP524310 WLR524310 WVL524310 WVN524310 D589846 F589846 IZ589846 JB589846 SV589846 SX589846 ACR589846 ACT589846 AMN589846 AMP589846 AWJ589846 AWL589846 BGF589846 BGH589846 BQB589846 BQD589846 BZX589846 BZZ589846 CJT589846 CJV589846 CTP589846 CTR589846 DDL589846 DDN589846 DNH589846 DNJ589846 DXD589846 DXF589846 EGZ589846 EHB589846 EQV589846 EQX589846 FAR589846 FAT589846 FKN589846 FKP589846 FUJ589846 FUL589846 GEF589846 GEH589846 GOB589846 GOD589846 GXX589846 GXZ589846 HHT589846 HHV589846 HRP589846 HRR589846 IBL589846 IBN589846 ILH589846 ILJ589846 IVD589846 IVF589846 JEZ589846 JFB589846 JOV589846 JOX589846 JYR589846 JYT589846 KIN589846 KIP589846 KSJ589846 KSL589846 LCF589846 LCH589846 LMB589846 LMD589846 LVX589846 LVZ589846 MFT589846 MFV589846 MPP589846 MPR589846 MZL589846 MZN589846 NJH589846 NJJ589846 NTD589846 NTF589846 OCZ589846 ODB589846 OMV589846 OMX589846 OWR589846 OWT589846 PGN589846 PGP589846 PQJ589846 PQL589846 QAF589846 QAH589846 QKB589846 QKD589846 QTX589846 QTZ589846 RDT589846 RDV589846 RNP589846 RNR589846 RXL589846 RXN589846 SHH589846 SHJ589846 SRD589846 SRF589846 TAZ589846 TBB589846 TKV589846 TKX589846 TUR589846 TUT589846 UEN589846 UEP589846 UOJ589846 UOL589846 UYF589846 UYH589846 VIB589846 VID589846 VRX589846 VRZ589846 WBT589846 WBV589846 WLP589846 WLR589846 WVL589846 WVN589846 D655382 F655382 IZ655382 JB655382 SV655382 SX655382 ACR655382 ACT655382 AMN655382 AMP655382 AWJ655382 AWL655382 BGF655382 BGH655382 BQB655382 BQD655382 BZX655382 BZZ655382 CJT655382 CJV655382 CTP655382 CTR655382 DDL655382 DDN655382 DNH655382 DNJ655382 DXD655382 DXF655382 EGZ655382 EHB655382 EQV655382 EQX655382 FAR655382 FAT655382 FKN655382 FKP655382 FUJ655382 FUL655382 GEF655382 GEH655382 GOB655382 GOD655382 GXX655382 GXZ655382 HHT655382 HHV655382 HRP655382 HRR655382 IBL655382 IBN655382 ILH655382 ILJ655382 IVD655382 IVF655382 JEZ655382 JFB655382 JOV655382 JOX655382 JYR655382 JYT655382 KIN655382 KIP655382 KSJ655382 KSL655382 LCF655382 LCH655382 LMB655382 LMD655382 LVX655382 LVZ655382 MFT655382 MFV655382 MPP655382 MPR655382 MZL655382 MZN655382 NJH655382 NJJ655382 NTD655382 NTF655382 OCZ655382 ODB655382 OMV655382 OMX655382 OWR655382 OWT655382 PGN655382 PGP655382 PQJ655382 PQL655382 QAF655382 QAH655382 QKB655382 QKD655382 QTX655382 QTZ655382 RDT655382 RDV655382 RNP655382 RNR655382 RXL655382 RXN655382 SHH655382 SHJ655382 SRD655382 SRF655382 TAZ655382 TBB655382 TKV655382 TKX655382 TUR655382 TUT655382 UEN655382 UEP655382 UOJ655382 UOL655382 UYF655382 UYH655382 VIB655382 VID655382 VRX655382 VRZ655382 WBT655382 WBV655382 WLP655382 WLR655382 WVL655382 WVN655382 D720918 F720918 IZ720918 JB720918 SV720918 SX720918 ACR720918 ACT720918 AMN720918 AMP720918 AWJ720918 AWL720918 BGF720918 BGH720918 BQB720918 BQD720918 BZX720918 BZZ720918 CJT720918 CJV720918 CTP720918 CTR720918 DDL720918 DDN720918 DNH720918 DNJ720918 DXD720918 DXF720918 EGZ720918 EHB720918 EQV720918 EQX720918 FAR720918 FAT720918 FKN720918 FKP720918 FUJ720918 FUL720918 GEF720918 GEH720918 GOB720918 GOD720918 GXX720918 GXZ720918 HHT720918 HHV720918 HRP720918 HRR720918 IBL720918 IBN720918 ILH720918 ILJ720918 IVD720918 IVF720918 JEZ720918 JFB720918 JOV720918 JOX720918 JYR720918 JYT720918 KIN720918 KIP720918 KSJ720918 KSL720918 LCF720918 LCH720918 LMB720918 LMD720918 LVX720918 LVZ720918 MFT720918 MFV720918 MPP720918 MPR720918 MZL720918 MZN720918 NJH720918 NJJ720918 NTD720918 NTF720918 OCZ720918 ODB720918 OMV720918 OMX720918 OWR720918 OWT720918 PGN720918 PGP720918 PQJ720918 PQL720918 QAF720918 QAH720918 QKB720918 QKD720918 QTX720918 QTZ720918 RDT720918 RDV720918 RNP720918 RNR720918 RXL720918 RXN720918 SHH720918 SHJ720918 SRD720918 SRF720918 TAZ720918 TBB720918 TKV720918 TKX720918 TUR720918 TUT720918 UEN720918 UEP720918 UOJ720918 UOL720918 UYF720918 UYH720918 VIB720918 VID720918 VRX720918 VRZ720918 WBT720918 WBV720918 WLP720918 WLR720918 WVL720918 WVN720918 D786454 F786454 IZ786454 JB786454 SV786454 SX786454 ACR786454 ACT786454 AMN786454 AMP786454 AWJ786454 AWL786454 BGF786454 BGH786454 BQB786454 BQD786454 BZX786454 BZZ786454 CJT786454 CJV786454 CTP786454 CTR786454 DDL786454 DDN786454 DNH786454 DNJ786454 DXD786454 DXF786454 EGZ786454 EHB786454 EQV786454 EQX786454 FAR786454 FAT786454 FKN786454 FKP786454 FUJ786454 FUL786454 GEF786454 GEH786454 GOB786454 GOD786454 GXX786454 GXZ786454 HHT786454 HHV786454 HRP786454 HRR786454 IBL786454 IBN786454 ILH786454 ILJ786454 IVD786454 IVF786454 JEZ786454 JFB786454 JOV786454 JOX786454 JYR786454 JYT786454 KIN786454 KIP786454 KSJ786454 KSL786454 LCF786454 LCH786454 LMB786454 LMD786454 LVX786454 LVZ786454 MFT786454 MFV786454 MPP786454 MPR786454 MZL786454 MZN786454 NJH786454 NJJ786454 NTD786454 NTF786454 OCZ786454 ODB786454 OMV786454 OMX786454 OWR786454 OWT786454 PGN786454 PGP786454 PQJ786454 PQL786454 QAF786454 QAH786454 QKB786454 QKD786454 QTX786454 QTZ786454 RDT786454 RDV786454 RNP786454 RNR786454 RXL786454 RXN786454 SHH786454 SHJ786454 SRD786454 SRF786454 TAZ786454 TBB786454 TKV786454 TKX786454 TUR786454 TUT786454 UEN786454 UEP786454 UOJ786454 UOL786454 UYF786454 UYH786454 VIB786454 VID786454 VRX786454 VRZ786454 WBT786454 WBV786454 WLP786454 WLR786454 WVL786454 WVN786454 D851990 F851990 IZ851990 JB851990 SV851990 SX851990 ACR851990 ACT851990 AMN851990 AMP851990 AWJ851990 AWL851990 BGF851990 BGH851990 BQB851990 BQD851990 BZX851990 BZZ851990 CJT851990 CJV851990 CTP851990 CTR851990 DDL851990 DDN851990 DNH851990 DNJ851990 DXD851990 DXF851990 EGZ851990 EHB851990 EQV851990 EQX851990 FAR851990 FAT851990 FKN851990 FKP851990 FUJ851990 FUL851990 GEF851990 GEH851990 GOB851990 GOD851990 GXX851990 GXZ851990 HHT851990 HHV851990 HRP851990 HRR851990 IBL851990 IBN851990 ILH851990 ILJ851990 IVD851990 IVF851990 JEZ851990 JFB851990 JOV851990 JOX851990 JYR851990 JYT851990 KIN851990 KIP851990 KSJ851990 KSL851990 LCF851990 LCH851990 LMB851990 LMD851990 LVX851990 LVZ851990 MFT851990 MFV851990 MPP851990 MPR851990 MZL851990 MZN851990 NJH851990 NJJ851990 NTD851990 NTF851990 OCZ851990 ODB851990 OMV851990 OMX851990 OWR851990 OWT851990 PGN851990 PGP851990 PQJ851990 PQL851990 QAF851990 QAH851990 QKB851990 QKD851990 QTX851990 QTZ851990 RDT851990 RDV851990 RNP851990 RNR851990 RXL851990 RXN851990 SHH851990 SHJ851990 SRD851990 SRF851990 TAZ851990 TBB851990 TKV851990 TKX851990 TUR851990 TUT851990 UEN851990 UEP851990 UOJ851990 UOL851990 UYF851990 UYH851990 VIB851990 VID851990 VRX851990 VRZ851990 WBT851990 WBV851990 WLP851990 WLR851990 WVL851990 WVN851990 D917526 F917526 IZ917526 JB917526 SV917526 SX917526 ACR917526 ACT917526 AMN917526 AMP917526 AWJ917526 AWL917526 BGF917526 BGH917526 BQB917526 BQD917526 BZX917526 BZZ917526 CJT917526 CJV917526 CTP917526 CTR917526 DDL917526 DDN917526 DNH917526 DNJ917526 DXD917526 DXF917526 EGZ917526 EHB917526 EQV917526 EQX917526 FAR917526 FAT917526 FKN917526 FKP917526 FUJ917526 FUL917526 GEF917526 GEH917526 GOB917526 GOD917526 GXX917526 GXZ917526 HHT917526 HHV917526 HRP917526 HRR917526 IBL917526 IBN917526 ILH917526 ILJ917526 IVD917526 IVF917526 JEZ917526 JFB917526 JOV917526 JOX917526 JYR917526 JYT917526 KIN917526 KIP917526 KSJ917526 KSL917526 LCF917526 LCH917526 LMB917526 LMD917526 LVX917526 LVZ917526 MFT917526 MFV917526 MPP917526 MPR917526 MZL917526 MZN917526 NJH917526 NJJ917526 NTD917526 NTF917526 OCZ917526 ODB917526 OMV917526 OMX917526 OWR917526 OWT917526 PGN917526 PGP917526 PQJ917526 PQL917526 QAF917526 QAH917526 QKB917526 QKD917526 QTX917526 QTZ917526 RDT917526 RDV917526 RNP917526 RNR917526 RXL917526 RXN917526 SHH917526 SHJ917526 SRD917526 SRF917526 TAZ917526 TBB917526 TKV917526 TKX917526 TUR917526 TUT917526 UEN917526 UEP917526 UOJ917526 UOL917526 UYF917526 UYH917526 VIB917526 VID917526 VRX917526 VRZ917526 WBT917526 WBV917526 WLP917526 WLR917526 WVL917526 WVN917526 D983062 F983062 IZ983062 JB983062 SV983062 SX983062 ACR983062 ACT983062 AMN983062 AMP983062 AWJ983062 AWL983062 BGF983062 BGH983062 BQB983062 BQD983062 BZX983062 BZZ983062 CJT983062 CJV983062 CTP983062 CTR983062 DDL983062 DDN983062 DNH983062 DNJ983062 DXD983062 DXF983062 EGZ983062 EHB983062 EQV983062 EQX983062 FAR983062 FAT983062 FKN983062 FKP983062 FUJ983062 FUL983062 GEF983062 GEH983062 GOB983062 GOD983062 GXX983062 GXZ983062 HHT983062 HHV983062 HRP983062 HRR983062 IBL983062 IBN983062 ILH983062 ILJ983062 IVD983062 IVF983062 JEZ983062 JFB983062 JOV983062 JOX983062 JYR983062 JYT983062 KIN983062 KIP983062 KSJ983062 KSL983062 LCF983062 LCH983062 LMB983062 LMD983062 LVX983062 LVZ983062 MFT983062 MFV983062 MPP983062 MPR983062 MZL983062 MZN983062 NJH983062 NJJ983062 NTD983062 NTF983062 OCZ983062 ODB983062 OMV983062 OMX983062 OWR983062 OWT983062 PGN983062 PGP983062 PQJ983062 PQL983062 QAF983062 QAH983062 QKB983062 QKD983062 QTX983062 QTZ983062 RDT983062 RDV983062 RNP983062 RNR983062 RXL983062 RXN983062 SHH983062 SHJ983062 SRD983062 SRF983062 TAZ983062 TBB983062 TKV983062 TKX983062 TUR983062 TUT983062 UEN983062 UEP983062 UOJ983062 UOL983062 UYF983062 UYH983062 VIB983062 VID983062 VRX983062 VRZ983062 WBT983062 WBV983062 WLP983062 WLR983062 WVL983062 WVN983062">
      <formula1>$O$5:$O$20</formula1>
    </dataValidation>
    <dataValidation type="list" allowBlank="1" showInputMessage="1" showErrorMessage="1" sqref="D30 F30 IZ30 JB30 SV30 SX30 ACR30 ACT30 AMN30 AMP30 AWJ30 AWL30 BGF30 BGH30 BQB30 BQD30 BZX30 BZZ30 CJT30 CJV30 CTP30 CTR30 DDL30 DDN30 DNH30 DNJ30 DXD30 DXF30 EGZ30 EHB30 EQV30 EQX30 FAR30 FAT30 FKN30 FKP30 FUJ30 FUL30 GEF30 GEH30 GOB30 GOD30 GXX30 GXZ30 HHT30 HHV30 HRP30 HRR30 IBL30 IBN30 ILH30 ILJ30 IVD30 IVF30 JEZ30 JFB30 JOV30 JOX30 JYR30 JYT30 KIN30 KIP30 KSJ30 KSL30 LCF30 LCH30 LMB30 LMD30 LVX30 LVZ30 MFT30 MFV30 MPP30 MPR30 MZL30 MZN30 NJH30 NJJ30 NTD30 NTF30 OCZ30 ODB30 OMV30 OMX30 OWR30 OWT30 PGN30 PGP30 PQJ30 PQL30 QAF30 QAH30 QKB30 QKD30 QTX30 QTZ30 RDT30 RDV30 RNP30 RNR30 RXL30 RXN30 SHH30 SHJ30 SRD30 SRF30 TAZ30 TBB30 TKV30 TKX30 TUR30 TUT30 UEN30 UEP30 UOJ30 UOL30 UYF30 UYH30 VIB30 VID30 VRX30 VRZ30 WBT30 WBV30 WLP30 WLR30 WVL30 WVN30 D65566 F65566 IZ65566 JB65566 SV65566 SX65566 ACR65566 ACT65566 AMN65566 AMP65566 AWJ65566 AWL65566 BGF65566 BGH65566 BQB65566 BQD65566 BZX65566 BZZ65566 CJT65566 CJV65566 CTP65566 CTR65566 DDL65566 DDN65566 DNH65566 DNJ65566 DXD65566 DXF65566 EGZ65566 EHB65566 EQV65566 EQX65566 FAR65566 FAT65566 FKN65566 FKP65566 FUJ65566 FUL65566 GEF65566 GEH65566 GOB65566 GOD65566 GXX65566 GXZ65566 HHT65566 HHV65566 HRP65566 HRR65566 IBL65566 IBN65566 ILH65566 ILJ65566 IVD65566 IVF65566 JEZ65566 JFB65566 JOV65566 JOX65566 JYR65566 JYT65566 KIN65566 KIP65566 KSJ65566 KSL65566 LCF65566 LCH65566 LMB65566 LMD65566 LVX65566 LVZ65566 MFT65566 MFV65566 MPP65566 MPR65566 MZL65566 MZN65566 NJH65566 NJJ65566 NTD65566 NTF65566 OCZ65566 ODB65566 OMV65566 OMX65566 OWR65566 OWT65566 PGN65566 PGP65566 PQJ65566 PQL65566 QAF65566 QAH65566 QKB65566 QKD65566 QTX65566 QTZ65566 RDT65566 RDV65566 RNP65566 RNR65566 RXL65566 RXN65566 SHH65566 SHJ65566 SRD65566 SRF65566 TAZ65566 TBB65566 TKV65566 TKX65566 TUR65566 TUT65566 UEN65566 UEP65566 UOJ65566 UOL65566 UYF65566 UYH65566 VIB65566 VID65566 VRX65566 VRZ65566 WBT65566 WBV65566 WLP65566 WLR65566 WVL65566 WVN65566 D131102 F131102 IZ131102 JB131102 SV131102 SX131102 ACR131102 ACT131102 AMN131102 AMP131102 AWJ131102 AWL131102 BGF131102 BGH131102 BQB131102 BQD131102 BZX131102 BZZ131102 CJT131102 CJV131102 CTP131102 CTR131102 DDL131102 DDN131102 DNH131102 DNJ131102 DXD131102 DXF131102 EGZ131102 EHB131102 EQV131102 EQX131102 FAR131102 FAT131102 FKN131102 FKP131102 FUJ131102 FUL131102 GEF131102 GEH131102 GOB131102 GOD131102 GXX131102 GXZ131102 HHT131102 HHV131102 HRP131102 HRR131102 IBL131102 IBN131102 ILH131102 ILJ131102 IVD131102 IVF131102 JEZ131102 JFB131102 JOV131102 JOX131102 JYR131102 JYT131102 KIN131102 KIP131102 KSJ131102 KSL131102 LCF131102 LCH131102 LMB131102 LMD131102 LVX131102 LVZ131102 MFT131102 MFV131102 MPP131102 MPR131102 MZL131102 MZN131102 NJH131102 NJJ131102 NTD131102 NTF131102 OCZ131102 ODB131102 OMV131102 OMX131102 OWR131102 OWT131102 PGN131102 PGP131102 PQJ131102 PQL131102 QAF131102 QAH131102 QKB131102 QKD131102 QTX131102 QTZ131102 RDT131102 RDV131102 RNP131102 RNR131102 RXL131102 RXN131102 SHH131102 SHJ131102 SRD131102 SRF131102 TAZ131102 TBB131102 TKV131102 TKX131102 TUR131102 TUT131102 UEN131102 UEP131102 UOJ131102 UOL131102 UYF131102 UYH131102 VIB131102 VID131102 VRX131102 VRZ131102 WBT131102 WBV131102 WLP131102 WLR131102 WVL131102 WVN131102 D196638 F196638 IZ196638 JB196638 SV196638 SX196638 ACR196638 ACT196638 AMN196638 AMP196638 AWJ196638 AWL196638 BGF196638 BGH196638 BQB196638 BQD196638 BZX196638 BZZ196638 CJT196638 CJV196638 CTP196638 CTR196638 DDL196638 DDN196638 DNH196638 DNJ196638 DXD196638 DXF196638 EGZ196638 EHB196638 EQV196638 EQX196638 FAR196638 FAT196638 FKN196638 FKP196638 FUJ196638 FUL196638 GEF196638 GEH196638 GOB196638 GOD196638 GXX196638 GXZ196638 HHT196638 HHV196638 HRP196638 HRR196638 IBL196638 IBN196638 ILH196638 ILJ196638 IVD196638 IVF196638 JEZ196638 JFB196638 JOV196638 JOX196638 JYR196638 JYT196638 KIN196638 KIP196638 KSJ196638 KSL196638 LCF196638 LCH196638 LMB196638 LMD196638 LVX196638 LVZ196638 MFT196638 MFV196638 MPP196638 MPR196638 MZL196638 MZN196638 NJH196638 NJJ196638 NTD196638 NTF196638 OCZ196638 ODB196638 OMV196638 OMX196638 OWR196638 OWT196638 PGN196638 PGP196638 PQJ196638 PQL196638 QAF196638 QAH196638 QKB196638 QKD196638 QTX196638 QTZ196638 RDT196638 RDV196638 RNP196638 RNR196638 RXL196638 RXN196638 SHH196638 SHJ196638 SRD196638 SRF196638 TAZ196638 TBB196638 TKV196638 TKX196638 TUR196638 TUT196638 UEN196638 UEP196638 UOJ196638 UOL196638 UYF196638 UYH196638 VIB196638 VID196638 VRX196638 VRZ196638 WBT196638 WBV196638 WLP196638 WLR196638 WVL196638 WVN196638 D262174 F262174 IZ262174 JB262174 SV262174 SX262174 ACR262174 ACT262174 AMN262174 AMP262174 AWJ262174 AWL262174 BGF262174 BGH262174 BQB262174 BQD262174 BZX262174 BZZ262174 CJT262174 CJV262174 CTP262174 CTR262174 DDL262174 DDN262174 DNH262174 DNJ262174 DXD262174 DXF262174 EGZ262174 EHB262174 EQV262174 EQX262174 FAR262174 FAT262174 FKN262174 FKP262174 FUJ262174 FUL262174 GEF262174 GEH262174 GOB262174 GOD262174 GXX262174 GXZ262174 HHT262174 HHV262174 HRP262174 HRR262174 IBL262174 IBN262174 ILH262174 ILJ262174 IVD262174 IVF262174 JEZ262174 JFB262174 JOV262174 JOX262174 JYR262174 JYT262174 KIN262174 KIP262174 KSJ262174 KSL262174 LCF262174 LCH262174 LMB262174 LMD262174 LVX262174 LVZ262174 MFT262174 MFV262174 MPP262174 MPR262174 MZL262174 MZN262174 NJH262174 NJJ262174 NTD262174 NTF262174 OCZ262174 ODB262174 OMV262174 OMX262174 OWR262174 OWT262174 PGN262174 PGP262174 PQJ262174 PQL262174 QAF262174 QAH262174 QKB262174 QKD262174 QTX262174 QTZ262174 RDT262174 RDV262174 RNP262174 RNR262174 RXL262174 RXN262174 SHH262174 SHJ262174 SRD262174 SRF262174 TAZ262174 TBB262174 TKV262174 TKX262174 TUR262174 TUT262174 UEN262174 UEP262174 UOJ262174 UOL262174 UYF262174 UYH262174 VIB262174 VID262174 VRX262174 VRZ262174 WBT262174 WBV262174 WLP262174 WLR262174 WVL262174 WVN262174 D327710 F327710 IZ327710 JB327710 SV327710 SX327710 ACR327710 ACT327710 AMN327710 AMP327710 AWJ327710 AWL327710 BGF327710 BGH327710 BQB327710 BQD327710 BZX327710 BZZ327710 CJT327710 CJV327710 CTP327710 CTR327710 DDL327710 DDN327710 DNH327710 DNJ327710 DXD327710 DXF327710 EGZ327710 EHB327710 EQV327710 EQX327710 FAR327710 FAT327710 FKN327710 FKP327710 FUJ327710 FUL327710 GEF327710 GEH327710 GOB327710 GOD327710 GXX327710 GXZ327710 HHT327710 HHV327710 HRP327710 HRR327710 IBL327710 IBN327710 ILH327710 ILJ327710 IVD327710 IVF327710 JEZ327710 JFB327710 JOV327710 JOX327710 JYR327710 JYT327710 KIN327710 KIP327710 KSJ327710 KSL327710 LCF327710 LCH327710 LMB327710 LMD327710 LVX327710 LVZ327710 MFT327710 MFV327710 MPP327710 MPR327710 MZL327710 MZN327710 NJH327710 NJJ327710 NTD327710 NTF327710 OCZ327710 ODB327710 OMV327710 OMX327710 OWR327710 OWT327710 PGN327710 PGP327710 PQJ327710 PQL327710 QAF327710 QAH327710 QKB327710 QKD327710 QTX327710 QTZ327710 RDT327710 RDV327710 RNP327710 RNR327710 RXL327710 RXN327710 SHH327710 SHJ327710 SRD327710 SRF327710 TAZ327710 TBB327710 TKV327710 TKX327710 TUR327710 TUT327710 UEN327710 UEP327710 UOJ327710 UOL327710 UYF327710 UYH327710 VIB327710 VID327710 VRX327710 VRZ327710 WBT327710 WBV327710 WLP327710 WLR327710 WVL327710 WVN327710 D393246 F393246 IZ393246 JB393246 SV393246 SX393246 ACR393246 ACT393246 AMN393246 AMP393246 AWJ393246 AWL393246 BGF393246 BGH393246 BQB393246 BQD393246 BZX393246 BZZ393246 CJT393246 CJV393246 CTP393246 CTR393246 DDL393246 DDN393246 DNH393246 DNJ393246 DXD393246 DXF393246 EGZ393246 EHB393246 EQV393246 EQX393246 FAR393246 FAT393246 FKN393246 FKP393246 FUJ393246 FUL393246 GEF393246 GEH393246 GOB393246 GOD393246 GXX393246 GXZ393246 HHT393246 HHV393246 HRP393246 HRR393246 IBL393246 IBN393246 ILH393246 ILJ393246 IVD393246 IVF393246 JEZ393246 JFB393246 JOV393246 JOX393246 JYR393246 JYT393246 KIN393246 KIP393246 KSJ393246 KSL393246 LCF393246 LCH393246 LMB393246 LMD393246 LVX393246 LVZ393246 MFT393246 MFV393246 MPP393246 MPR393246 MZL393246 MZN393246 NJH393246 NJJ393246 NTD393246 NTF393246 OCZ393246 ODB393246 OMV393246 OMX393246 OWR393246 OWT393246 PGN393246 PGP393246 PQJ393246 PQL393246 QAF393246 QAH393246 QKB393246 QKD393246 QTX393246 QTZ393246 RDT393246 RDV393246 RNP393246 RNR393246 RXL393246 RXN393246 SHH393246 SHJ393246 SRD393246 SRF393246 TAZ393246 TBB393246 TKV393246 TKX393246 TUR393246 TUT393246 UEN393246 UEP393246 UOJ393246 UOL393246 UYF393246 UYH393246 VIB393246 VID393246 VRX393246 VRZ393246 WBT393246 WBV393246 WLP393246 WLR393246 WVL393246 WVN393246 D458782 F458782 IZ458782 JB458782 SV458782 SX458782 ACR458782 ACT458782 AMN458782 AMP458782 AWJ458782 AWL458782 BGF458782 BGH458782 BQB458782 BQD458782 BZX458782 BZZ458782 CJT458782 CJV458782 CTP458782 CTR458782 DDL458782 DDN458782 DNH458782 DNJ458782 DXD458782 DXF458782 EGZ458782 EHB458782 EQV458782 EQX458782 FAR458782 FAT458782 FKN458782 FKP458782 FUJ458782 FUL458782 GEF458782 GEH458782 GOB458782 GOD458782 GXX458782 GXZ458782 HHT458782 HHV458782 HRP458782 HRR458782 IBL458782 IBN458782 ILH458782 ILJ458782 IVD458782 IVF458782 JEZ458782 JFB458782 JOV458782 JOX458782 JYR458782 JYT458782 KIN458782 KIP458782 KSJ458782 KSL458782 LCF458782 LCH458782 LMB458782 LMD458782 LVX458782 LVZ458782 MFT458782 MFV458782 MPP458782 MPR458782 MZL458782 MZN458782 NJH458782 NJJ458782 NTD458782 NTF458782 OCZ458782 ODB458782 OMV458782 OMX458782 OWR458782 OWT458782 PGN458782 PGP458782 PQJ458782 PQL458782 QAF458782 QAH458782 QKB458782 QKD458782 QTX458782 QTZ458782 RDT458782 RDV458782 RNP458782 RNR458782 RXL458782 RXN458782 SHH458782 SHJ458782 SRD458782 SRF458782 TAZ458782 TBB458782 TKV458782 TKX458782 TUR458782 TUT458782 UEN458782 UEP458782 UOJ458782 UOL458782 UYF458782 UYH458782 VIB458782 VID458782 VRX458782 VRZ458782 WBT458782 WBV458782 WLP458782 WLR458782 WVL458782 WVN458782 D524318 F524318 IZ524318 JB524318 SV524318 SX524318 ACR524318 ACT524318 AMN524318 AMP524318 AWJ524318 AWL524318 BGF524318 BGH524318 BQB524318 BQD524318 BZX524318 BZZ524318 CJT524318 CJV524318 CTP524318 CTR524318 DDL524318 DDN524318 DNH524318 DNJ524318 DXD524318 DXF524318 EGZ524318 EHB524318 EQV524318 EQX524318 FAR524318 FAT524318 FKN524318 FKP524318 FUJ524318 FUL524318 GEF524318 GEH524318 GOB524318 GOD524318 GXX524318 GXZ524318 HHT524318 HHV524318 HRP524318 HRR524318 IBL524318 IBN524318 ILH524318 ILJ524318 IVD524318 IVF524318 JEZ524318 JFB524318 JOV524318 JOX524318 JYR524318 JYT524318 KIN524318 KIP524318 KSJ524318 KSL524318 LCF524318 LCH524318 LMB524318 LMD524318 LVX524318 LVZ524318 MFT524318 MFV524318 MPP524318 MPR524318 MZL524318 MZN524318 NJH524318 NJJ524318 NTD524318 NTF524318 OCZ524318 ODB524318 OMV524318 OMX524318 OWR524318 OWT524318 PGN524318 PGP524318 PQJ524318 PQL524318 QAF524318 QAH524318 QKB524318 QKD524318 QTX524318 QTZ524318 RDT524318 RDV524318 RNP524318 RNR524318 RXL524318 RXN524318 SHH524318 SHJ524318 SRD524318 SRF524318 TAZ524318 TBB524318 TKV524318 TKX524318 TUR524318 TUT524318 UEN524318 UEP524318 UOJ524318 UOL524318 UYF524318 UYH524318 VIB524318 VID524318 VRX524318 VRZ524318 WBT524318 WBV524318 WLP524318 WLR524318 WVL524318 WVN524318 D589854 F589854 IZ589854 JB589854 SV589854 SX589854 ACR589854 ACT589854 AMN589854 AMP589854 AWJ589854 AWL589854 BGF589854 BGH589854 BQB589854 BQD589854 BZX589854 BZZ589854 CJT589854 CJV589854 CTP589854 CTR589854 DDL589854 DDN589854 DNH589854 DNJ589854 DXD589854 DXF589854 EGZ589854 EHB589854 EQV589854 EQX589854 FAR589854 FAT589854 FKN589854 FKP589854 FUJ589854 FUL589854 GEF589854 GEH589854 GOB589854 GOD589854 GXX589854 GXZ589854 HHT589854 HHV589854 HRP589854 HRR589854 IBL589854 IBN589854 ILH589854 ILJ589854 IVD589854 IVF589854 JEZ589854 JFB589854 JOV589854 JOX589854 JYR589854 JYT589854 KIN589854 KIP589854 KSJ589854 KSL589854 LCF589854 LCH589854 LMB589854 LMD589854 LVX589854 LVZ589854 MFT589854 MFV589854 MPP589854 MPR589854 MZL589854 MZN589854 NJH589854 NJJ589854 NTD589854 NTF589854 OCZ589854 ODB589854 OMV589854 OMX589854 OWR589854 OWT589854 PGN589854 PGP589854 PQJ589854 PQL589854 QAF589854 QAH589854 QKB589854 QKD589854 QTX589854 QTZ589854 RDT589854 RDV589854 RNP589854 RNR589854 RXL589854 RXN589854 SHH589854 SHJ589854 SRD589854 SRF589854 TAZ589854 TBB589854 TKV589854 TKX589854 TUR589854 TUT589854 UEN589854 UEP589854 UOJ589854 UOL589854 UYF589854 UYH589854 VIB589854 VID589854 VRX589854 VRZ589854 WBT589854 WBV589854 WLP589854 WLR589854 WVL589854 WVN589854 D655390 F655390 IZ655390 JB655390 SV655390 SX655390 ACR655390 ACT655390 AMN655390 AMP655390 AWJ655390 AWL655390 BGF655390 BGH655390 BQB655390 BQD655390 BZX655390 BZZ655390 CJT655390 CJV655390 CTP655390 CTR655390 DDL655390 DDN655390 DNH655390 DNJ655390 DXD655390 DXF655390 EGZ655390 EHB655390 EQV655390 EQX655390 FAR655390 FAT655390 FKN655390 FKP655390 FUJ655390 FUL655390 GEF655390 GEH655390 GOB655390 GOD655390 GXX655390 GXZ655390 HHT655390 HHV655390 HRP655390 HRR655390 IBL655390 IBN655390 ILH655390 ILJ655390 IVD655390 IVF655390 JEZ655390 JFB655390 JOV655390 JOX655390 JYR655390 JYT655390 KIN655390 KIP655390 KSJ655390 KSL655390 LCF655390 LCH655390 LMB655390 LMD655390 LVX655390 LVZ655390 MFT655390 MFV655390 MPP655390 MPR655390 MZL655390 MZN655390 NJH655390 NJJ655390 NTD655390 NTF655390 OCZ655390 ODB655390 OMV655390 OMX655390 OWR655390 OWT655390 PGN655390 PGP655390 PQJ655390 PQL655390 QAF655390 QAH655390 QKB655390 QKD655390 QTX655390 QTZ655390 RDT655390 RDV655390 RNP655390 RNR655390 RXL655390 RXN655390 SHH655390 SHJ655390 SRD655390 SRF655390 TAZ655390 TBB655390 TKV655390 TKX655390 TUR655390 TUT655390 UEN655390 UEP655390 UOJ655390 UOL655390 UYF655390 UYH655390 VIB655390 VID655390 VRX655390 VRZ655390 WBT655390 WBV655390 WLP655390 WLR655390 WVL655390 WVN655390 D720926 F720926 IZ720926 JB720926 SV720926 SX720926 ACR720926 ACT720926 AMN720926 AMP720926 AWJ720926 AWL720926 BGF720926 BGH720926 BQB720926 BQD720926 BZX720926 BZZ720926 CJT720926 CJV720926 CTP720926 CTR720926 DDL720926 DDN720926 DNH720926 DNJ720926 DXD720926 DXF720926 EGZ720926 EHB720926 EQV720926 EQX720926 FAR720926 FAT720926 FKN720926 FKP720926 FUJ720926 FUL720926 GEF720926 GEH720926 GOB720926 GOD720926 GXX720926 GXZ720926 HHT720926 HHV720926 HRP720926 HRR720926 IBL720926 IBN720926 ILH720926 ILJ720926 IVD720926 IVF720926 JEZ720926 JFB720926 JOV720926 JOX720926 JYR720926 JYT720926 KIN720926 KIP720926 KSJ720926 KSL720926 LCF720926 LCH720926 LMB720926 LMD720926 LVX720926 LVZ720926 MFT720926 MFV720926 MPP720926 MPR720926 MZL720926 MZN720926 NJH720926 NJJ720926 NTD720926 NTF720926 OCZ720926 ODB720926 OMV720926 OMX720926 OWR720926 OWT720926 PGN720926 PGP720926 PQJ720926 PQL720926 QAF720926 QAH720926 QKB720926 QKD720926 QTX720926 QTZ720926 RDT720926 RDV720926 RNP720926 RNR720926 RXL720926 RXN720926 SHH720926 SHJ720926 SRD720926 SRF720926 TAZ720926 TBB720926 TKV720926 TKX720926 TUR720926 TUT720926 UEN720926 UEP720926 UOJ720926 UOL720926 UYF720926 UYH720926 VIB720926 VID720926 VRX720926 VRZ720926 WBT720926 WBV720926 WLP720926 WLR720926 WVL720926 WVN720926 D786462 F786462 IZ786462 JB786462 SV786462 SX786462 ACR786462 ACT786462 AMN786462 AMP786462 AWJ786462 AWL786462 BGF786462 BGH786462 BQB786462 BQD786462 BZX786462 BZZ786462 CJT786462 CJV786462 CTP786462 CTR786462 DDL786462 DDN786462 DNH786462 DNJ786462 DXD786462 DXF786462 EGZ786462 EHB786462 EQV786462 EQX786462 FAR786462 FAT786462 FKN786462 FKP786462 FUJ786462 FUL786462 GEF786462 GEH786462 GOB786462 GOD786462 GXX786462 GXZ786462 HHT786462 HHV786462 HRP786462 HRR786462 IBL786462 IBN786462 ILH786462 ILJ786462 IVD786462 IVF786462 JEZ786462 JFB786462 JOV786462 JOX786462 JYR786462 JYT786462 KIN786462 KIP786462 KSJ786462 KSL786462 LCF786462 LCH786462 LMB786462 LMD786462 LVX786462 LVZ786462 MFT786462 MFV786462 MPP786462 MPR786462 MZL786462 MZN786462 NJH786462 NJJ786462 NTD786462 NTF786462 OCZ786462 ODB786462 OMV786462 OMX786462 OWR786462 OWT786462 PGN786462 PGP786462 PQJ786462 PQL786462 QAF786462 QAH786462 QKB786462 QKD786462 QTX786462 QTZ786462 RDT786462 RDV786462 RNP786462 RNR786462 RXL786462 RXN786462 SHH786462 SHJ786462 SRD786462 SRF786462 TAZ786462 TBB786462 TKV786462 TKX786462 TUR786462 TUT786462 UEN786462 UEP786462 UOJ786462 UOL786462 UYF786462 UYH786462 VIB786462 VID786462 VRX786462 VRZ786462 WBT786462 WBV786462 WLP786462 WLR786462 WVL786462 WVN786462 D851998 F851998 IZ851998 JB851998 SV851998 SX851998 ACR851998 ACT851998 AMN851998 AMP851998 AWJ851998 AWL851998 BGF851998 BGH851998 BQB851998 BQD851998 BZX851998 BZZ851998 CJT851998 CJV851998 CTP851998 CTR851998 DDL851998 DDN851998 DNH851998 DNJ851998 DXD851998 DXF851998 EGZ851998 EHB851998 EQV851998 EQX851998 FAR851998 FAT851998 FKN851998 FKP851998 FUJ851998 FUL851998 GEF851998 GEH851998 GOB851998 GOD851998 GXX851998 GXZ851998 HHT851998 HHV851998 HRP851998 HRR851998 IBL851998 IBN851998 ILH851998 ILJ851998 IVD851998 IVF851998 JEZ851998 JFB851998 JOV851998 JOX851998 JYR851998 JYT851998 KIN851998 KIP851998 KSJ851998 KSL851998 LCF851998 LCH851998 LMB851998 LMD851998 LVX851998 LVZ851998 MFT851998 MFV851998 MPP851998 MPR851998 MZL851998 MZN851998 NJH851998 NJJ851998 NTD851998 NTF851998 OCZ851998 ODB851998 OMV851998 OMX851998 OWR851998 OWT851998 PGN851998 PGP851998 PQJ851998 PQL851998 QAF851998 QAH851998 QKB851998 QKD851998 QTX851998 QTZ851998 RDT851998 RDV851998 RNP851998 RNR851998 RXL851998 RXN851998 SHH851998 SHJ851998 SRD851998 SRF851998 TAZ851998 TBB851998 TKV851998 TKX851998 TUR851998 TUT851998 UEN851998 UEP851998 UOJ851998 UOL851998 UYF851998 UYH851998 VIB851998 VID851998 VRX851998 VRZ851998 WBT851998 WBV851998 WLP851998 WLR851998 WVL851998 WVN851998 D917534 F917534 IZ917534 JB917534 SV917534 SX917534 ACR917534 ACT917534 AMN917534 AMP917534 AWJ917534 AWL917534 BGF917534 BGH917534 BQB917534 BQD917534 BZX917534 BZZ917534 CJT917534 CJV917534 CTP917534 CTR917534 DDL917534 DDN917534 DNH917534 DNJ917534 DXD917534 DXF917534 EGZ917534 EHB917534 EQV917534 EQX917534 FAR917534 FAT917534 FKN917534 FKP917534 FUJ917534 FUL917534 GEF917534 GEH917534 GOB917534 GOD917534 GXX917534 GXZ917534 HHT917534 HHV917534 HRP917534 HRR917534 IBL917534 IBN917534 ILH917534 ILJ917534 IVD917534 IVF917534 JEZ917534 JFB917534 JOV917534 JOX917534 JYR917534 JYT917534 KIN917534 KIP917534 KSJ917534 KSL917534 LCF917534 LCH917534 LMB917534 LMD917534 LVX917534 LVZ917534 MFT917534 MFV917534 MPP917534 MPR917534 MZL917534 MZN917534 NJH917534 NJJ917534 NTD917534 NTF917534 OCZ917534 ODB917534 OMV917534 OMX917534 OWR917534 OWT917534 PGN917534 PGP917534 PQJ917534 PQL917534 QAF917534 QAH917534 QKB917534 QKD917534 QTX917534 QTZ917534 RDT917534 RDV917534 RNP917534 RNR917534 RXL917534 RXN917534 SHH917534 SHJ917534 SRD917534 SRF917534 TAZ917534 TBB917534 TKV917534 TKX917534 TUR917534 TUT917534 UEN917534 UEP917534 UOJ917534 UOL917534 UYF917534 UYH917534 VIB917534 VID917534 VRX917534 VRZ917534 WBT917534 WBV917534 WLP917534 WLR917534 WVL917534 WVN917534 D983070 F983070 IZ983070 JB983070 SV983070 SX983070 ACR983070 ACT983070 AMN983070 AMP983070 AWJ983070 AWL983070 BGF983070 BGH983070 BQB983070 BQD983070 BZX983070 BZZ983070 CJT983070 CJV983070 CTP983070 CTR983070 DDL983070 DDN983070 DNH983070 DNJ983070 DXD983070 DXF983070 EGZ983070 EHB983070 EQV983070 EQX983070 FAR983070 FAT983070 FKN983070 FKP983070 FUJ983070 FUL983070 GEF983070 GEH983070 GOB983070 GOD983070 GXX983070 GXZ983070 HHT983070 HHV983070 HRP983070 HRR983070 IBL983070 IBN983070 ILH983070 ILJ983070 IVD983070 IVF983070 JEZ983070 JFB983070 JOV983070 JOX983070 JYR983070 JYT983070 KIN983070 KIP983070 KSJ983070 KSL983070 LCF983070 LCH983070 LMB983070 LMD983070 LVX983070 LVZ983070 MFT983070 MFV983070 MPP983070 MPR983070 MZL983070 MZN983070 NJH983070 NJJ983070 NTD983070 NTF983070 OCZ983070 ODB983070 OMV983070 OMX983070 OWR983070 OWT983070 PGN983070 PGP983070 PQJ983070 PQL983070 QAF983070 QAH983070 QKB983070 QKD983070 QTX983070 QTZ983070 RDT983070 RDV983070 RNP983070 RNR983070 RXL983070 RXN983070 SHH983070 SHJ983070 SRD983070 SRF983070 TAZ983070 TBB983070 TKV983070 TKX983070 TUR983070 TUT983070 UEN983070 UEP983070 UOJ983070 UOL983070 UYF983070 UYH983070 VIB983070 VID983070 VRX983070 VRZ983070 WBT983070 WBV983070 WLP983070 WLR983070 WVL983070 WVN983070">
      <formula1>$Q$5:$Q$14</formula1>
    </dataValidation>
    <dataValidation type="list" allowBlank="1" showInputMessage="1" showErrorMessage="1" sqref="D34 F34 IZ34 JB34 SV34 SX34 ACR34 ACT34 AMN34 AMP34 AWJ34 AWL34 BGF34 BGH34 BQB34 BQD34 BZX34 BZZ34 CJT34 CJV34 CTP34 CTR34 DDL34 DDN34 DNH34 DNJ34 DXD34 DXF34 EGZ34 EHB34 EQV34 EQX34 FAR34 FAT34 FKN34 FKP34 FUJ34 FUL34 GEF34 GEH34 GOB34 GOD34 GXX34 GXZ34 HHT34 HHV34 HRP34 HRR34 IBL34 IBN34 ILH34 ILJ34 IVD34 IVF34 JEZ34 JFB34 JOV34 JOX34 JYR34 JYT34 KIN34 KIP34 KSJ34 KSL34 LCF34 LCH34 LMB34 LMD34 LVX34 LVZ34 MFT34 MFV34 MPP34 MPR34 MZL34 MZN34 NJH34 NJJ34 NTD34 NTF34 OCZ34 ODB34 OMV34 OMX34 OWR34 OWT34 PGN34 PGP34 PQJ34 PQL34 QAF34 QAH34 QKB34 QKD34 QTX34 QTZ34 RDT34 RDV34 RNP34 RNR34 RXL34 RXN34 SHH34 SHJ34 SRD34 SRF34 TAZ34 TBB34 TKV34 TKX34 TUR34 TUT34 UEN34 UEP34 UOJ34 UOL34 UYF34 UYH34 VIB34 VID34 VRX34 VRZ34 WBT34 WBV34 WLP34 WLR34 WVL34 WVN34 D65570 F65570 IZ65570 JB65570 SV65570 SX65570 ACR65570 ACT65570 AMN65570 AMP65570 AWJ65570 AWL65570 BGF65570 BGH65570 BQB65570 BQD65570 BZX65570 BZZ65570 CJT65570 CJV65570 CTP65570 CTR65570 DDL65570 DDN65570 DNH65570 DNJ65570 DXD65570 DXF65570 EGZ65570 EHB65570 EQV65570 EQX65570 FAR65570 FAT65570 FKN65570 FKP65570 FUJ65570 FUL65570 GEF65570 GEH65570 GOB65570 GOD65570 GXX65570 GXZ65570 HHT65570 HHV65570 HRP65570 HRR65570 IBL65570 IBN65570 ILH65570 ILJ65570 IVD65570 IVF65570 JEZ65570 JFB65570 JOV65570 JOX65570 JYR65570 JYT65570 KIN65570 KIP65570 KSJ65570 KSL65570 LCF65570 LCH65570 LMB65570 LMD65570 LVX65570 LVZ65570 MFT65570 MFV65570 MPP65570 MPR65570 MZL65570 MZN65570 NJH65570 NJJ65570 NTD65570 NTF65570 OCZ65570 ODB65570 OMV65570 OMX65570 OWR65570 OWT65570 PGN65570 PGP65570 PQJ65570 PQL65570 QAF65570 QAH65570 QKB65570 QKD65570 QTX65570 QTZ65570 RDT65570 RDV65570 RNP65570 RNR65570 RXL65570 RXN65570 SHH65570 SHJ65570 SRD65570 SRF65570 TAZ65570 TBB65570 TKV65570 TKX65570 TUR65570 TUT65570 UEN65570 UEP65570 UOJ65570 UOL65570 UYF65570 UYH65570 VIB65570 VID65570 VRX65570 VRZ65570 WBT65570 WBV65570 WLP65570 WLR65570 WVL65570 WVN65570 D131106 F131106 IZ131106 JB131106 SV131106 SX131106 ACR131106 ACT131106 AMN131106 AMP131106 AWJ131106 AWL131106 BGF131106 BGH131106 BQB131106 BQD131106 BZX131106 BZZ131106 CJT131106 CJV131106 CTP131106 CTR131106 DDL131106 DDN131106 DNH131106 DNJ131106 DXD131106 DXF131106 EGZ131106 EHB131106 EQV131106 EQX131106 FAR131106 FAT131106 FKN131106 FKP131106 FUJ131106 FUL131106 GEF131106 GEH131106 GOB131106 GOD131106 GXX131106 GXZ131106 HHT131106 HHV131106 HRP131106 HRR131106 IBL131106 IBN131106 ILH131106 ILJ131106 IVD131106 IVF131106 JEZ131106 JFB131106 JOV131106 JOX131106 JYR131106 JYT131106 KIN131106 KIP131106 KSJ131106 KSL131106 LCF131106 LCH131106 LMB131106 LMD131106 LVX131106 LVZ131106 MFT131106 MFV131106 MPP131106 MPR131106 MZL131106 MZN131106 NJH131106 NJJ131106 NTD131106 NTF131106 OCZ131106 ODB131106 OMV131106 OMX131106 OWR131106 OWT131106 PGN131106 PGP131106 PQJ131106 PQL131106 QAF131106 QAH131106 QKB131106 QKD131106 QTX131106 QTZ131106 RDT131106 RDV131106 RNP131106 RNR131106 RXL131106 RXN131106 SHH131106 SHJ131106 SRD131106 SRF131106 TAZ131106 TBB131106 TKV131106 TKX131106 TUR131106 TUT131106 UEN131106 UEP131106 UOJ131106 UOL131106 UYF131106 UYH131106 VIB131106 VID131106 VRX131106 VRZ131106 WBT131106 WBV131106 WLP131106 WLR131106 WVL131106 WVN131106 D196642 F196642 IZ196642 JB196642 SV196642 SX196642 ACR196642 ACT196642 AMN196642 AMP196642 AWJ196642 AWL196642 BGF196642 BGH196642 BQB196642 BQD196642 BZX196642 BZZ196642 CJT196642 CJV196642 CTP196642 CTR196642 DDL196642 DDN196642 DNH196642 DNJ196642 DXD196642 DXF196642 EGZ196642 EHB196642 EQV196642 EQX196642 FAR196642 FAT196642 FKN196642 FKP196642 FUJ196642 FUL196642 GEF196642 GEH196642 GOB196642 GOD196642 GXX196642 GXZ196642 HHT196642 HHV196642 HRP196642 HRR196642 IBL196642 IBN196642 ILH196642 ILJ196642 IVD196642 IVF196642 JEZ196642 JFB196642 JOV196642 JOX196642 JYR196642 JYT196642 KIN196642 KIP196642 KSJ196642 KSL196642 LCF196642 LCH196642 LMB196642 LMD196642 LVX196642 LVZ196642 MFT196642 MFV196642 MPP196642 MPR196642 MZL196642 MZN196642 NJH196642 NJJ196642 NTD196642 NTF196642 OCZ196642 ODB196642 OMV196642 OMX196642 OWR196642 OWT196642 PGN196642 PGP196642 PQJ196642 PQL196642 QAF196642 QAH196642 QKB196642 QKD196642 QTX196642 QTZ196642 RDT196642 RDV196642 RNP196642 RNR196642 RXL196642 RXN196642 SHH196642 SHJ196642 SRD196642 SRF196642 TAZ196642 TBB196642 TKV196642 TKX196642 TUR196642 TUT196642 UEN196642 UEP196642 UOJ196642 UOL196642 UYF196642 UYH196642 VIB196642 VID196642 VRX196642 VRZ196642 WBT196642 WBV196642 WLP196642 WLR196642 WVL196642 WVN196642 D262178 F262178 IZ262178 JB262178 SV262178 SX262178 ACR262178 ACT262178 AMN262178 AMP262178 AWJ262178 AWL262178 BGF262178 BGH262178 BQB262178 BQD262178 BZX262178 BZZ262178 CJT262178 CJV262178 CTP262178 CTR262178 DDL262178 DDN262178 DNH262178 DNJ262178 DXD262178 DXF262178 EGZ262178 EHB262178 EQV262178 EQX262178 FAR262178 FAT262178 FKN262178 FKP262178 FUJ262178 FUL262178 GEF262178 GEH262178 GOB262178 GOD262178 GXX262178 GXZ262178 HHT262178 HHV262178 HRP262178 HRR262178 IBL262178 IBN262178 ILH262178 ILJ262178 IVD262178 IVF262178 JEZ262178 JFB262178 JOV262178 JOX262178 JYR262178 JYT262178 KIN262178 KIP262178 KSJ262178 KSL262178 LCF262178 LCH262178 LMB262178 LMD262178 LVX262178 LVZ262178 MFT262178 MFV262178 MPP262178 MPR262178 MZL262178 MZN262178 NJH262178 NJJ262178 NTD262178 NTF262178 OCZ262178 ODB262178 OMV262178 OMX262178 OWR262178 OWT262178 PGN262178 PGP262178 PQJ262178 PQL262178 QAF262178 QAH262178 QKB262178 QKD262178 QTX262178 QTZ262178 RDT262178 RDV262178 RNP262178 RNR262178 RXL262178 RXN262178 SHH262178 SHJ262178 SRD262178 SRF262178 TAZ262178 TBB262178 TKV262178 TKX262178 TUR262178 TUT262178 UEN262178 UEP262178 UOJ262178 UOL262178 UYF262178 UYH262178 VIB262178 VID262178 VRX262178 VRZ262178 WBT262178 WBV262178 WLP262178 WLR262178 WVL262178 WVN262178 D327714 F327714 IZ327714 JB327714 SV327714 SX327714 ACR327714 ACT327714 AMN327714 AMP327714 AWJ327714 AWL327714 BGF327714 BGH327714 BQB327714 BQD327714 BZX327714 BZZ327714 CJT327714 CJV327714 CTP327714 CTR327714 DDL327714 DDN327714 DNH327714 DNJ327714 DXD327714 DXF327714 EGZ327714 EHB327714 EQV327714 EQX327714 FAR327714 FAT327714 FKN327714 FKP327714 FUJ327714 FUL327714 GEF327714 GEH327714 GOB327714 GOD327714 GXX327714 GXZ327714 HHT327714 HHV327714 HRP327714 HRR327714 IBL327714 IBN327714 ILH327714 ILJ327714 IVD327714 IVF327714 JEZ327714 JFB327714 JOV327714 JOX327714 JYR327714 JYT327714 KIN327714 KIP327714 KSJ327714 KSL327714 LCF327714 LCH327714 LMB327714 LMD327714 LVX327714 LVZ327714 MFT327714 MFV327714 MPP327714 MPR327714 MZL327714 MZN327714 NJH327714 NJJ327714 NTD327714 NTF327714 OCZ327714 ODB327714 OMV327714 OMX327714 OWR327714 OWT327714 PGN327714 PGP327714 PQJ327714 PQL327714 QAF327714 QAH327714 QKB327714 QKD327714 QTX327714 QTZ327714 RDT327714 RDV327714 RNP327714 RNR327714 RXL327714 RXN327714 SHH327714 SHJ327714 SRD327714 SRF327714 TAZ327714 TBB327714 TKV327714 TKX327714 TUR327714 TUT327714 UEN327714 UEP327714 UOJ327714 UOL327714 UYF327714 UYH327714 VIB327714 VID327714 VRX327714 VRZ327714 WBT327714 WBV327714 WLP327714 WLR327714 WVL327714 WVN327714 D393250 F393250 IZ393250 JB393250 SV393250 SX393250 ACR393250 ACT393250 AMN393250 AMP393250 AWJ393250 AWL393250 BGF393250 BGH393250 BQB393250 BQD393250 BZX393250 BZZ393250 CJT393250 CJV393250 CTP393250 CTR393250 DDL393250 DDN393250 DNH393250 DNJ393250 DXD393250 DXF393250 EGZ393250 EHB393250 EQV393250 EQX393250 FAR393250 FAT393250 FKN393250 FKP393250 FUJ393250 FUL393250 GEF393250 GEH393250 GOB393250 GOD393250 GXX393250 GXZ393250 HHT393250 HHV393250 HRP393250 HRR393250 IBL393250 IBN393250 ILH393250 ILJ393250 IVD393250 IVF393250 JEZ393250 JFB393250 JOV393250 JOX393250 JYR393250 JYT393250 KIN393250 KIP393250 KSJ393250 KSL393250 LCF393250 LCH393250 LMB393250 LMD393250 LVX393250 LVZ393250 MFT393250 MFV393250 MPP393250 MPR393250 MZL393250 MZN393250 NJH393250 NJJ393250 NTD393250 NTF393250 OCZ393250 ODB393250 OMV393250 OMX393250 OWR393250 OWT393250 PGN393250 PGP393250 PQJ393250 PQL393250 QAF393250 QAH393250 QKB393250 QKD393250 QTX393250 QTZ393250 RDT393250 RDV393250 RNP393250 RNR393250 RXL393250 RXN393250 SHH393250 SHJ393250 SRD393250 SRF393250 TAZ393250 TBB393250 TKV393250 TKX393250 TUR393250 TUT393250 UEN393250 UEP393250 UOJ393250 UOL393250 UYF393250 UYH393250 VIB393250 VID393250 VRX393250 VRZ393250 WBT393250 WBV393250 WLP393250 WLR393250 WVL393250 WVN393250 D458786 F458786 IZ458786 JB458786 SV458786 SX458786 ACR458786 ACT458786 AMN458786 AMP458786 AWJ458786 AWL458786 BGF458786 BGH458786 BQB458786 BQD458786 BZX458786 BZZ458786 CJT458786 CJV458786 CTP458786 CTR458786 DDL458786 DDN458786 DNH458786 DNJ458786 DXD458786 DXF458786 EGZ458786 EHB458786 EQV458786 EQX458786 FAR458786 FAT458786 FKN458786 FKP458786 FUJ458786 FUL458786 GEF458786 GEH458786 GOB458786 GOD458786 GXX458786 GXZ458786 HHT458786 HHV458786 HRP458786 HRR458786 IBL458786 IBN458786 ILH458786 ILJ458786 IVD458786 IVF458786 JEZ458786 JFB458786 JOV458786 JOX458786 JYR458786 JYT458786 KIN458786 KIP458786 KSJ458786 KSL458786 LCF458786 LCH458786 LMB458786 LMD458786 LVX458786 LVZ458786 MFT458786 MFV458786 MPP458786 MPR458786 MZL458786 MZN458786 NJH458786 NJJ458786 NTD458786 NTF458786 OCZ458786 ODB458786 OMV458786 OMX458786 OWR458786 OWT458786 PGN458786 PGP458786 PQJ458786 PQL458786 QAF458786 QAH458786 QKB458786 QKD458786 QTX458786 QTZ458786 RDT458786 RDV458786 RNP458786 RNR458786 RXL458786 RXN458786 SHH458786 SHJ458786 SRD458786 SRF458786 TAZ458786 TBB458786 TKV458786 TKX458786 TUR458786 TUT458786 UEN458786 UEP458786 UOJ458786 UOL458786 UYF458786 UYH458786 VIB458786 VID458786 VRX458786 VRZ458786 WBT458786 WBV458786 WLP458786 WLR458786 WVL458786 WVN458786 D524322 F524322 IZ524322 JB524322 SV524322 SX524322 ACR524322 ACT524322 AMN524322 AMP524322 AWJ524322 AWL524322 BGF524322 BGH524322 BQB524322 BQD524322 BZX524322 BZZ524322 CJT524322 CJV524322 CTP524322 CTR524322 DDL524322 DDN524322 DNH524322 DNJ524322 DXD524322 DXF524322 EGZ524322 EHB524322 EQV524322 EQX524322 FAR524322 FAT524322 FKN524322 FKP524322 FUJ524322 FUL524322 GEF524322 GEH524322 GOB524322 GOD524322 GXX524322 GXZ524322 HHT524322 HHV524322 HRP524322 HRR524322 IBL524322 IBN524322 ILH524322 ILJ524322 IVD524322 IVF524322 JEZ524322 JFB524322 JOV524322 JOX524322 JYR524322 JYT524322 KIN524322 KIP524322 KSJ524322 KSL524322 LCF524322 LCH524322 LMB524322 LMD524322 LVX524322 LVZ524322 MFT524322 MFV524322 MPP524322 MPR524322 MZL524322 MZN524322 NJH524322 NJJ524322 NTD524322 NTF524322 OCZ524322 ODB524322 OMV524322 OMX524322 OWR524322 OWT524322 PGN524322 PGP524322 PQJ524322 PQL524322 QAF524322 QAH524322 QKB524322 QKD524322 QTX524322 QTZ524322 RDT524322 RDV524322 RNP524322 RNR524322 RXL524322 RXN524322 SHH524322 SHJ524322 SRD524322 SRF524322 TAZ524322 TBB524322 TKV524322 TKX524322 TUR524322 TUT524322 UEN524322 UEP524322 UOJ524322 UOL524322 UYF524322 UYH524322 VIB524322 VID524322 VRX524322 VRZ524322 WBT524322 WBV524322 WLP524322 WLR524322 WVL524322 WVN524322 D589858 F589858 IZ589858 JB589858 SV589858 SX589858 ACR589858 ACT589858 AMN589858 AMP589858 AWJ589858 AWL589858 BGF589858 BGH589858 BQB589858 BQD589858 BZX589858 BZZ589858 CJT589858 CJV589858 CTP589858 CTR589858 DDL589858 DDN589858 DNH589858 DNJ589858 DXD589858 DXF589858 EGZ589858 EHB589858 EQV589858 EQX589858 FAR589858 FAT589858 FKN589858 FKP589858 FUJ589858 FUL589858 GEF589858 GEH589858 GOB589858 GOD589858 GXX589858 GXZ589858 HHT589858 HHV589858 HRP589858 HRR589858 IBL589858 IBN589858 ILH589858 ILJ589858 IVD589858 IVF589858 JEZ589858 JFB589858 JOV589858 JOX589858 JYR589858 JYT589858 KIN589858 KIP589858 KSJ589858 KSL589858 LCF589858 LCH589858 LMB589858 LMD589858 LVX589858 LVZ589858 MFT589858 MFV589858 MPP589858 MPR589858 MZL589858 MZN589858 NJH589858 NJJ589858 NTD589858 NTF589858 OCZ589858 ODB589858 OMV589858 OMX589858 OWR589858 OWT589858 PGN589858 PGP589858 PQJ589858 PQL589858 QAF589858 QAH589858 QKB589858 QKD589858 QTX589858 QTZ589858 RDT589858 RDV589858 RNP589858 RNR589858 RXL589858 RXN589858 SHH589858 SHJ589858 SRD589858 SRF589858 TAZ589858 TBB589858 TKV589858 TKX589858 TUR589858 TUT589858 UEN589858 UEP589858 UOJ589858 UOL589858 UYF589858 UYH589858 VIB589858 VID589858 VRX589858 VRZ589858 WBT589858 WBV589858 WLP589858 WLR589858 WVL589858 WVN589858 D655394 F655394 IZ655394 JB655394 SV655394 SX655394 ACR655394 ACT655394 AMN655394 AMP655394 AWJ655394 AWL655394 BGF655394 BGH655394 BQB655394 BQD655394 BZX655394 BZZ655394 CJT655394 CJV655394 CTP655394 CTR655394 DDL655394 DDN655394 DNH655394 DNJ655394 DXD655394 DXF655394 EGZ655394 EHB655394 EQV655394 EQX655394 FAR655394 FAT655394 FKN655394 FKP655394 FUJ655394 FUL655394 GEF655394 GEH655394 GOB655394 GOD655394 GXX655394 GXZ655394 HHT655394 HHV655394 HRP655394 HRR655394 IBL655394 IBN655394 ILH655394 ILJ655394 IVD655394 IVF655394 JEZ655394 JFB655394 JOV655394 JOX655394 JYR655394 JYT655394 KIN655394 KIP655394 KSJ655394 KSL655394 LCF655394 LCH655394 LMB655394 LMD655394 LVX655394 LVZ655394 MFT655394 MFV655394 MPP655394 MPR655394 MZL655394 MZN655394 NJH655394 NJJ655394 NTD655394 NTF655394 OCZ655394 ODB655394 OMV655394 OMX655394 OWR655394 OWT655394 PGN655394 PGP655394 PQJ655394 PQL655394 QAF655394 QAH655394 QKB655394 QKD655394 QTX655394 QTZ655394 RDT655394 RDV655394 RNP655394 RNR655394 RXL655394 RXN655394 SHH655394 SHJ655394 SRD655394 SRF655394 TAZ655394 TBB655394 TKV655394 TKX655394 TUR655394 TUT655394 UEN655394 UEP655394 UOJ655394 UOL655394 UYF655394 UYH655394 VIB655394 VID655394 VRX655394 VRZ655394 WBT655394 WBV655394 WLP655394 WLR655394 WVL655394 WVN655394 D720930 F720930 IZ720930 JB720930 SV720930 SX720930 ACR720930 ACT720930 AMN720930 AMP720930 AWJ720930 AWL720930 BGF720930 BGH720930 BQB720930 BQD720930 BZX720930 BZZ720930 CJT720930 CJV720930 CTP720930 CTR720930 DDL720930 DDN720930 DNH720930 DNJ720930 DXD720930 DXF720930 EGZ720930 EHB720930 EQV720930 EQX720930 FAR720930 FAT720930 FKN720930 FKP720930 FUJ720930 FUL720930 GEF720930 GEH720930 GOB720930 GOD720930 GXX720930 GXZ720930 HHT720930 HHV720930 HRP720930 HRR720930 IBL720930 IBN720930 ILH720930 ILJ720930 IVD720930 IVF720930 JEZ720930 JFB720930 JOV720930 JOX720930 JYR720930 JYT720930 KIN720930 KIP720930 KSJ720930 KSL720930 LCF720930 LCH720930 LMB720930 LMD720930 LVX720930 LVZ720930 MFT720930 MFV720930 MPP720930 MPR720930 MZL720930 MZN720930 NJH720930 NJJ720930 NTD720930 NTF720930 OCZ720930 ODB720930 OMV720930 OMX720930 OWR720930 OWT720930 PGN720930 PGP720930 PQJ720930 PQL720930 QAF720930 QAH720930 QKB720930 QKD720930 QTX720930 QTZ720930 RDT720930 RDV720930 RNP720930 RNR720930 RXL720930 RXN720930 SHH720930 SHJ720930 SRD720930 SRF720930 TAZ720930 TBB720930 TKV720930 TKX720930 TUR720930 TUT720930 UEN720930 UEP720930 UOJ720930 UOL720930 UYF720930 UYH720930 VIB720930 VID720930 VRX720930 VRZ720930 WBT720930 WBV720930 WLP720930 WLR720930 WVL720930 WVN720930 D786466 F786466 IZ786466 JB786466 SV786466 SX786466 ACR786466 ACT786466 AMN786466 AMP786466 AWJ786466 AWL786466 BGF786466 BGH786466 BQB786466 BQD786466 BZX786466 BZZ786466 CJT786466 CJV786466 CTP786466 CTR786466 DDL786466 DDN786466 DNH786466 DNJ786466 DXD786466 DXF786466 EGZ786466 EHB786466 EQV786466 EQX786466 FAR786466 FAT786466 FKN786466 FKP786466 FUJ786466 FUL786466 GEF786466 GEH786466 GOB786466 GOD786466 GXX786466 GXZ786466 HHT786466 HHV786466 HRP786466 HRR786466 IBL786466 IBN786466 ILH786466 ILJ786466 IVD786466 IVF786466 JEZ786466 JFB786466 JOV786466 JOX786466 JYR786466 JYT786466 KIN786466 KIP786466 KSJ786466 KSL786466 LCF786466 LCH786466 LMB786466 LMD786466 LVX786466 LVZ786466 MFT786466 MFV786466 MPP786466 MPR786466 MZL786466 MZN786466 NJH786466 NJJ786466 NTD786466 NTF786466 OCZ786466 ODB786466 OMV786466 OMX786466 OWR786466 OWT786466 PGN786466 PGP786466 PQJ786466 PQL786466 QAF786466 QAH786466 QKB786466 QKD786466 QTX786466 QTZ786466 RDT786466 RDV786466 RNP786466 RNR786466 RXL786466 RXN786466 SHH786466 SHJ786466 SRD786466 SRF786466 TAZ786466 TBB786466 TKV786466 TKX786466 TUR786466 TUT786466 UEN786466 UEP786466 UOJ786466 UOL786466 UYF786466 UYH786466 VIB786466 VID786466 VRX786466 VRZ786466 WBT786466 WBV786466 WLP786466 WLR786466 WVL786466 WVN786466 D852002 F852002 IZ852002 JB852002 SV852002 SX852002 ACR852002 ACT852002 AMN852002 AMP852002 AWJ852002 AWL852002 BGF852002 BGH852002 BQB852002 BQD852002 BZX852002 BZZ852002 CJT852002 CJV852002 CTP852002 CTR852002 DDL852002 DDN852002 DNH852002 DNJ852002 DXD852002 DXF852002 EGZ852002 EHB852002 EQV852002 EQX852002 FAR852002 FAT852002 FKN852002 FKP852002 FUJ852002 FUL852002 GEF852002 GEH852002 GOB852002 GOD852002 GXX852002 GXZ852002 HHT852002 HHV852002 HRP852002 HRR852002 IBL852002 IBN852002 ILH852002 ILJ852002 IVD852002 IVF852002 JEZ852002 JFB852002 JOV852002 JOX852002 JYR852002 JYT852002 KIN852002 KIP852002 KSJ852002 KSL852002 LCF852002 LCH852002 LMB852002 LMD852002 LVX852002 LVZ852002 MFT852002 MFV852002 MPP852002 MPR852002 MZL852002 MZN852002 NJH852002 NJJ852002 NTD852002 NTF852002 OCZ852002 ODB852002 OMV852002 OMX852002 OWR852002 OWT852002 PGN852002 PGP852002 PQJ852002 PQL852002 QAF852002 QAH852002 QKB852002 QKD852002 QTX852002 QTZ852002 RDT852002 RDV852002 RNP852002 RNR852002 RXL852002 RXN852002 SHH852002 SHJ852002 SRD852002 SRF852002 TAZ852002 TBB852002 TKV852002 TKX852002 TUR852002 TUT852002 UEN852002 UEP852002 UOJ852002 UOL852002 UYF852002 UYH852002 VIB852002 VID852002 VRX852002 VRZ852002 WBT852002 WBV852002 WLP852002 WLR852002 WVL852002 WVN852002 D917538 F917538 IZ917538 JB917538 SV917538 SX917538 ACR917538 ACT917538 AMN917538 AMP917538 AWJ917538 AWL917538 BGF917538 BGH917538 BQB917538 BQD917538 BZX917538 BZZ917538 CJT917538 CJV917538 CTP917538 CTR917538 DDL917538 DDN917538 DNH917538 DNJ917538 DXD917538 DXF917538 EGZ917538 EHB917538 EQV917538 EQX917538 FAR917538 FAT917538 FKN917538 FKP917538 FUJ917538 FUL917538 GEF917538 GEH917538 GOB917538 GOD917538 GXX917538 GXZ917538 HHT917538 HHV917538 HRP917538 HRR917538 IBL917538 IBN917538 ILH917538 ILJ917538 IVD917538 IVF917538 JEZ917538 JFB917538 JOV917538 JOX917538 JYR917538 JYT917538 KIN917538 KIP917538 KSJ917538 KSL917538 LCF917538 LCH917538 LMB917538 LMD917538 LVX917538 LVZ917538 MFT917538 MFV917538 MPP917538 MPR917538 MZL917538 MZN917538 NJH917538 NJJ917538 NTD917538 NTF917538 OCZ917538 ODB917538 OMV917538 OMX917538 OWR917538 OWT917538 PGN917538 PGP917538 PQJ917538 PQL917538 QAF917538 QAH917538 QKB917538 QKD917538 QTX917538 QTZ917538 RDT917538 RDV917538 RNP917538 RNR917538 RXL917538 RXN917538 SHH917538 SHJ917538 SRD917538 SRF917538 TAZ917538 TBB917538 TKV917538 TKX917538 TUR917538 TUT917538 UEN917538 UEP917538 UOJ917538 UOL917538 UYF917538 UYH917538 VIB917538 VID917538 VRX917538 VRZ917538 WBT917538 WBV917538 WLP917538 WLR917538 WVL917538 WVN917538 D983074 F983074 IZ983074 JB983074 SV983074 SX983074 ACR983074 ACT983074 AMN983074 AMP983074 AWJ983074 AWL983074 BGF983074 BGH983074 BQB983074 BQD983074 BZX983074 BZZ983074 CJT983074 CJV983074 CTP983074 CTR983074 DDL983074 DDN983074 DNH983074 DNJ983074 DXD983074 DXF983074 EGZ983074 EHB983074 EQV983074 EQX983074 FAR983074 FAT983074 FKN983074 FKP983074 FUJ983074 FUL983074 GEF983074 GEH983074 GOB983074 GOD983074 GXX983074 GXZ983074 HHT983074 HHV983074 HRP983074 HRR983074 IBL983074 IBN983074 ILH983074 ILJ983074 IVD983074 IVF983074 JEZ983074 JFB983074 JOV983074 JOX983074 JYR983074 JYT983074 KIN983074 KIP983074 KSJ983074 KSL983074 LCF983074 LCH983074 LMB983074 LMD983074 LVX983074 LVZ983074 MFT983074 MFV983074 MPP983074 MPR983074 MZL983074 MZN983074 NJH983074 NJJ983074 NTD983074 NTF983074 OCZ983074 ODB983074 OMV983074 OMX983074 OWR983074 OWT983074 PGN983074 PGP983074 PQJ983074 PQL983074 QAF983074 QAH983074 QKB983074 QKD983074 QTX983074 QTZ983074 RDT983074 RDV983074 RNP983074 RNR983074 RXL983074 RXN983074 SHH983074 SHJ983074 SRD983074 SRF983074 TAZ983074 TBB983074 TKV983074 TKX983074 TUR983074 TUT983074 UEN983074 UEP983074 UOJ983074 UOL983074 UYF983074 UYH983074 VIB983074 VID983074 VRX983074 VRZ983074 WBT983074 WBV983074 WLP983074 WLR983074 WVL983074 WVN983074">
      <formula1>$R$5:$R$13</formula1>
    </dataValidation>
  </dataValidations>
  <pageMargins left="0.748031496062992" right="0.748031496062992" top="0.984251968503937" bottom="0.984251968503937" header="0.511811023622047" footer="0.511811023622047"/>
  <pageSetup paperSize="9" orientation="portrait" horizontalDpi="300" verticalDpi="300"/>
  <headerFooter alignWithMargins="0"/>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tabColor rgb="FF008000"/>
  </sheetPr>
  <dimension ref="A1:O62"/>
  <sheetViews>
    <sheetView workbookViewId="0">
      <selection activeCell="D4" sqref="D4"/>
    </sheetView>
  </sheetViews>
  <sheetFormatPr defaultColWidth="9" defaultRowHeight="14.25"/>
  <cols>
    <col min="1" max="1" width="4.875" style="701" customWidth="1"/>
    <col min="2" max="2" width="9.125" style="701" customWidth="1"/>
    <col min="3" max="3" width="11.125" style="701" customWidth="1"/>
    <col min="4" max="4" width="11.375" style="701" customWidth="1"/>
    <col min="5" max="5" width="11.25" style="701" customWidth="1"/>
    <col min="6" max="6" width="9.75" style="701" customWidth="1"/>
    <col min="7" max="7" width="10.25" style="701" customWidth="1"/>
    <col min="8" max="8" width="9" style="701"/>
    <col min="9" max="9" width="11.875" style="701" customWidth="1"/>
    <col min="10" max="10" width="17.75" style="701" customWidth="1"/>
    <col min="11" max="11" width="16.75" style="701" customWidth="1"/>
    <col min="12" max="12" width="4.625" style="701" customWidth="1"/>
    <col min="13" max="13" width="8.25" style="701" customWidth="1"/>
    <col min="14" max="14" width="7" style="701" customWidth="1"/>
    <col min="15" max="15" width="8.375" style="701" customWidth="1"/>
    <col min="16" max="16384" width="9" style="701"/>
  </cols>
  <sheetData>
    <row r="1" ht="13.5" spans="1:15">
      <c r="A1" s="702" t="s">
        <v>668</v>
      </c>
      <c r="B1" s="703" t="s">
        <v>669</v>
      </c>
      <c r="C1" s="704"/>
      <c r="D1" s="702" t="s">
        <v>670</v>
      </c>
      <c r="E1" s="705" t="s">
        <v>671</v>
      </c>
      <c r="F1" s="706" t="s">
        <v>672</v>
      </c>
      <c r="G1" s="707" t="s">
        <v>673</v>
      </c>
      <c r="H1" s="708"/>
      <c r="I1" s="745" t="s">
        <v>674</v>
      </c>
      <c r="J1" s="746"/>
      <c r="K1" s="746"/>
      <c r="L1" s="746"/>
      <c r="M1" s="746"/>
      <c r="N1" s="746"/>
      <c r="O1" s="746"/>
    </row>
    <row r="2" ht="13.5" spans="1:15">
      <c r="A2" s="709"/>
      <c r="B2" s="710" t="s">
        <v>675</v>
      </c>
      <c r="C2" s="710" t="s">
        <v>676</v>
      </c>
      <c r="D2" s="709"/>
      <c r="E2" s="711"/>
      <c r="F2" s="706" t="s">
        <v>345</v>
      </c>
      <c r="G2" s="707" t="s">
        <v>345</v>
      </c>
      <c r="H2" s="708"/>
      <c r="I2" s="747" t="s">
        <v>677</v>
      </c>
      <c r="J2" s="748" t="s">
        <v>678</v>
      </c>
      <c r="K2" s="748" t="s">
        <v>679</v>
      </c>
      <c r="L2" s="748" t="s">
        <v>680</v>
      </c>
      <c r="M2" s="748" t="s">
        <v>681</v>
      </c>
      <c r="N2" s="748" t="s">
        <v>682</v>
      </c>
      <c r="O2" s="748" t="s">
        <v>683</v>
      </c>
    </row>
    <row r="3" ht="13.5" spans="1:15">
      <c r="A3" s="712" t="s">
        <v>684</v>
      </c>
      <c r="B3" s="713">
        <v>11.68</v>
      </c>
      <c r="C3" s="714">
        <v>0.46</v>
      </c>
      <c r="D3" s="714">
        <v>107.22</v>
      </c>
      <c r="E3" s="715">
        <v>0.17</v>
      </c>
      <c r="F3" s="716">
        <v>423.2</v>
      </c>
      <c r="G3" s="717">
        <v>482.6</v>
      </c>
      <c r="H3" s="718"/>
      <c r="I3" s="747" t="s">
        <v>685</v>
      </c>
      <c r="J3" s="748" t="s">
        <v>685</v>
      </c>
      <c r="K3" s="748" t="s">
        <v>685</v>
      </c>
      <c r="L3" s="748" t="s">
        <v>686</v>
      </c>
      <c r="M3" s="748" t="s">
        <v>687</v>
      </c>
      <c r="N3" s="749" t="s">
        <v>668</v>
      </c>
      <c r="O3" s="749" t="s">
        <v>687</v>
      </c>
    </row>
    <row r="4" ht="13.5" spans="1:15">
      <c r="A4" s="712" t="s">
        <v>688</v>
      </c>
      <c r="B4" s="713">
        <v>10.4</v>
      </c>
      <c r="C4" s="714">
        <v>0.4096</v>
      </c>
      <c r="D4" s="714">
        <v>85.01</v>
      </c>
      <c r="E4" s="715">
        <v>0.21</v>
      </c>
      <c r="F4" s="719">
        <v>335.5</v>
      </c>
      <c r="G4" s="720">
        <v>382.6</v>
      </c>
      <c r="H4" s="718"/>
      <c r="I4" s="747">
        <v>0.02</v>
      </c>
      <c r="J4" s="748">
        <v>0.02</v>
      </c>
      <c r="K4" s="748" t="s">
        <v>689</v>
      </c>
      <c r="L4" s="748" t="s">
        <v>690</v>
      </c>
      <c r="M4" s="748">
        <v>0.02</v>
      </c>
      <c r="N4" s="748">
        <v>52</v>
      </c>
      <c r="O4" s="748">
        <v>0.02</v>
      </c>
    </row>
    <row r="5" ht="13.5" spans="1:15">
      <c r="A5" s="712" t="s">
        <v>691</v>
      </c>
      <c r="B5" s="713">
        <v>9.27</v>
      </c>
      <c r="C5" s="714">
        <v>0.3648</v>
      </c>
      <c r="D5" s="714">
        <v>67.43</v>
      </c>
      <c r="E5" s="715">
        <v>0.26</v>
      </c>
      <c r="F5" s="719">
        <v>266.2</v>
      </c>
      <c r="G5" s="720">
        <v>303.5</v>
      </c>
      <c r="H5" s="718"/>
      <c r="I5" s="747">
        <v>0.022</v>
      </c>
      <c r="J5" s="748">
        <v>0.022</v>
      </c>
      <c r="K5" s="749" t="s">
        <v>690</v>
      </c>
      <c r="L5" s="749" t="s">
        <v>690</v>
      </c>
      <c r="M5" s="749" t="s">
        <v>690</v>
      </c>
      <c r="N5" s="749" t="s">
        <v>690</v>
      </c>
      <c r="O5" s="749" t="s">
        <v>690</v>
      </c>
    </row>
    <row r="6" ht="13.5" spans="1:15">
      <c r="A6" s="712" t="s">
        <v>692</v>
      </c>
      <c r="B6" s="713">
        <v>8.25</v>
      </c>
      <c r="C6" s="714">
        <v>0.3249</v>
      </c>
      <c r="D6" s="714">
        <v>53.49</v>
      </c>
      <c r="E6" s="715">
        <v>0.33</v>
      </c>
      <c r="F6" s="719">
        <v>211.1</v>
      </c>
      <c r="G6" s="720">
        <v>240.7</v>
      </c>
      <c r="H6" s="718"/>
      <c r="I6" s="747">
        <v>0.025</v>
      </c>
      <c r="J6" s="748">
        <v>0.025</v>
      </c>
      <c r="K6" s="748">
        <v>0.025</v>
      </c>
      <c r="L6" s="748">
        <v>50</v>
      </c>
      <c r="M6" s="748">
        <v>0.025</v>
      </c>
      <c r="N6" s="748">
        <v>50</v>
      </c>
      <c r="O6" s="748">
        <v>0.025</v>
      </c>
    </row>
    <row r="7" ht="13.5" spans="1:15">
      <c r="A7" s="712">
        <v>1</v>
      </c>
      <c r="B7" s="713">
        <v>7.35</v>
      </c>
      <c r="C7" s="714">
        <v>0.2893</v>
      </c>
      <c r="D7" s="714">
        <v>42.41</v>
      </c>
      <c r="E7" s="715">
        <v>0.42</v>
      </c>
      <c r="F7" s="719">
        <v>167.4</v>
      </c>
      <c r="G7" s="720">
        <v>190.9</v>
      </c>
      <c r="H7" s="718"/>
      <c r="I7" s="747">
        <v>0.028</v>
      </c>
      <c r="J7" s="748">
        <v>0.028</v>
      </c>
      <c r="K7" s="749" t="s">
        <v>690</v>
      </c>
      <c r="L7" s="749" t="s">
        <v>690</v>
      </c>
      <c r="M7" s="749" t="s">
        <v>690</v>
      </c>
      <c r="N7" s="749" t="s">
        <v>690</v>
      </c>
      <c r="O7" s="749" t="s">
        <v>690</v>
      </c>
    </row>
    <row r="8" ht="13.5" spans="1:15">
      <c r="A8" s="712">
        <v>2</v>
      </c>
      <c r="B8" s="713">
        <v>6.54</v>
      </c>
      <c r="C8" s="714">
        <v>0.2576</v>
      </c>
      <c r="D8" s="714">
        <v>33.62</v>
      </c>
      <c r="E8" s="715">
        <v>0.53</v>
      </c>
      <c r="F8" s="719">
        <v>132.7</v>
      </c>
      <c r="G8" s="720">
        <v>151.3</v>
      </c>
      <c r="H8" s="718"/>
      <c r="I8" s="747">
        <v>0.032</v>
      </c>
      <c r="J8" s="748">
        <v>0.032</v>
      </c>
      <c r="K8" s="748">
        <v>0.032</v>
      </c>
      <c r="L8" s="748">
        <v>49</v>
      </c>
      <c r="M8" s="748">
        <v>0.031</v>
      </c>
      <c r="N8" s="748">
        <v>48</v>
      </c>
      <c r="O8" s="748">
        <v>0.032</v>
      </c>
    </row>
    <row r="9" ht="13.5" spans="1:15">
      <c r="A9" s="712">
        <v>3</v>
      </c>
      <c r="B9" s="713">
        <v>5.83</v>
      </c>
      <c r="C9" s="714">
        <v>0.2294</v>
      </c>
      <c r="D9" s="714">
        <v>26.67</v>
      </c>
      <c r="E9" s="715">
        <v>0.66</v>
      </c>
      <c r="F9" s="719">
        <v>105.2</v>
      </c>
      <c r="G9" s="720">
        <v>120</v>
      </c>
      <c r="H9" s="718"/>
      <c r="I9" s="747">
        <v>0.036</v>
      </c>
      <c r="J9" s="748">
        <v>0.036</v>
      </c>
      <c r="K9" s="749" t="s">
        <v>690</v>
      </c>
      <c r="L9" s="749" t="s">
        <v>690</v>
      </c>
      <c r="M9" s="749" t="s">
        <v>690</v>
      </c>
      <c r="N9" s="748">
        <v>47</v>
      </c>
      <c r="O9" s="748">
        <v>0.035</v>
      </c>
    </row>
    <row r="10" ht="13.5" spans="1:15">
      <c r="A10" s="712">
        <v>4</v>
      </c>
      <c r="B10" s="713">
        <v>5.19</v>
      </c>
      <c r="C10" s="714">
        <v>0.2043</v>
      </c>
      <c r="D10" s="714">
        <v>21.15</v>
      </c>
      <c r="E10" s="715">
        <v>0.84</v>
      </c>
      <c r="F10" s="719">
        <v>83.5</v>
      </c>
      <c r="G10" s="720">
        <v>95.2</v>
      </c>
      <c r="H10" s="718"/>
      <c r="I10" s="747">
        <v>0.04</v>
      </c>
      <c r="J10" s="748">
        <v>0.04</v>
      </c>
      <c r="K10" s="748">
        <v>0.04</v>
      </c>
      <c r="L10" s="748">
        <v>48</v>
      </c>
      <c r="M10" s="748">
        <v>0.041</v>
      </c>
      <c r="N10" s="748">
        <v>46</v>
      </c>
      <c r="O10" s="748">
        <v>0.041</v>
      </c>
    </row>
    <row r="11" ht="13.5" spans="1:15">
      <c r="A11" s="712">
        <v>5</v>
      </c>
      <c r="B11" s="713">
        <v>4.62</v>
      </c>
      <c r="C11" s="714">
        <v>0.1819</v>
      </c>
      <c r="D11" s="714">
        <v>16.77</v>
      </c>
      <c r="E11" s="715">
        <v>1.06</v>
      </c>
      <c r="F11" s="719">
        <v>66.2</v>
      </c>
      <c r="G11" s="720">
        <v>75.5</v>
      </c>
      <c r="H11" s="718"/>
      <c r="I11" s="747">
        <v>0.045</v>
      </c>
      <c r="J11" s="748">
        <v>0.045</v>
      </c>
      <c r="K11" s="749" t="s">
        <v>690</v>
      </c>
      <c r="L11" s="749" t="s">
        <v>690</v>
      </c>
      <c r="M11" s="749" t="s">
        <v>690</v>
      </c>
      <c r="N11" s="748">
        <v>45</v>
      </c>
      <c r="O11" s="748">
        <v>0.045</v>
      </c>
    </row>
    <row r="12" ht="13.5" spans="1:15">
      <c r="A12" s="712">
        <v>6</v>
      </c>
      <c r="B12" s="713">
        <v>4.11</v>
      </c>
      <c r="C12" s="714">
        <v>0.162</v>
      </c>
      <c r="D12" s="714">
        <v>13.3</v>
      </c>
      <c r="E12" s="715">
        <v>1.33</v>
      </c>
      <c r="F12" s="719">
        <v>52.5</v>
      </c>
      <c r="G12" s="720">
        <v>59.9</v>
      </c>
      <c r="H12" s="718"/>
      <c r="I12" s="747">
        <v>0.05</v>
      </c>
      <c r="J12" s="748">
        <v>0.05</v>
      </c>
      <c r="K12" s="748">
        <v>0.05</v>
      </c>
      <c r="L12" s="748">
        <v>47</v>
      </c>
      <c r="M12" s="748">
        <v>0.051</v>
      </c>
      <c r="N12" s="748">
        <v>44</v>
      </c>
      <c r="O12" s="748">
        <v>0.05</v>
      </c>
    </row>
    <row r="13" ht="13.5" spans="1:15">
      <c r="A13" s="712">
        <v>7</v>
      </c>
      <c r="B13" s="713">
        <v>3.67</v>
      </c>
      <c r="C13" s="714">
        <v>0.1443</v>
      </c>
      <c r="D13" s="714">
        <v>10.55</v>
      </c>
      <c r="E13" s="715">
        <v>1.68</v>
      </c>
      <c r="F13" s="719">
        <v>41.6</v>
      </c>
      <c r="G13" s="720">
        <v>47.5</v>
      </c>
      <c r="H13" s="718"/>
      <c r="I13" s="747">
        <v>0.056</v>
      </c>
      <c r="J13" s="748">
        <v>0.056</v>
      </c>
      <c r="K13" s="748" t="s">
        <v>690</v>
      </c>
      <c r="L13" s="748">
        <v>46</v>
      </c>
      <c r="M13" s="748">
        <v>0.061</v>
      </c>
      <c r="N13" s="748">
        <v>43</v>
      </c>
      <c r="O13" s="748">
        <v>0.056</v>
      </c>
    </row>
    <row r="14" ht="13.5" spans="1:15">
      <c r="A14" s="712">
        <v>8</v>
      </c>
      <c r="B14" s="713">
        <v>3.26</v>
      </c>
      <c r="C14" s="714">
        <v>0.1285</v>
      </c>
      <c r="D14" s="714">
        <v>8.37</v>
      </c>
      <c r="E14" s="715">
        <v>2.11</v>
      </c>
      <c r="F14" s="719">
        <v>33</v>
      </c>
      <c r="G14" s="720">
        <v>37.7</v>
      </c>
      <c r="H14" s="718"/>
      <c r="I14" s="747">
        <v>0.063</v>
      </c>
      <c r="J14" s="748">
        <v>0.063</v>
      </c>
      <c r="K14" s="748">
        <v>0.063</v>
      </c>
      <c r="L14" s="748">
        <v>45</v>
      </c>
      <c r="M14" s="748">
        <v>0.071</v>
      </c>
      <c r="N14" s="748">
        <v>42</v>
      </c>
      <c r="O14" s="748">
        <v>0.063</v>
      </c>
    </row>
    <row r="15" ht="13.5" spans="1:15">
      <c r="A15" s="712">
        <v>9</v>
      </c>
      <c r="B15" s="713">
        <v>2.91</v>
      </c>
      <c r="C15" s="714">
        <v>0.1144</v>
      </c>
      <c r="D15" s="714">
        <v>6.63</v>
      </c>
      <c r="E15" s="715">
        <v>2.67</v>
      </c>
      <c r="F15" s="719">
        <v>26.2</v>
      </c>
      <c r="G15" s="720">
        <v>29.8</v>
      </c>
      <c r="H15" s="718"/>
      <c r="I15" s="747">
        <v>0.071</v>
      </c>
      <c r="J15" s="748">
        <v>0.071</v>
      </c>
      <c r="K15" s="748">
        <v>0.071</v>
      </c>
      <c r="L15" s="748">
        <v>44</v>
      </c>
      <c r="M15" s="748">
        <v>0.081</v>
      </c>
      <c r="N15" s="748">
        <v>41</v>
      </c>
      <c r="O15" s="748">
        <v>0.071</v>
      </c>
    </row>
    <row r="16" ht="13.5" spans="1:15">
      <c r="A16" s="712">
        <v>10</v>
      </c>
      <c r="B16" s="713">
        <v>2.59</v>
      </c>
      <c r="C16" s="714">
        <v>0.1019</v>
      </c>
      <c r="D16" s="714">
        <v>5.26</v>
      </c>
      <c r="E16" s="715">
        <v>3.36</v>
      </c>
      <c r="F16" s="719">
        <v>20.8</v>
      </c>
      <c r="G16" s="720">
        <v>23.7</v>
      </c>
      <c r="H16" s="718"/>
      <c r="I16" s="747">
        <v>0.08</v>
      </c>
      <c r="J16" s="748">
        <v>0.08</v>
      </c>
      <c r="K16" s="748">
        <v>0.08</v>
      </c>
      <c r="L16" s="748">
        <v>43</v>
      </c>
      <c r="M16" s="748">
        <v>0.071</v>
      </c>
      <c r="N16" s="748">
        <v>40</v>
      </c>
      <c r="O16" s="748">
        <v>0.079</v>
      </c>
    </row>
    <row r="17" ht="13.5" spans="1:15">
      <c r="A17" s="712">
        <v>11</v>
      </c>
      <c r="B17" s="713">
        <v>2.3</v>
      </c>
      <c r="C17" s="714">
        <v>0.0907</v>
      </c>
      <c r="D17" s="714">
        <v>4.17</v>
      </c>
      <c r="E17" s="715">
        <v>4.24</v>
      </c>
      <c r="F17" s="719">
        <v>16.5</v>
      </c>
      <c r="G17" s="720">
        <v>18.8</v>
      </c>
      <c r="H17" s="718"/>
      <c r="I17" s="747">
        <v>0.09</v>
      </c>
      <c r="J17" s="748">
        <v>0.09</v>
      </c>
      <c r="K17" s="748">
        <v>0.09</v>
      </c>
      <c r="L17" s="748">
        <v>42</v>
      </c>
      <c r="M17" s="748">
        <v>0.102</v>
      </c>
      <c r="N17" s="748">
        <v>39</v>
      </c>
      <c r="O17" s="748">
        <v>0.089</v>
      </c>
    </row>
    <row r="18" ht="13.5" spans="1:15">
      <c r="A18" s="712">
        <v>12</v>
      </c>
      <c r="B18" s="713">
        <v>2.05</v>
      </c>
      <c r="C18" s="714">
        <v>0.0808</v>
      </c>
      <c r="D18" s="714">
        <v>3.332</v>
      </c>
      <c r="E18" s="715">
        <v>5.31</v>
      </c>
      <c r="F18" s="719">
        <v>13.1</v>
      </c>
      <c r="G18" s="720">
        <v>14.9</v>
      </c>
      <c r="H18" s="718"/>
      <c r="I18" s="747">
        <v>0.1</v>
      </c>
      <c r="J18" s="748">
        <v>0.1</v>
      </c>
      <c r="K18" s="748">
        <v>0.1</v>
      </c>
      <c r="L18" s="748">
        <v>41</v>
      </c>
      <c r="M18" s="748">
        <v>0.112</v>
      </c>
      <c r="N18" s="748">
        <v>38</v>
      </c>
      <c r="O18" s="748">
        <v>0.101</v>
      </c>
    </row>
    <row r="19" ht="13.5" spans="1:15">
      <c r="A19" s="712">
        <v>13</v>
      </c>
      <c r="B19" s="713">
        <v>1.82</v>
      </c>
      <c r="C19" s="714">
        <v>0.072</v>
      </c>
      <c r="D19" s="714">
        <v>2.627</v>
      </c>
      <c r="E19" s="715">
        <v>6.69</v>
      </c>
      <c r="F19" s="719">
        <v>10.4</v>
      </c>
      <c r="G19" s="720">
        <v>11.8</v>
      </c>
      <c r="H19" s="718"/>
      <c r="I19" s="747">
        <v>0.112</v>
      </c>
      <c r="J19" s="748">
        <v>0.112</v>
      </c>
      <c r="K19" s="748">
        <v>0.112</v>
      </c>
      <c r="L19" s="748">
        <v>40</v>
      </c>
      <c r="M19" s="748">
        <v>0.122</v>
      </c>
      <c r="N19" s="748">
        <v>37</v>
      </c>
      <c r="O19" s="748">
        <v>0.113</v>
      </c>
    </row>
    <row r="20" ht="13.5" spans="1:15">
      <c r="A20" s="712">
        <v>14</v>
      </c>
      <c r="B20" s="713">
        <v>1.63</v>
      </c>
      <c r="C20" s="714">
        <v>0.0641</v>
      </c>
      <c r="D20" s="714">
        <v>2.075</v>
      </c>
      <c r="E20" s="715">
        <v>8.45</v>
      </c>
      <c r="F20" s="719">
        <v>8.2</v>
      </c>
      <c r="G20" s="720">
        <v>9.4</v>
      </c>
      <c r="H20" s="718"/>
      <c r="I20" s="747">
        <v>0.125</v>
      </c>
      <c r="J20" s="748">
        <v>0.125</v>
      </c>
      <c r="K20" s="748">
        <v>0.125</v>
      </c>
      <c r="L20" s="748">
        <v>39</v>
      </c>
      <c r="M20" s="748">
        <v>0.132</v>
      </c>
      <c r="N20" s="748">
        <v>36</v>
      </c>
      <c r="O20" s="748">
        <v>0.127</v>
      </c>
    </row>
    <row r="21" ht="13.5" spans="1:15">
      <c r="A21" s="712">
        <v>15</v>
      </c>
      <c r="B21" s="713">
        <v>1.45</v>
      </c>
      <c r="C21" s="714">
        <v>0.0571</v>
      </c>
      <c r="D21" s="714">
        <v>1.646</v>
      </c>
      <c r="E21" s="721">
        <v>10.6</v>
      </c>
      <c r="F21" s="719">
        <v>6.5</v>
      </c>
      <c r="G21" s="720">
        <v>7.4</v>
      </c>
      <c r="H21" s="718"/>
      <c r="I21" s="747">
        <v>0.14</v>
      </c>
      <c r="J21" s="748">
        <v>0.14</v>
      </c>
      <c r="K21" s="748">
        <v>0.14</v>
      </c>
      <c r="L21" s="748">
        <v>38</v>
      </c>
      <c r="M21" s="748">
        <v>0.152</v>
      </c>
      <c r="N21" s="748">
        <v>35</v>
      </c>
      <c r="O21" s="748">
        <v>0.143</v>
      </c>
    </row>
    <row r="22" ht="13.5" spans="1:15">
      <c r="A22" s="712">
        <v>16</v>
      </c>
      <c r="B22" s="713">
        <v>1.29</v>
      </c>
      <c r="C22" s="714">
        <v>0.0508</v>
      </c>
      <c r="D22" s="714">
        <v>1.318</v>
      </c>
      <c r="E22" s="721">
        <v>13.5</v>
      </c>
      <c r="F22" s="719">
        <v>5.2</v>
      </c>
      <c r="G22" s="720">
        <v>5.9</v>
      </c>
      <c r="H22" s="718"/>
      <c r="I22" s="747">
        <v>0.16</v>
      </c>
      <c r="J22" s="748">
        <v>0.16</v>
      </c>
      <c r="K22" s="748">
        <v>0.16</v>
      </c>
      <c r="L22" s="748">
        <v>37</v>
      </c>
      <c r="M22" s="748">
        <v>0.173</v>
      </c>
      <c r="N22" s="748">
        <v>34</v>
      </c>
      <c r="O22" s="748">
        <v>0.16</v>
      </c>
    </row>
    <row r="23" ht="13.5" spans="1:15">
      <c r="A23" s="712">
        <v>17</v>
      </c>
      <c r="B23" s="713">
        <v>1.15</v>
      </c>
      <c r="C23" s="714">
        <v>0.0453</v>
      </c>
      <c r="D23" s="714">
        <v>1.026</v>
      </c>
      <c r="E23" s="721">
        <v>16.3</v>
      </c>
      <c r="F23" s="719">
        <v>4.1</v>
      </c>
      <c r="G23" s="720">
        <v>4.7</v>
      </c>
      <c r="H23" s="718"/>
      <c r="I23" s="750" t="s">
        <v>690</v>
      </c>
      <c r="J23" s="749" t="s">
        <v>690</v>
      </c>
      <c r="K23" s="751" t="s">
        <v>690</v>
      </c>
      <c r="L23" s="751">
        <v>36</v>
      </c>
      <c r="M23" s="751">
        <v>0.193</v>
      </c>
      <c r="N23" s="749" t="s">
        <v>690</v>
      </c>
      <c r="O23" s="749" t="s">
        <v>690</v>
      </c>
    </row>
    <row r="24" ht="13.5" spans="1:15">
      <c r="A24" s="712">
        <v>18</v>
      </c>
      <c r="B24" s="713">
        <v>1.02</v>
      </c>
      <c r="C24" s="714">
        <v>0.0403</v>
      </c>
      <c r="D24" s="714">
        <v>0.8107</v>
      </c>
      <c r="E24" s="721">
        <v>21.4</v>
      </c>
      <c r="F24" s="719">
        <v>3.2</v>
      </c>
      <c r="G24" s="720">
        <v>3.7</v>
      </c>
      <c r="H24" s="718"/>
      <c r="I24" s="747">
        <v>0.18</v>
      </c>
      <c r="J24" s="748">
        <v>0.18</v>
      </c>
      <c r="K24" s="748">
        <v>0.18</v>
      </c>
      <c r="L24" s="748" t="s">
        <v>690</v>
      </c>
      <c r="M24" s="748" t="s">
        <v>690</v>
      </c>
      <c r="N24" s="749" t="s">
        <v>690</v>
      </c>
      <c r="O24" s="748">
        <v>0.18</v>
      </c>
    </row>
    <row r="25" ht="13.5" spans="1:15">
      <c r="A25" s="712">
        <v>19</v>
      </c>
      <c r="B25" s="713">
        <v>0.912</v>
      </c>
      <c r="C25" s="714">
        <v>0.0359</v>
      </c>
      <c r="D25" s="714">
        <v>0.5667</v>
      </c>
      <c r="E25" s="721">
        <v>26.9</v>
      </c>
      <c r="F25" s="719">
        <v>2.6</v>
      </c>
      <c r="G25" s="720">
        <v>2.9</v>
      </c>
      <c r="H25" s="718"/>
      <c r="I25" s="750" t="s">
        <v>690</v>
      </c>
      <c r="J25" s="749" t="s">
        <v>690</v>
      </c>
      <c r="K25" s="749" t="s">
        <v>690</v>
      </c>
      <c r="L25" s="749">
        <v>35</v>
      </c>
      <c r="M25" s="749">
        <v>0.213</v>
      </c>
      <c r="N25" s="749">
        <v>33</v>
      </c>
      <c r="O25" s="749" t="s">
        <v>690</v>
      </c>
    </row>
    <row r="26" ht="13.5" spans="1:15">
      <c r="A26" s="712">
        <v>20</v>
      </c>
      <c r="B26" s="713">
        <v>0.813</v>
      </c>
      <c r="C26" s="714">
        <v>0.032</v>
      </c>
      <c r="D26" s="714">
        <v>0.5189</v>
      </c>
      <c r="E26" s="721">
        <v>33.9</v>
      </c>
      <c r="F26" s="719">
        <v>2</v>
      </c>
      <c r="G26" s="720">
        <v>2.3</v>
      </c>
      <c r="H26" s="718"/>
      <c r="I26" s="747">
        <v>0.2</v>
      </c>
      <c r="J26" s="748">
        <v>0.2</v>
      </c>
      <c r="K26" s="748">
        <v>0.2</v>
      </c>
      <c r="L26" s="748">
        <v>34</v>
      </c>
      <c r="M26" s="748">
        <v>0.234</v>
      </c>
      <c r="N26" s="748">
        <v>32</v>
      </c>
      <c r="O26" s="748">
        <v>0.202</v>
      </c>
    </row>
    <row r="27" ht="13.5" spans="1:15">
      <c r="A27" s="712">
        <v>21</v>
      </c>
      <c r="B27" s="713">
        <v>0.724</v>
      </c>
      <c r="C27" s="714">
        <v>0.0285</v>
      </c>
      <c r="D27" s="714">
        <v>0.4116</v>
      </c>
      <c r="E27" s="721">
        <v>42.7</v>
      </c>
      <c r="F27" s="719">
        <v>1.6</v>
      </c>
      <c r="G27" s="720">
        <v>1.9</v>
      </c>
      <c r="H27" s="718"/>
      <c r="I27" s="747">
        <v>0.224</v>
      </c>
      <c r="J27" s="748">
        <v>0.224</v>
      </c>
      <c r="K27" s="748">
        <v>0.224</v>
      </c>
      <c r="L27" s="748">
        <v>33</v>
      </c>
      <c r="M27" s="748">
        <v>0.245</v>
      </c>
      <c r="N27" s="748">
        <v>31</v>
      </c>
      <c r="O27" s="748">
        <v>0.227</v>
      </c>
    </row>
    <row r="28" ht="13.5" spans="1:15">
      <c r="A28" s="712">
        <v>22</v>
      </c>
      <c r="B28" s="713">
        <v>0.643</v>
      </c>
      <c r="C28" s="714">
        <v>0.0253</v>
      </c>
      <c r="D28" s="714">
        <v>0.3247</v>
      </c>
      <c r="E28" s="721">
        <v>48.5</v>
      </c>
      <c r="F28" s="722">
        <v>1.28</v>
      </c>
      <c r="G28" s="723">
        <v>1.46</v>
      </c>
      <c r="H28" s="718"/>
      <c r="I28" s="747">
        <v>0.25</v>
      </c>
      <c r="J28" s="748">
        <v>0.25</v>
      </c>
      <c r="K28" s="748">
        <v>0.25</v>
      </c>
      <c r="L28" s="748">
        <v>31</v>
      </c>
      <c r="M28" s="748">
        <v>0.295</v>
      </c>
      <c r="N28" s="748">
        <v>30</v>
      </c>
      <c r="O28" s="748">
        <v>0.255</v>
      </c>
    </row>
    <row r="29" ht="13.5" spans="1:15">
      <c r="A29" s="712">
        <v>23</v>
      </c>
      <c r="B29" s="713">
        <v>0.574</v>
      </c>
      <c r="C29" s="714">
        <v>0.0226</v>
      </c>
      <c r="D29" s="714">
        <v>0.2588</v>
      </c>
      <c r="E29" s="721">
        <v>54.3</v>
      </c>
      <c r="F29" s="722">
        <v>1.022</v>
      </c>
      <c r="G29" s="723">
        <v>1.165</v>
      </c>
      <c r="H29" s="718"/>
      <c r="I29" s="747">
        <v>0.28</v>
      </c>
      <c r="J29" s="748">
        <v>0.28</v>
      </c>
      <c r="K29" s="748">
        <v>0.28</v>
      </c>
      <c r="L29" s="748">
        <v>30</v>
      </c>
      <c r="M29" s="748">
        <v>0.315</v>
      </c>
      <c r="N29" s="748">
        <v>29</v>
      </c>
      <c r="O29" s="748">
        <v>0.286</v>
      </c>
    </row>
    <row r="30" ht="13.5" spans="1:15">
      <c r="A30" s="712">
        <v>24</v>
      </c>
      <c r="B30" s="713">
        <v>0.511</v>
      </c>
      <c r="C30" s="714">
        <v>0.0201</v>
      </c>
      <c r="D30" s="714">
        <v>0.2047</v>
      </c>
      <c r="E30" s="721">
        <v>79.6</v>
      </c>
      <c r="F30" s="722">
        <v>0.808</v>
      </c>
      <c r="G30" s="723">
        <v>0.921</v>
      </c>
      <c r="H30" s="718"/>
      <c r="I30" s="747">
        <v>0.315</v>
      </c>
      <c r="J30" s="748">
        <v>0.315</v>
      </c>
      <c r="K30" s="748">
        <v>0.315</v>
      </c>
      <c r="L30" s="748">
        <v>29</v>
      </c>
      <c r="M30" s="748">
        <v>0.345</v>
      </c>
      <c r="N30" s="748">
        <v>28</v>
      </c>
      <c r="O30" s="748">
        <v>0.321</v>
      </c>
    </row>
    <row r="31" ht="13.5" spans="1:15">
      <c r="A31" s="712">
        <v>25</v>
      </c>
      <c r="B31" s="713">
        <v>0.44</v>
      </c>
      <c r="C31" s="714">
        <v>0.0179</v>
      </c>
      <c r="D31" s="714">
        <v>0.1624</v>
      </c>
      <c r="E31" s="721">
        <v>89.4</v>
      </c>
      <c r="F31" s="722">
        <v>0.641</v>
      </c>
      <c r="G31" s="723">
        <v>0.731</v>
      </c>
      <c r="H31" s="718"/>
      <c r="I31" s="747">
        <v>0.355</v>
      </c>
      <c r="J31" s="748">
        <v>0.355</v>
      </c>
      <c r="K31" s="748">
        <v>0.355</v>
      </c>
      <c r="L31" s="748">
        <v>28</v>
      </c>
      <c r="M31" s="748">
        <v>0.376</v>
      </c>
      <c r="N31" s="748">
        <v>27</v>
      </c>
      <c r="O31" s="748">
        <v>0.361</v>
      </c>
    </row>
    <row r="32" ht="13.5" spans="1:15">
      <c r="A32" s="712">
        <v>26</v>
      </c>
      <c r="B32" s="713">
        <v>0.404</v>
      </c>
      <c r="C32" s="714">
        <v>0.0159</v>
      </c>
      <c r="D32" s="714">
        <v>0.1281</v>
      </c>
      <c r="E32" s="724">
        <v>128</v>
      </c>
      <c r="F32" s="722">
        <v>0.506</v>
      </c>
      <c r="G32" s="723">
        <v>0.577</v>
      </c>
      <c r="H32" s="718"/>
      <c r="I32" s="747">
        <v>0.4</v>
      </c>
      <c r="J32" s="748">
        <v>0.4</v>
      </c>
      <c r="K32" s="748">
        <v>0.4</v>
      </c>
      <c r="L32" s="748">
        <v>27</v>
      </c>
      <c r="M32" s="748">
        <v>0.417</v>
      </c>
      <c r="N32" s="748">
        <v>26</v>
      </c>
      <c r="O32" s="748">
        <v>0.405</v>
      </c>
    </row>
    <row r="33" ht="13.5" spans="1:15">
      <c r="A33" s="712">
        <v>27</v>
      </c>
      <c r="B33" s="713">
        <v>0.361</v>
      </c>
      <c r="C33" s="714">
        <v>0.0142</v>
      </c>
      <c r="D33" s="714">
        <v>0.1021</v>
      </c>
      <c r="E33" s="724">
        <v>143</v>
      </c>
      <c r="F33" s="722">
        <v>0.403</v>
      </c>
      <c r="G33" s="723">
        <v>0.46</v>
      </c>
      <c r="H33" s="718"/>
      <c r="I33" s="747">
        <v>0.45</v>
      </c>
      <c r="J33" s="748">
        <v>0.45</v>
      </c>
      <c r="K33" s="748">
        <v>0.45</v>
      </c>
      <c r="L33" s="748">
        <v>26</v>
      </c>
      <c r="M33" s="748">
        <v>0.457</v>
      </c>
      <c r="N33" s="748">
        <v>25</v>
      </c>
      <c r="O33" s="748">
        <v>0.455</v>
      </c>
    </row>
    <row r="34" spans="1:15">
      <c r="A34" s="712">
        <v>28</v>
      </c>
      <c r="B34" s="713">
        <v>0.32</v>
      </c>
      <c r="C34" s="714">
        <v>0.0126</v>
      </c>
      <c r="D34" s="714">
        <v>0.0804</v>
      </c>
      <c r="E34" s="724">
        <v>227</v>
      </c>
      <c r="F34" s="722">
        <v>0.318</v>
      </c>
      <c r="G34" s="723">
        <v>0.362</v>
      </c>
      <c r="H34" s="718"/>
      <c r="I34" s="747">
        <v>0.5</v>
      </c>
      <c r="J34" s="748">
        <v>0.5</v>
      </c>
      <c r="K34" s="748">
        <v>0.5</v>
      </c>
      <c r="L34" s="748">
        <v>25</v>
      </c>
      <c r="M34" s="748">
        <v>0.508</v>
      </c>
      <c r="N34" s="749" t="s">
        <v>690</v>
      </c>
      <c r="O34" s="752" t="s">
        <v>690</v>
      </c>
    </row>
    <row r="35" ht="13.5" spans="1:15">
      <c r="A35" s="712">
        <v>29</v>
      </c>
      <c r="B35" s="713">
        <v>0.287</v>
      </c>
      <c r="C35" s="714">
        <v>0.0113</v>
      </c>
      <c r="D35" s="714">
        <v>0.0647</v>
      </c>
      <c r="E35" s="724">
        <v>289</v>
      </c>
      <c r="F35" s="722">
        <v>0.255</v>
      </c>
      <c r="G35" s="723">
        <v>0.291</v>
      </c>
      <c r="H35" s="718"/>
      <c r="I35" s="747">
        <v>0.56</v>
      </c>
      <c r="J35" s="748">
        <v>0.56</v>
      </c>
      <c r="K35" s="748" t="s">
        <v>690</v>
      </c>
      <c r="L35" s="748">
        <v>24</v>
      </c>
      <c r="M35" s="748">
        <v>0.559</v>
      </c>
      <c r="N35" s="749" t="s">
        <v>690</v>
      </c>
      <c r="O35" s="749" t="s">
        <v>690</v>
      </c>
    </row>
    <row r="36" spans="1:15">
      <c r="A36" s="712">
        <v>30</v>
      </c>
      <c r="B36" s="713">
        <v>0.254</v>
      </c>
      <c r="C36" s="714">
        <v>0.01</v>
      </c>
      <c r="D36" s="714">
        <v>0.0507</v>
      </c>
      <c r="E36" s="724">
        <v>321</v>
      </c>
      <c r="F36" s="722">
        <v>0.2</v>
      </c>
      <c r="G36" s="723">
        <v>0.228</v>
      </c>
      <c r="H36" s="718"/>
      <c r="I36" s="747">
        <v>0.6</v>
      </c>
      <c r="J36" s="748">
        <v>0.6</v>
      </c>
      <c r="K36" s="753" t="s">
        <v>690</v>
      </c>
      <c r="L36" s="748">
        <v>23</v>
      </c>
      <c r="M36" s="748">
        <v>0.61</v>
      </c>
      <c r="N36" s="748">
        <v>24</v>
      </c>
      <c r="O36" s="748">
        <v>0.511</v>
      </c>
    </row>
    <row r="37" ht="13.5" spans="1:15">
      <c r="A37" s="712">
        <v>31</v>
      </c>
      <c r="B37" s="713">
        <v>0.226</v>
      </c>
      <c r="C37" s="714">
        <v>0.0089</v>
      </c>
      <c r="D37" s="714">
        <v>0.0401</v>
      </c>
      <c r="E37" s="724">
        <v>367</v>
      </c>
      <c r="F37" s="722">
        <v>0.158</v>
      </c>
      <c r="G37" s="723">
        <v>0.181</v>
      </c>
      <c r="H37" s="718"/>
      <c r="I37" s="747">
        <v>0.63</v>
      </c>
      <c r="J37" s="748">
        <v>0.63</v>
      </c>
      <c r="K37" s="748">
        <v>0.63</v>
      </c>
      <c r="L37" s="748" t="s">
        <v>690</v>
      </c>
      <c r="M37" s="748" t="s">
        <v>690</v>
      </c>
      <c r="N37" s="748">
        <v>23</v>
      </c>
      <c r="O37" s="748">
        <v>0.574</v>
      </c>
    </row>
    <row r="38" ht="13.5" spans="1:15">
      <c r="A38" s="712">
        <v>32</v>
      </c>
      <c r="B38" s="713">
        <v>0.203</v>
      </c>
      <c r="C38" s="714">
        <v>0.008</v>
      </c>
      <c r="D38" s="714">
        <v>0.0316</v>
      </c>
      <c r="E38" s="724">
        <v>583</v>
      </c>
      <c r="F38" s="722">
        <v>0.128</v>
      </c>
      <c r="G38" s="723">
        <v>0.146</v>
      </c>
      <c r="H38" s="718"/>
      <c r="I38" s="747">
        <v>0.71</v>
      </c>
      <c r="J38" s="748">
        <v>0.71</v>
      </c>
      <c r="K38" s="748">
        <v>0.71</v>
      </c>
      <c r="L38" s="748" t="s">
        <v>690</v>
      </c>
      <c r="M38" s="748" t="s">
        <v>690</v>
      </c>
      <c r="N38" s="748">
        <v>22</v>
      </c>
      <c r="O38" s="748">
        <v>0.642</v>
      </c>
    </row>
    <row r="39" ht="13.5" spans="1:15">
      <c r="A39" s="712">
        <v>33</v>
      </c>
      <c r="B39" s="713">
        <v>0.18</v>
      </c>
      <c r="C39" s="714">
        <v>0.0071</v>
      </c>
      <c r="D39" s="714">
        <v>0.0255</v>
      </c>
      <c r="E39" s="724">
        <v>944</v>
      </c>
      <c r="F39" s="722">
        <v>0.101</v>
      </c>
      <c r="G39" s="723">
        <v>0.115</v>
      </c>
      <c r="H39" s="718"/>
      <c r="I39" s="747">
        <v>0.75</v>
      </c>
      <c r="J39" s="748">
        <v>0.75</v>
      </c>
      <c r="K39" s="748">
        <v>0.75</v>
      </c>
      <c r="L39" s="748" t="s">
        <v>690</v>
      </c>
      <c r="M39" s="748" t="s">
        <v>690</v>
      </c>
      <c r="N39" s="748">
        <v>21</v>
      </c>
      <c r="O39" s="748">
        <v>0.724</v>
      </c>
    </row>
    <row r="40" ht="13.5" spans="1:15">
      <c r="A40" s="712">
        <v>34</v>
      </c>
      <c r="B40" s="713">
        <v>0.16</v>
      </c>
      <c r="C40" s="714">
        <v>0.0063</v>
      </c>
      <c r="D40" s="714">
        <v>0.0201</v>
      </c>
      <c r="E40" s="724">
        <v>956</v>
      </c>
      <c r="F40" s="722">
        <v>0.079</v>
      </c>
      <c r="G40" s="723">
        <v>0.091</v>
      </c>
      <c r="H40" s="718"/>
      <c r="I40" s="747">
        <v>0.8</v>
      </c>
      <c r="J40" s="748">
        <v>0.8</v>
      </c>
      <c r="K40" s="748">
        <v>0.8</v>
      </c>
      <c r="L40" s="748">
        <v>22</v>
      </c>
      <c r="M40" s="748">
        <v>0.711</v>
      </c>
      <c r="N40" s="749" t="s">
        <v>690</v>
      </c>
      <c r="O40" s="748">
        <v>0.812</v>
      </c>
    </row>
    <row r="41" ht="13.5" spans="1:15">
      <c r="A41" s="712">
        <v>35</v>
      </c>
      <c r="B41" s="725">
        <v>0.142</v>
      </c>
      <c r="C41" s="726">
        <v>0.0056</v>
      </c>
      <c r="D41" s="726">
        <v>0.0169</v>
      </c>
      <c r="E41" s="727">
        <v>1200</v>
      </c>
      <c r="F41" s="728">
        <v>0.063</v>
      </c>
      <c r="G41" s="729">
        <v>0.072</v>
      </c>
      <c r="H41" s="718"/>
      <c r="I41" s="747">
        <v>0.85</v>
      </c>
      <c r="J41" s="748">
        <v>0.85</v>
      </c>
      <c r="K41" s="748">
        <v>0.85</v>
      </c>
      <c r="L41" s="748">
        <v>21</v>
      </c>
      <c r="M41" s="748">
        <v>0.813</v>
      </c>
      <c r="N41" s="748">
        <v>20</v>
      </c>
      <c r="O41" s="749" t="s">
        <v>690</v>
      </c>
    </row>
    <row r="42" ht="13.5" spans="1:15">
      <c r="A42" s="730">
        <v>36</v>
      </c>
      <c r="B42" s="731">
        <v>0.127</v>
      </c>
      <c r="C42" s="732">
        <v>0.005</v>
      </c>
      <c r="D42" s="732">
        <v>0.0127</v>
      </c>
      <c r="E42" s="733">
        <v>1530</v>
      </c>
      <c r="F42" s="734">
        <v>0.05</v>
      </c>
      <c r="G42" s="734">
        <v>0.057</v>
      </c>
      <c r="H42" s="718"/>
      <c r="I42" s="747">
        <v>0.9</v>
      </c>
      <c r="J42" s="748">
        <v>0.9</v>
      </c>
      <c r="K42" s="748">
        <v>0.9</v>
      </c>
      <c r="L42" s="748">
        <v>20</v>
      </c>
      <c r="M42" s="748">
        <v>0.914</v>
      </c>
      <c r="N42" s="748">
        <v>19</v>
      </c>
      <c r="O42" s="748">
        <v>0.911</v>
      </c>
    </row>
    <row r="43" ht="13.5" spans="1:15">
      <c r="A43" s="730">
        <v>37</v>
      </c>
      <c r="B43" s="712">
        <v>0.114</v>
      </c>
      <c r="C43" s="735">
        <v>0.0045</v>
      </c>
      <c r="D43" s="735">
        <v>0.0098</v>
      </c>
      <c r="E43" s="736">
        <v>1377</v>
      </c>
      <c r="F43" s="734">
        <v>0.041</v>
      </c>
      <c r="G43" s="734">
        <v>0.046</v>
      </c>
      <c r="H43" s="718"/>
      <c r="I43" s="747">
        <v>0.95</v>
      </c>
      <c r="J43" s="748">
        <v>0.95</v>
      </c>
      <c r="K43" s="748">
        <v>0.95</v>
      </c>
      <c r="L43" s="748" t="s">
        <v>690</v>
      </c>
      <c r="M43" s="748" t="s">
        <v>690</v>
      </c>
      <c r="N43" s="749" t="s">
        <v>690</v>
      </c>
      <c r="O43" s="749" t="s">
        <v>690</v>
      </c>
    </row>
    <row r="44" ht="13.5" spans="1:15">
      <c r="A44" s="730">
        <v>38</v>
      </c>
      <c r="B44" s="712">
        <v>0.102</v>
      </c>
      <c r="C44" s="735">
        <v>0.004</v>
      </c>
      <c r="D44" s="735">
        <v>0.0081</v>
      </c>
      <c r="E44" s="736">
        <v>2400</v>
      </c>
      <c r="F44" s="734">
        <v>0.032</v>
      </c>
      <c r="G44" s="734">
        <v>0.036</v>
      </c>
      <c r="H44" s="718"/>
      <c r="I44" s="747">
        <v>1</v>
      </c>
      <c r="J44" s="748">
        <v>1</v>
      </c>
      <c r="K44" s="748">
        <v>1</v>
      </c>
      <c r="L44" s="748" t="s">
        <v>690</v>
      </c>
      <c r="M44" s="748" t="s">
        <v>690</v>
      </c>
      <c r="N44" s="748">
        <v>18</v>
      </c>
      <c r="O44" s="748">
        <v>1.024</v>
      </c>
    </row>
    <row r="45" ht="13.5" spans="1:15">
      <c r="A45" s="730">
        <v>39</v>
      </c>
      <c r="B45" s="712">
        <v>0.089</v>
      </c>
      <c r="C45" s="735">
        <v>0.0035</v>
      </c>
      <c r="D45" s="735">
        <v>0.0062</v>
      </c>
      <c r="E45" s="736">
        <v>2100</v>
      </c>
      <c r="F45" s="734">
        <v>0.025</v>
      </c>
      <c r="G45" s="734">
        <v>0.028</v>
      </c>
      <c r="H45" s="718"/>
      <c r="I45" s="747">
        <v>1.06</v>
      </c>
      <c r="J45" s="748">
        <v>1.06</v>
      </c>
      <c r="K45" s="748">
        <v>1.06</v>
      </c>
      <c r="L45" s="748">
        <v>19</v>
      </c>
      <c r="M45" s="748">
        <v>1.016</v>
      </c>
      <c r="N45" s="749" t="s">
        <v>690</v>
      </c>
      <c r="O45" s="749" t="s">
        <v>690</v>
      </c>
    </row>
    <row r="46" ht="13.5" spans="1:15">
      <c r="A46" s="730">
        <v>40</v>
      </c>
      <c r="B46" s="712">
        <v>0.079</v>
      </c>
      <c r="C46" s="735">
        <v>0.0031</v>
      </c>
      <c r="D46" s="735">
        <v>0.0049</v>
      </c>
      <c r="E46" s="736">
        <v>4080</v>
      </c>
      <c r="F46" s="734">
        <v>0.019</v>
      </c>
      <c r="G46" s="734">
        <v>0.022</v>
      </c>
      <c r="H46" s="718"/>
      <c r="I46" s="747">
        <v>1.12</v>
      </c>
      <c r="J46" s="748">
        <v>1.12</v>
      </c>
      <c r="K46" s="748">
        <v>1.12</v>
      </c>
      <c r="L46" s="748" t="s">
        <v>690</v>
      </c>
      <c r="M46" s="748" t="s">
        <v>690</v>
      </c>
      <c r="N46" s="748">
        <v>17</v>
      </c>
      <c r="O46" s="748">
        <v>1.151</v>
      </c>
    </row>
    <row r="47" ht="13.5" spans="1:15">
      <c r="A47" s="730">
        <v>41</v>
      </c>
      <c r="B47" s="712">
        <v>0.071</v>
      </c>
      <c r="C47" s="735">
        <v>0.0028</v>
      </c>
      <c r="D47" s="735">
        <v>0.004</v>
      </c>
      <c r="E47" s="736">
        <v>3685</v>
      </c>
      <c r="F47" s="734">
        <v>0.016</v>
      </c>
      <c r="G47" s="734">
        <v>0.018</v>
      </c>
      <c r="H47" s="718"/>
      <c r="I47" s="747">
        <v>1.18</v>
      </c>
      <c r="J47" s="748">
        <v>1.18</v>
      </c>
      <c r="K47" s="748">
        <v>1.18</v>
      </c>
      <c r="L47" s="748" t="s">
        <v>690</v>
      </c>
      <c r="M47" s="748" t="s">
        <v>690</v>
      </c>
      <c r="N47" s="749" t="s">
        <v>690</v>
      </c>
      <c r="O47" s="749" t="s">
        <v>690</v>
      </c>
    </row>
    <row r="48" ht="13.5" spans="1:15">
      <c r="A48" s="730">
        <v>42</v>
      </c>
      <c r="B48" s="712">
        <v>0.064</v>
      </c>
      <c r="C48" s="735">
        <v>0.0025</v>
      </c>
      <c r="D48" s="735">
        <v>0.0032</v>
      </c>
      <c r="E48" s="736">
        <v>6300</v>
      </c>
      <c r="F48" s="734">
        <v>0.013</v>
      </c>
      <c r="G48" s="734">
        <v>0.014</v>
      </c>
      <c r="H48" s="718"/>
      <c r="I48" s="747">
        <v>1.25</v>
      </c>
      <c r="J48" s="748">
        <v>1.25</v>
      </c>
      <c r="K48" s="748">
        <v>1.25</v>
      </c>
      <c r="L48" s="748">
        <v>18</v>
      </c>
      <c r="M48" s="748" t="s">
        <v>690</v>
      </c>
      <c r="N48" s="748">
        <v>16</v>
      </c>
      <c r="O48" s="748">
        <v>1.29</v>
      </c>
    </row>
    <row r="49" ht="13.5" spans="1:15">
      <c r="A49" s="730">
        <v>43</v>
      </c>
      <c r="B49" s="712">
        <v>0.056</v>
      </c>
      <c r="C49" s="735">
        <v>0.0022</v>
      </c>
      <c r="D49" s="735">
        <v>0.0025</v>
      </c>
      <c r="E49" s="736">
        <v>5544</v>
      </c>
      <c r="F49" s="734">
        <v>0.01</v>
      </c>
      <c r="G49" s="734">
        <v>0.011</v>
      </c>
      <c r="H49" s="718"/>
      <c r="I49" s="747">
        <v>1.32</v>
      </c>
      <c r="J49" s="748">
        <v>1.32</v>
      </c>
      <c r="K49" s="748">
        <v>1.32</v>
      </c>
      <c r="L49" s="748" t="s">
        <v>690</v>
      </c>
      <c r="M49" s="748">
        <v>1.219</v>
      </c>
      <c r="N49" s="749" t="s">
        <v>690</v>
      </c>
      <c r="O49" s="749" t="s">
        <v>690</v>
      </c>
    </row>
    <row r="50" ht="13.5" spans="1:15">
      <c r="A50" s="730">
        <v>44</v>
      </c>
      <c r="B50" s="712">
        <v>0.051</v>
      </c>
      <c r="C50" s="735">
        <v>0.002</v>
      </c>
      <c r="D50" s="735">
        <v>0.002</v>
      </c>
      <c r="E50" s="736">
        <v>10200</v>
      </c>
      <c r="F50" s="734">
        <v>0.008</v>
      </c>
      <c r="G50" s="734">
        <v>0.009</v>
      </c>
      <c r="H50" s="718"/>
      <c r="I50" s="747">
        <v>1.4</v>
      </c>
      <c r="J50" s="748">
        <v>1.4</v>
      </c>
      <c r="K50" s="748">
        <v>1.4</v>
      </c>
      <c r="L50" s="748">
        <v>17</v>
      </c>
      <c r="M50" s="748" t="s">
        <v>690</v>
      </c>
      <c r="N50" s="748">
        <v>15</v>
      </c>
      <c r="O50" s="748">
        <v>1.45</v>
      </c>
    </row>
    <row r="51" ht="13.5" spans="1:15">
      <c r="A51" s="737">
        <v>45</v>
      </c>
      <c r="B51" s="738">
        <v>0.046</v>
      </c>
      <c r="C51" s="739">
        <v>0.0018</v>
      </c>
      <c r="D51" s="739">
        <v>0.0016</v>
      </c>
      <c r="E51" s="740">
        <v>9180</v>
      </c>
      <c r="F51" s="734">
        <v>0.006</v>
      </c>
      <c r="G51" s="734">
        <v>0.007</v>
      </c>
      <c r="H51" s="718"/>
      <c r="I51" s="754">
        <v>1.5</v>
      </c>
      <c r="J51" s="751">
        <v>1.5</v>
      </c>
      <c r="K51" s="751">
        <v>1.5</v>
      </c>
      <c r="L51" s="751" t="s">
        <v>690</v>
      </c>
      <c r="M51" s="751">
        <v>1.422</v>
      </c>
      <c r="N51" s="749" t="s">
        <v>690</v>
      </c>
      <c r="O51" s="749" t="s">
        <v>690</v>
      </c>
    </row>
    <row r="52" ht="13.5" spans="1:15">
      <c r="A52" s="741">
        <v>46</v>
      </c>
      <c r="B52" s="741">
        <v>0.041</v>
      </c>
      <c r="C52" s="741">
        <v>0.0016</v>
      </c>
      <c r="D52" s="741">
        <v>0.0013</v>
      </c>
      <c r="E52" s="742">
        <v>16300</v>
      </c>
      <c r="F52" s="743">
        <v>0.005</v>
      </c>
      <c r="G52" s="743">
        <v>0.006</v>
      </c>
      <c r="H52" s="718"/>
      <c r="I52" s="750">
        <v>1.6</v>
      </c>
      <c r="J52" s="749">
        <v>1.6</v>
      </c>
      <c r="K52" s="749">
        <v>1.6</v>
      </c>
      <c r="L52" s="749" t="s">
        <v>690</v>
      </c>
      <c r="M52" s="749" t="s">
        <v>690</v>
      </c>
      <c r="N52" s="749">
        <v>14</v>
      </c>
      <c r="O52" s="749">
        <v>1.628</v>
      </c>
    </row>
    <row r="53" spans="8:15">
      <c r="H53" s="718"/>
      <c r="I53" s="747">
        <v>1.7</v>
      </c>
      <c r="J53" s="748">
        <v>1.7</v>
      </c>
      <c r="K53" s="748">
        <v>1.7</v>
      </c>
      <c r="L53" s="748">
        <v>16</v>
      </c>
      <c r="M53" s="748">
        <v>1.626</v>
      </c>
      <c r="N53" s="749" t="s">
        <v>690</v>
      </c>
      <c r="O53" s="749" t="s">
        <v>690</v>
      </c>
    </row>
    <row r="54" spans="8:15">
      <c r="H54" s="744"/>
      <c r="I54" s="755"/>
      <c r="J54" s="756"/>
      <c r="K54" s="756"/>
      <c r="L54" s="756"/>
      <c r="M54" s="756"/>
      <c r="N54" s="757"/>
      <c r="O54" s="757"/>
    </row>
    <row r="55" spans="8:15">
      <c r="H55" s="718"/>
      <c r="I55" s="747">
        <v>1.8</v>
      </c>
      <c r="J55" s="748">
        <v>1.8</v>
      </c>
      <c r="K55" s="748">
        <v>1.8</v>
      </c>
      <c r="L55" s="749" t="s">
        <v>690</v>
      </c>
      <c r="M55" s="749" t="s">
        <v>690</v>
      </c>
      <c r="N55" s="748">
        <v>13</v>
      </c>
      <c r="O55" s="748">
        <v>1.829</v>
      </c>
    </row>
    <row r="56" spans="8:15">
      <c r="H56" s="744"/>
      <c r="I56" s="755"/>
      <c r="J56" s="756"/>
      <c r="K56" s="756"/>
      <c r="L56" s="757"/>
      <c r="M56" s="757"/>
      <c r="N56" s="756"/>
      <c r="O56" s="756"/>
    </row>
    <row r="57" spans="8:15">
      <c r="H57" s="718"/>
      <c r="I57" s="747">
        <v>1.9</v>
      </c>
      <c r="J57" s="748">
        <v>1.9</v>
      </c>
      <c r="K57" s="748">
        <v>1.9</v>
      </c>
      <c r="L57" s="748">
        <v>15</v>
      </c>
      <c r="M57" s="748">
        <v>1.829</v>
      </c>
      <c r="N57" s="749" t="s">
        <v>690</v>
      </c>
      <c r="O57" s="749" t="s">
        <v>690</v>
      </c>
    </row>
    <row r="58" spans="8:15">
      <c r="H58" s="718"/>
      <c r="I58" s="747">
        <v>2</v>
      </c>
      <c r="J58" s="748">
        <v>2</v>
      </c>
      <c r="K58" s="748">
        <v>2</v>
      </c>
      <c r="L58" s="749" t="s">
        <v>690</v>
      </c>
      <c r="M58" s="749" t="s">
        <v>690</v>
      </c>
      <c r="N58" s="748">
        <v>12</v>
      </c>
      <c r="O58" s="748">
        <v>2.052</v>
      </c>
    </row>
    <row r="59" spans="8:15">
      <c r="H59" s="718"/>
      <c r="I59" s="747">
        <v>2.12</v>
      </c>
      <c r="J59" s="748">
        <v>2.12</v>
      </c>
      <c r="K59" s="748">
        <v>2.12</v>
      </c>
      <c r="L59" s="748">
        <v>14</v>
      </c>
      <c r="M59" s="748">
        <v>2.032</v>
      </c>
      <c r="N59" s="749" t="s">
        <v>690</v>
      </c>
      <c r="O59" s="749" t="s">
        <v>690</v>
      </c>
    </row>
    <row r="60" spans="8:15">
      <c r="H60" s="718"/>
      <c r="I60" s="747">
        <v>2.24</v>
      </c>
      <c r="J60" s="748">
        <v>2.24</v>
      </c>
      <c r="K60" s="748">
        <v>2.24</v>
      </c>
      <c r="L60" s="749" t="s">
        <v>690</v>
      </c>
      <c r="M60" s="749" t="s">
        <v>690</v>
      </c>
      <c r="N60" s="748">
        <v>11</v>
      </c>
      <c r="O60" s="748">
        <v>2.3</v>
      </c>
    </row>
    <row r="61" spans="8:15">
      <c r="H61" s="718"/>
      <c r="I61" s="747">
        <v>2.36</v>
      </c>
      <c r="J61" s="748">
        <v>2.36</v>
      </c>
      <c r="K61" s="748">
        <v>2.36</v>
      </c>
      <c r="L61" s="748">
        <v>13</v>
      </c>
      <c r="M61" s="748">
        <v>2.337</v>
      </c>
      <c r="N61" s="749" t="s">
        <v>690</v>
      </c>
      <c r="O61" s="749" t="s">
        <v>690</v>
      </c>
    </row>
    <row r="62" spans="8:15">
      <c r="H62" s="718"/>
      <c r="I62" s="754">
        <v>2.5</v>
      </c>
      <c r="J62" s="751">
        <v>2.5</v>
      </c>
      <c r="K62" s="751">
        <v>2.5</v>
      </c>
      <c r="L62" s="751">
        <v>12</v>
      </c>
      <c r="M62" s="751">
        <v>2.642</v>
      </c>
      <c r="N62" s="751">
        <v>10</v>
      </c>
      <c r="O62" s="751">
        <v>2.59</v>
      </c>
    </row>
  </sheetData>
  <sheetProtection algorithmName="SHA-512" hashValue="ve8dztvB1w5ga/w9mJHdobmHuMEJ3nJCUV/fZVWrG0ls0CyZSChJD2vB9vo+SurgFrfqt2KoccMzB134SAA6Rw==" saltValue="j12lonqm/D4LkLTurA2KSg==" spinCount="100000" sheet="1" selectLockedCells="1" selectUnlockedCells="1" objects="1" scenarios="1"/>
  <mergeCells count="21">
    <mergeCell ref="B1:C1"/>
    <mergeCell ref="I1:O1"/>
    <mergeCell ref="A1:A2"/>
    <mergeCell ref="D1:D2"/>
    <mergeCell ref="E1:E2"/>
    <mergeCell ref="H53:H54"/>
    <mergeCell ref="H55:H56"/>
    <mergeCell ref="I53:I54"/>
    <mergeCell ref="I55:I56"/>
    <mergeCell ref="J53:J54"/>
    <mergeCell ref="J55:J56"/>
    <mergeCell ref="K53:K54"/>
    <mergeCell ref="K55:K56"/>
    <mergeCell ref="L53:L54"/>
    <mergeCell ref="L55:L56"/>
    <mergeCell ref="M53:M54"/>
    <mergeCell ref="M55:M56"/>
    <mergeCell ref="N53:N54"/>
    <mergeCell ref="N55:N56"/>
    <mergeCell ref="O53:O54"/>
    <mergeCell ref="O55:O56"/>
  </mergeCells>
  <pageMargins left="0.75" right="0.75" top="1" bottom="1" header="0.511805555555556" footer="0.511805555555556"/>
  <pageSetup paperSize="9" firstPageNumber="4294963191" orientation="portrait" useFirstPageNumber="1"/>
  <headerFooter alignWithMargins="0"/>
  <drawing r:id="rId1"/>
  <legacyDrawing r:id="rId2"/>
  <oleObjects>
    <mc:AlternateContent xmlns:mc="http://schemas.openxmlformats.org/markup-compatibility/2006">
      <mc:Choice Requires="x14">
        <oleObject shapeId="33793" progId="Equation.3" r:id="rId3">
          <objectPr defaultSize="0" r:id="rId4">
            <anchor moveWithCells="1" sizeWithCells="1">
              <from>
                <xdr:col>0</xdr:col>
                <xdr:colOff>219075</xdr:colOff>
                <xdr:row>53</xdr:row>
                <xdr:rowOff>76200</xdr:rowOff>
              </from>
              <to>
                <xdr:col>6</xdr:col>
                <xdr:colOff>85725</xdr:colOff>
                <xdr:row>56</xdr:row>
                <xdr:rowOff>114300</xdr:rowOff>
              </to>
            </anchor>
          </objectPr>
        </oleObject>
      </mc:Choice>
      <mc:Fallback>
        <oleObject shapeId="33793" progId="Equation.3" r:id="rId3"/>
      </mc:Fallback>
    </mc:AlternateContent>
    <mc:AlternateContent xmlns:mc="http://schemas.openxmlformats.org/markup-compatibility/2006">
      <mc:Choice Requires="x14">
        <oleObject shapeId="33794" progId="Equation.3" r:id="rId5">
          <objectPr defaultSize="0" r:id="rId6">
            <anchor moveWithCells="1" sizeWithCells="1">
              <from>
                <xdr:col>0</xdr:col>
                <xdr:colOff>257175</xdr:colOff>
                <xdr:row>58</xdr:row>
                <xdr:rowOff>104775</xdr:rowOff>
              </from>
              <to>
                <xdr:col>6</xdr:col>
                <xdr:colOff>123825</xdr:colOff>
                <xdr:row>61</xdr:row>
                <xdr:rowOff>142875</xdr:rowOff>
              </to>
            </anchor>
          </objectPr>
        </oleObject>
      </mc:Choice>
      <mc:Fallback>
        <oleObject shapeId="33794" progId="Equation.3" r:id="rId5"/>
      </mc:Fallback>
    </mc:AlternateContent>
  </oleObjec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7">
    <tabColor rgb="FF008000"/>
  </sheetPr>
  <dimension ref="A1:S36"/>
  <sheetViews>
    <sheetView zoomScale="85" zoomScaleNormal="85" workbookViewId="0">
      <pane xSplit="19" ySplit="3" topLeftCell="T4" activePane="bottomRight" state="frozen"/>
      <selection/>
      <selection pane="topRight"/>
      <selection pane="bottomLeft"/>
      <selection pane="bottomRight" activeCell="F7" sqref="F7"/>
    </sheetView>
  </sheetViews>
  <sheetFormatPr defaultColWidth="9" defaultRowHeight="21" customHeight="1"/>
  <cols>
    <col min="1" max="1" width="10.125" style="672" customWidth="1"/>
    <col min="2" max="2" width="6.25" style="672" customWidth="1"/>
    <col min="3" max="3" width="7.625" style="672" customWidth="1"/>
    <col min="4" max="4" width="5.75" style="672" customWidth="1"/>
    <col min="5" max="5" width="15.25" style="672" customWidth="1"/>
    <col min="6" max="6" width="21.75" style="672" customWidth="1"/>
    <col min="7" max="7" width="1" style="672" customWidth="1"/>
    <col min="8" max="8" width="10.75" style="672" customWidth="1"/>
    <col min="9" max="9" width="7.125" style="672" customWidth="1"/>
    <col min="10" max="10" width="8.625" style="672" customWidth="1"/>
    <col min="11" max="11" width="10.75" style="672" customWidth="1"/>
    <col min="12" max="12" width="10.5" style="672" customWidth="1"/>
    <col min="13" max="13" width="8.25" style="672" customWidth="1"/>
    <col min="14" max="14" width="9.75" style="672" customWidth="1"/>
    <col min="15" max="16384" width="9" style="672"/>
  </cols>
  <sheetData>
    <row r="1" ht="46.5" customHeight="1" spans="1:19">
      <c r="A1" s="673" t="s">
        <v>693</v>
      </c>
      <c r="B1" s="673"/>
      <c r="C1" s="673"/>
      <c r="D1" s="673"/>
      <c r="E1" s="673"/>
      <c r="F1" s="673"/>
      <c r="G1" s="674" t="s">
        <v>694</v>
      </c>
      <c r="H1" s="674"/>
      <c r="I1" s="674"/>
      <c r="J1" s="674"/>
      <c r="K1" s="674"/>
      <c r="L1" s="674"/>
      <c r="M1" s="674"/>
      <c r="N1" s="674"/>
      <c r="O1" s="674"/>
      <c r="P1" s="674"/>
      <c r="Q1" s="674"/>
      <c r="R1" s="674"/>
      <c r="S1" s="674"/>
    </row>
    <row r="2" ht="15.75" customHeight="1" spans="1:19">
      <c r="A2" s="675" t="s">
        <v>695</v>
      </c>
      <c r="B2" s="676"/>
      <c r="C2" s="676"/>
      <c r="D2" s="676"/>
      <c r="E2" s="676"/>
      <c r="F2" s="676"/>
      <c r="G2" s="677"/>
      <c r="H2" s="675" t="s">
        <v>696</v>
      </c>
      <c r="I2" s="677"/>
      <c r="J2" s="677"/>
      <c r="K2" s="677"/>
      <c r="L2" s="677"/>
      <c r="M2" s="677"/>
      <c r="N2" s="677"/>
      <c r="O2" s="677"/>
      <c r="P2" s="677"/>
      <c r="Q2" s="677"/>
      <c r="R2" s="677"/>
      <c r="S2" s="677"/>
    </row>
    <row r="3" customHeight="1" spans="1:19">
      <c r="A3" s="677" t="s">
        <v>697</v>
      </c>
      <c r="B3" s="677" t="s">
        <v>698</v>
      </c>
      <c r="C3" s="677" t="s">
        <v>699</v>
      </c>
      <c r="D3" s="678" t="s">
        <v>700</v>
      </c>
      <c r="E3" s="678" t="s">
        <v>701</v>
      </c>
      <c r="F3" s="678" t="s">
        <v>702</v>
      </c>
      <c r="G3" s="679"/>
      <c r="H3" s="680" t="s">
        <v>697</v>
      </c>
      <c r="I3" s="685" t="s">
        <v>698</v>
      </c>
      <c r="J3" s="686" t="s">
        <v>699</v>
      </c>
      <c r="K3" s="687" t="s">
        <v>703</v>
      </c>
      <c r="L3" s="688" t="s">
        <v>697</v>
      </c>
      <c r="M3" s="686" t="s">
        <v>698</v>
      </c>
      <c r="N3" s="686" t="s">
        <v>699</v>
      </c>
      <c r="O3" s="687" t="s">
        <v>703</v>
      </c>
      <c r="P3" s="688" t="s">
        <v>697</v>
      </c>
      <c r="Q3" s="686" t="s">
        <v>698</v>
      </c>
      <c r="R3" s="686" t="s">
        <v>699</v>
      </c>
      <c r="S3" s="687" t="s">
        <v>703</v>
      </c>
    </row>
    <row r="4" customHeight="1" spans="1:19">
      <c r="A4" s="681" t="s">
        <v>704</v>
      </c>
      <c r="B4" s="682">
        <v>0</v>
      </c>
      <c r="C4" s="682">
        <v>0</v>
      </c>
      <c r="D4" s="682" t="s">
        <v>705</v>
      </c>
      <c r="E4" s="682" t="s">
        <v>706</v>
      </c>
      <c r="F4" s="681" t="s">
        <v>707</v>
      </c>
      <c r="G4" s="679"/>
      <c r="H4" s="683" t="s">
        <v>708</v>
      </c>
      <c r="I4" s="689">
        <v>32</v>
      </c>
      <c r="J4" s="690">
        <v>20</v>
      </c>
      <c r="K4" s="691" t="s">
        <v>709</v>
      </c>
      <c r="L4" s="692" t="s">
        <v>710</v>
      </c>
      <c r="M4" s="690">
        <v>64</v>
      </c>
      <c r="N4" s="690">
        <v>40</v>
      </c>
      <c r="O4" s="693" t="s">
        <v>711</v>
      </c>
      <c r="P4" s="692" t="s">
        <v>712</v>
      </c>
      <c r="Q4" s="690">
        <v>96</v>
      </c>
      <c r="R4" s="690">
        <v>60</v>
      </c>
      <c r="S4" s="693" t="s">
        <v>713</v>
      </c>
    </row>
    <row r="5" customHeight="1" spans="1:19">
      <c r="A5" s="681" t="s">
        <v>714</v>
      </c>
      <c r="B5" s="682">
        <v>1</v>
      </c>
      <c r="C5" s="682">
        <v>1</v>
      </c>
      <c r="D5" s="682" t="s">
        <v>715</v>
      </c>
      <c r="E5" s="682" t="s">
        <v>716</v>
      </c>
      <c r="F5" s="681" t="s">
        <v>717</v>
      </c>
      <c r="G5" s="679"/>
      <c r="H5" s="683" t="s">
        <v>718</v>
      </c>
      <c r="I5" s="689">
        <v>33</v>
      </c>
      <c r="J5" s="690">
        <v>21</v>
      </c>
      <c r="K5" s="691" t="s">
        <v>719</v>
      </c>
      <c r="L5" s="692" t="s">
        <v>720</v>
      </c>
      <c r="M5" s="690">
        <v>65</v>
      </c>
      <c r="N5" s="690">
        <v>41</v>
      </c>
      <c r="O5" s="694" t="s">
        <v>345</v>
      </c>
      <c r="P5" s="692" t="s">
        <v>721</v>
      </c>
      <c r="Q5" s="690">
        <v>97</v>
      </c>
      <c r="R5" s="690">
        <v>61</v>
      </c>
      <c r="S5" s="694" t="s">
        <v>127</v>
      </c>
    </row>
    <row r="6" customHeight="1" spans="1:19">
      <c r="A6" s="681" t="s">
        <v>722</v>
      </c>
      <c r="B6" s="682">
        <v>2</v>
      </c>
      <c r="C6" s="682">
        <v>2</v>
      </c>
      <c r="D6" s="682" t="s">
        <v>723</v>
      </c>
      <c r="E6" s="682" t="s">
        <v>724</v>
      </c>
      <c r="F6" s="681" t="s">
        <v>725</v>
      </c>
      <c r="G6" s="679"/>
      <c r="H6" s="683" t="s">
        <v>726</v>
      </c>
      <c r="I6" s="689">
        <v>34</v>
      </c>
      <c r="J6" s="690">
        <v>22</v>
      </c>
      <c r="K6" s="694" t="s">
        <v>727</v>
      </c>
      <c r="L6" s="692" t="s">
        <v>728</v>
      </c>
      <c r="M6" s="690">
        <v>66</v>
      </c>
      <c r="N6" s="690">
        <v>42</v>
      </c>
      <c r="O6" s="694" t="s">
        <v>729</v>
      </c>
      <c r="P6" s="692" t="s">
        <v>730</v>
      </c>
      <c r="Q6" s="690">
        <v>98</v>
      </c>
      <c r="R6" s="690">
        <v>62</v>
      </c>
      <c r="S6" s="694" t="s">
        <v>126</v>
      </c>
    </row>
    <row r="7" customHeight="1" spans="1:19">
      <c r="A7" s="681" t="s">
        <v>731</v>
      </c>
      <c r="B7" s="682">
        <v>3</v>
      </c>
      <c r="C7" s="682">
        <v>3</v>
      </c>
      <c r="D7" s="682" t="s">
        <v>732</v>
      </c>
      <c r="E7" s="682" t="s">
        <v>733</v>
      </c>
      <c r="F7" s="681" t="s">
        <v>734</v>
      </c>
      <c r="G7" s="679"/>
      <c r="H7" s="683" t="s">
        <v>735</v>
      </c>
      <c r="I7" s="689">
        <v>35</v>
      </c>
      <c r="J7" s="690">
        <v>23</v>
      </c>
      <c r="K7" s="691" t="s">
        <v>736</v>
      </c>
      <c r="L7" s="692" t="s">
        <v>737</v>
      </c>
      <c r="M7" s="690">
        <v>67</v>
      </c>
      <c r="N7" s="690">
        <v>43</v>
      </c>
      <c r="O7" s="694" t="s">
        <v>738</v>
      </c>
      <c r="P7" s="692" t="s">
        <v>739</v>
      </c>
      <c r="Q7" s="690">
        <v>99</v>
      </c>
      <c r="R7" s="690">
        <v>63</v>
      </c>
      <c r="S7" s="694" t="s">
        <v>125</v>
      </c>
    </row>
    <row r="8" customHeight="1" spans="1:19">
      <c r="A8" s="681" t="s">
        <v>740</v>
      </c>
      <c r="B8" s="682">
        <v>4</v>
      </c>
      <c r="C8" s="682">
        <v>4</v>
      </c>
      <c r="D8" s="682" t="s">
        <v>741</v>
      </c>
      <c r="E8" s="682" t="s">
        <v>742</v>
      </c>
      <c r="F8" s="681" t="s">
        <v>743</v>
      </c>
      <c r="G8" s="679"/>
      <c r="H8" s="683" t="s">
        <v>744</v>
      </c>
      <c r="I8" s="689">
        <v>36</v>
      </c>
      <c r="J8" s="690">
        <v>24</v>
      </c>
      <c r="K8" s="694" t="s">
        <v>745</v>
      </c>
      <c r="L8" s="692" t="s">
        <v>746</v>
      </c>
      <c r="M8" s="690">
        <v>68</v>
      </c>
      <c r="N8" s="690">
        <v>44</v>
      </c>
      <c r="O8" s="694" t="s">
        <v>747</v>
      </c>
      <c r="P8" s="692" t="s">
        <v>748</v>
      </c>
      <c r="Q8" s="690">
        <v>100</v>
      </c>
      <c r="R8" s="690">
        <v>64</v>
      </c>
      <c r="S8" s="694" t="s">
        <v>124</v>
      </c>
    </row>
    <row r="9" customHeight="1" spans="1:19">
      <c r="A9" s="681" t="s">
        <v>749</v>
      </c>
      <c r="B9" s="682">
        <v>5</v>
      </c>
      <c r="C9" s="682">
        <v>5</v>
      </c>
      <c r="D9" s="682" t="s">
        <v>750</v>
      </c>
      <c r="E9" s="682" t="s">
        <v>751</v>
      </c>
      <c r="F9" s="681" t="s">
        <v>752</v>
      </c>
      <c r="G9" s="679"/>
      <c r="H9" s="683" t="s">
        <v>753</v>
      </c>
      <c r="I9" s="689">
        <v>37</v>
      </c>
      <c r="J9" s="690">
        <v>25</v>
      </c>
      <c r="K9" s="694" t="s">
        <v>754</v>
      </c>
      <c r="L9" s="692" t="s">
        <v>755</v>
      </c>
      <c r="M9" s="690">
        <v>69</v>
      </c>
      <c r="N9" s="690">
        <v>45</v>
      </c>
      <c r="O9" s="694" t="s">
        <v>224</v>
      </c>
      <c r="P9" s="692" t="s">
        <v>756</v>
      </c>
      <c r="Q9" s="690">
        <v>101</v>
      </c>
      <c r="R9" s="690">
        <v>65</v>
      </c>
      <c r="S9" s="694" t="s">
        <v>123</v>
      </c>
    </row>
    <row r="10" customHeight="1" spans="1:19">
      <c r="A10" s="681" t="s">
        <v>757</v>
      </c>
      <c r="B10" s="682">
        <v>6</v>
      </c>
      <c r="C10" s="682">
        <v>6</v>
      </c>
      <c r="D10" s="682" t="s">
        <v>758</v>
      </c>
      <c r="E10" s="682" t="s">
        <v>759</v>
      </c>
      <c r="F10" s="681" t="s">
        <v>760</v>
      </c>
      <c r="G10" s="679"/>
      <c r="H10" s="683" t="s">
        <v>761</v>
      </c>
      <c r="I10" s="689">
        <v>38</v>
      </c>
      <c r="J10" s="690">
        <v>26</v>
      </c>
      <c r="K10" s="691" t="s">
        <v>762</v>
      </c>
      <c r="L10" s="692" t="s">
        <v>763</v>
      </c>
      <c r="M10" s="690">
        <v>70</v>
      </c>
      <c r="N10" s="690">
        <v>46</v>
      </c>
      <c r="O10" s="694" t="s">
        <v>231</v>
      </c>
      <c r="P10" s="692" t="s">
        <v>764</v>
      </c>
      <c r="Q10" s="690">
        <v>102</v>
      </c>
      <c r="R10" s="690">
        <v>66</v>
      </c>
      <c r="S10" s="694" t="s">
        <v>122</v>
      </c>
    </row>
    <row r="11" customHeight="1" spans="1:19">
      <c r="A11" s="681" t="s">
        <v>765</v>
      </c>
      <c r="B11" s="682">
        <v>7</v>
      </c>
      <c r="C11" s="682">
        <v>7</v>
      </c>
      <c r="D11" s="682" t="s">
        <v>766</v>
      </c>
      <c r="E11" s="682" t="s">
        <v>767</v>
      </c>
      <c r="F11" s="681" t="s">
        <v>768</v>
      </c>
      <c r="G11" s="679"/>
      <c r="H11" s="683" t="s">
        <v>769</v>
      </c>
      <c r="I11" s="689">
        <v>39</v>
      </c>
      <c r="J11" s="690">
        <v>27</v>
      </c>
      <c r="K11" s="691" t="s">
        <v>770</v>
      </c>
      <c r="L11" s="692" t="s">
        <v>771</v>
      </c>
      <c r="M11" s="690">
        <v>71</v>
      </c>
      <c r="N11" s="690">
        <v>47</v>
      </c>
      <c r="O11" s="694" t="s">
        <v>772</v>
      </c>
      <c r="P11" s="692" t="s">
        <v>773</v>
      </c>
      <c r="Q11" s="690">
        <v>103</v>
      </c>
      <c r="R11" s="690">
        <v>67</v>
      </c>
      <c r="S11" s="694" t="s">
        <v>121</v>
      </c>
    </row>
    <row r="12" customHeight="1" spans="1:19">
      <c r="A12" s="681" t="s">
        <v>774</v>
      </c>
      <c r="B12" s="682">
        <v>8</v>
      </c>
      <c r="C12" s="682">
        <v>8</v>
      </c>
      <c r="D12" s="682" t="s">
        <v>775</v>
      </c>
      <c r="E12" s="682" t="s">
        <v>776</v>
      </c>
      <c r="F12" s="681" t="s">
        <v>777</v>
      </c>
      <c r="G12" s="679"/>
      <c r="H12" s="683" t="s">
        <v>778</v>
      </c>
      <c r="I12" s="689">
        <v>40</v>
      </c>
      <c r="J12" s="690">
        <v>28</v>
      </c>
      <c r="K12" s="694" t="s">
        <v>779</v>
      </c>
      <c r="L12" s="692" t="s">
        <v>780</v>
      </c>
      <c r="M12" s="690">
        <v>72</v>
      </c>
      <c r="N12" s="690">
        <v>48</v>
      </c>
      <c r="O12" s="694" t="s">
        <v>781</v>
      </c>
      <c r="P12" s="692" t="s">
        <v>782</v>
      </c>
      <c r="Q12" s="690">
        <v>104</v>
      </c>
      <c r="R12" s="690">
        <v>68</v>
      </c>
      <c r="S12" s="694" t="s">
        <v>783</v>
      </c>
    </row>
    <row r="13" customHeight="1" spans="1:19">
      <c r="A13" s="681" t="s">
        <v>784</v>
      </c>
      <c r="B13" s="682">
        <v>9</v>
      </c>
      <c r="C13" s="682">
        <v>9</v>
      </c>
      <c r="D13" s="682" t="s">
        <v>785</v>
      </c>
      <c r="E13" s="682" t="s">
        <v>786</v>
      </c>
      <c r="F13" s="677" t="s">
        <v>787</v>
      </c>
      <c r="G13" s="679"/>
      <c r="H13" s="683" t="s">
        <v>788</v>
      </c>
      <c r="I13" s="689">
        <v>41</v>
      </c>
      <c r="J13" s="690">
        <v>29</v>
      </c>
      <c r="K13" s="694" t="s">
        <v>789</v>
      </c>
      <c r="L13" s="692" t="s">
        <v>790</v>
      </c>
      <c r="M13" s="690">
        <v>73</v>
      </c>
      <c r="N13" s="690">
        <v>49</v>
      </c>
      <c r="O13" s="694" t="s">
        <v>791</v>
      </c>
      <c r="P13" s="692" t="s">
        <v>792</v>
      </c>
      <c r="Q13" s="690">
        <v>105</v>
      </c>
      <c r="R13" s="690">
        <v>69</v>
      </c>
      <c r="S13" s="694" t="s">
        <v>793</v>
      </c>
    </row>
    <row r="14" customHeight="1" spans="1:19">
      <c r="A14" s="681" t="s">
        <v>794</v>
      </c>
      <c r="B14" s="682">
        <v>10</v>
      </c>
      <c r="C14" s="682" t="s">
        <v>795</v>
      </c>
      <c r="D14" s="682" t="s">
        <v>796</v>
      </c>
      <c r="E14" s="682" t="s">
        <v>797</v>
      </c>
      <c r="F14" s="677" t="s">
        <v>798</v>
      </c>
      <c r="G14" s="679"/>
      <c r="H14" s="683" t="s">
        <v>799</v>
      </c>
      <c r="I14" s="689">
        <v>42</v>
      </c>
      <c r="J14" s="690" t="s">
        <v>800</v>
      </c>
      <c r="K14" s="691" t="s">
        <v>801</v>
      </c>
      <c r="L14" s="692" t="s">
        <v>802</v>
      </c>
      <c r="M14" s="690">
        <v>74</v>
      </c>
      <c r="N14" s="690" t="s">
        <v>803</v>
      </c>
      <c r="O14" s="694" t="s">
        <v>804</v>
      </c>
      <c r="P14" s="692" t="s">
        <v>805</v>
      </c>
      <c r="Q14" s="690">
        <v>106</v>
      </c>
      <c r="R14" s="690" t="s">
        <v>806</v>
      </c>
      <c r="S14" s="694" t="s">
        <v>807</v>
      </c>
    </row>
    <row r="15" customHeight="1" spans="1:19">
      <c r="A15" s="681" t="s">
        <v>808</v>
      </c>
      <c r="B15" s="682">
        <v>11</v>
      </c>
      <c r="C15" s="682" t="s">
        <v>809</v>
      </c>
      <c r="D15" s="682" t="s">
        <v>810</v>
      </c>
      <c r="E15" s="682" t="s">
        <v>811</v>
      </c>
      <c r="F15" s="681" t="s">
        <v>812</v>
      </c>
      <c r="G15" s="679"/>
      <c r="H15" s="683" t="s">
        <v>813</v>
      </c>
      <c r="I15" s="689">
        <v>43</v>
      </c>
      <c r="J15" s="690" t="s">
        <v>814</v>
      </c>
      <c r="K15" s="694" t="s">
        <v>815</v>
      </c>
      <c r="L15" s="692" t="s">
        <v>816</v>
      </c>
      <c r="M15" s="690">
        <v>75</v>
      </c>
      <c r="N15" s="690" t="s">
        <v>817</v>
      </c>
      <c r="O15" s="694" t="s">
        <v>818</v>
      </c>
      <c r="P15" s="692" t="s">
        <v>819</v>
      </c>
      <c r="Q15" s="690">
        <v>107</v>
      </c>
      <c r="R15" s="690" t="s">
        <v>820</v>
      </c>
      <c r="S15" s="694" t="s">
        <v>821</v>
      </c>
    </row>
    <row r="16" customHeight="1" spans="1:19">
      <c r="A16" s="681" t="s">
        <v>822</v>
      </c>
      <c r="B16" s="682">
        <v>12</v>
      </c>
      <c r="C16" s="682" t="s">
        <v>823</v>
      </c>
      <c r="D16" s="682" t="s">
        <v>824</v>
      </c>
      <c r="E16" s="682" t="s">
        <v>825</v>
      </c>
      <c r="F16" s="677" t="s">
        <v>826</v>
      </c>
      <c r="G16" s="679"/>
      <c r="H16" s="683" t="s">
        <v>827</v>
      </c>
      <c r="I16" s="689">
        <v>44</v>
      </c>
      <c r="J16" s="690" t="s">
        <v>828</v>
      </c>
      <c r="K16" s="691" t="s">
        <v>829</v>
      </c>
      <c r="L16" s="692" t="s">
        <v>830</v>
      </c>
      <c r="M16" s="690">
        <v>76</v>
      </c>
      <c r="N16" s="690" t="s">
        <v>831</v>
      </c>
      <c r="O16" s="694" t="s">
        <v>67</v>
      </c>
      <c r="P16" s="692" t="s">
        <v>832</v>
      </c>
      <c r="Q16" s="690">
        <v>108</v>
      </c>
      <c r="R16" s="690" t="s">
        <v>833</v>
      </c>
      <c r="S16" s="694" t="s">
        <v>834</v>
      </c>
    </row>
    <row r="17" customHeight="1" spans="1:19">
      <c r="A17" s="681" t="s">
        <v>835</v>
      </c>
      <c r="B17" s="682">
        <v>13</v>
      </c>
      <c r="C17" s="682" t="s">
        <v>836</v>
      </c>
      <c r="D17" s="682" t="s">
        <v>837</v>
      </c>
      <c r="E17" s="682" t="s">
        <v>838</v>
      </c>
      <c r="F17" s="677" t="s">
        <v>839</v>
      </c>
      <c r="G17" s="679"/>
      <c r="H17" s="683" t="s">
        <v>840</v>
      </c>
      <c r="I17" s="689">
        <v>45</v>
      </c>
      <c r="J17" s="690" t="s">
        <v>841</v>
      </c>
      <c r="K17" s="691" t="s">
        <v>842</v>
      </c>
      <c r="L17" s="692" t="s">
        <v>843</v>
      </c>
      <c r="M17" s="690">
        <v>77</v>
      </c>
      <c r="N17" s="690" t="s">
        <v>844</v>
      </c>
      <c r="O17" s="694" t="s">
        <v>845</v>
      </c>
      <c r="P17" s="692" t="s">
        <v>846</v>
      </c>
      <c r="Q17" s="690">
        <v>109</v>
      </c>
      <c r="R17" s="690" t="s">
        <v>847</v>
      </c>
      <c r="S17" s="694" t="s">
        <v>848</v>
      </c>
    </row>
    <row r="18" customHeight="1" spans="1:19">
      <c r="A18" s="681" t="s">
        <v>849</v>
      </c>
      <c r="B18" s="682">
        <v>14</v>
      </c>
      <c r="C18" s="682" t="s">
        <v>850</v>
      </c>
      <c r="D18" s="682" t="s">
        <v>851</v>
      </c>
      <c r="E18" s="682" t="s">
        <v>852</v>
      </c>
      <c r="F18" s="681" t="s">
        <v>853</v>
      </c>
      <c r="G18" s="679"/>
      <c r="H18" s="683" t="s">
        <v>854</v>
      </c>
      <c r="I18" s="689">
        <v>46</v>
      </c>
      <c r="J18" s="690" t="s">
        <v>855</v>
      </c>
      <c r="K18" s="691" t="s">
        <v>856</v>
      </c>
      <c r="L18" s="692" t="s">
        <v>857</v>
      </c>
      <c r="M18" s="690">
        <v>78</v>
      </c>
      <c r="N18" s="690" t="s">
        <v>858</v>
      </c>
      <c r="O18" s="694" t="s">
        <v>859</v>
      </c>
      <c r="P18" s="692" t="s">
        <v>860</v>
      </c>
      <c r="Q18" s="690">
        <v>110</v>
      </c>
      <c r="R18" s="690" t="s">
        <v>861</v>
      </c>
      <c r="S18" s="694" t="s">
        <v>862</v>
      </c>
    </row>
    <row r="19" customHeight="1" spans="1:19">
      <c r="A19" s="681" t="s">
        <v>863</v>
      </c>
      <c r="B19" s="682">
        <v>15</v>
      </c>
      <c r="C19" s="682" t="s">
        <v>864</v>
      </c>
      <c r="D19" s="682" t="s">
        <v>865</v>
      </c>
      <c r="E19" s="682" t="s">
        <v>866</v>
      </c>
      <c r="F19" s="681" t="s">
        <v>867</v>
      </c>
      <c r="G19" s="679"/>
      <c r="H19" s="683" t="s">
        <v>868</v>
      </c>
      <c r="I19" s="689">
        <v>47</v>
      </c>
      <c r="J19" s="690" t="s">
        <v>869</v>
      </c>
      <c r="K19" s="691" t="s">
        <v>870</v>
      </c>
      <c r="L19" s="692" t="s">
        <v>871</v>
      </c>
      <c r="M19" s="690">
        <v>79</v>
      </c>
      <c r="N19" s="690" t="s">
        <v>872</v>
      </c>
      <c r="O19" s="694" t="s">
        <v>873</v>
      </c>
      <c r="P19" s="692" t="s">
        <v>874</v>
      </c>
      <c r="Q19" s="690">
        <v>111</v>
      </c>
      <c r="R19" s="690" t="s">
        <v>875</v>
      </c>
      <c r="S19" s="694" t="s">
        <v>876</v>
      </c>
    </row>
    <row r="20" customHeight="1" spans="1:19">
      <c r="A20" s="681" t="s">
        <v>877</v>
      </c>
      <c r="B20" s="682">
        <v>16</v>
      </c>
      <c r="C20" s="682">
        <v>10</v>
      </c>
      <c r="D20" s="682" t="s">
        <v>878</v>
      </c>
      <c r="E20" s="682" t="s">
        <v>879</v>
      </c>
      <c r="F20" s="681" t="s">
        <v>880</v>
      </c>
      <c r="G20" s="679"/>
      <c r="H20" s="683" t="s">
        <v>881</v>
      </c>
      <c r="I20" s="689">
        <v>48</v>
      </c>
      <c r="J20" s="690">
        <v>30</v>
      </c>
      <c r="K20" s="694">
        <v>0</v>
      </c>
      <c r="L20" s="692" t="s">
        <v>882</v>
      </c>
      <c r="M20" s="690">
        <v>80</v>
      </c>
      <c r="N20" s="690">
        <v>50</v>
      </c>
      <c r="O20" s="694" t="s">
        <v>883</v>
      </c>
      <c r="P20" s="692" t="s">
        <v>884</v>
      </c>
      <c r="Q20" s="690">
        <v>112</v>
      </c>
      <c r="R20" s="690">
        <v>70</v>
      </c>
      <c r="S20" s="694" t="s">
        <v>885</v>
      </c>
    </row>
    <row r="21" customHeight="1" spans="1:19">
      <c r="A21" s="681" t="s">
        <v>886</v>
      </c>
      <c r="B21" s="682">
        <v>17</v>
      </c>
      <c r="C21" s="682">
        <v>11</v>
      </c>
      <c r="D21" s="682" t="s">
        <v>887</v>
      </c>
      <c r="E21" s="682" t="s">
        <v>888</v>
      </c>
      <c r="F21" s="681" t="s">
        <v>889</v>
      </c>
      <c r="G21" s="679"/>
      <c r="H21" s="683" t="s">
        <v>890</v>
      </c>
      <c r="I21" s="689">
        <v>49</v>
      </c>
      <c r="J21" s="690">
        <v>31</v>
      </c>
      <c r="K21" s="694">
        <v>1</v>
      </c>
      <c r="L21" s="692" t="s">
        <v>891</v>
      </c>
      <c r="M21" s="690">
        <v>81</v>
      </c>
      <c r="N21" s="690">
        <v>51</v>
      </c>
      <c r="O21" s="694" t="s">
        <v>201</v>
      </c>
      <c r="P21" s="692" t="s">
        <v>892</v>
      </c>
      <c r="Q21" s="690">
        <v>113</v>
      </c>
      <c r="R21" s="690">
        <v>71</v>
      </c>
      <c r="S21" s="694" t="s">
        <v>893</v>
      </c>
    </row>
    <row r="22" customHeight="1" spans="1:19">
      <c r="A22" s="681" t="s">
        <v>894</v>
      </c>
      <c r="B22" s="682">
        <v>18</v>
      </c>
      <c r="C22" s="682">
        <v>12</v>
      </c>
      <c r="D22" s="682" t="s">
        <v>895</v>
      </c>
      <c r="E22" s="682" t="s">
        <v>896</v>
      </c>
      <c r="F22" s="681" t="s">
        <v>897</v>
      </c>
      <c r="G22" s="679"/>
      <c r="H22" s="683" t="s">
        <v>898</v>
      </c>
      <c r="I22" s="689">
        <v>50</v>
      </c>
      <c r="J22" s="690">
        <v>32</v>
      </c>
      <c r="K22" s="694">
        <v>2</v>
      </c>
      <c r="L22" s="692" t="s">
        <v>899</v>
      </c>
      <c r="M22" s="690">
        <v>82</v>
      </c>
      <c r="N22" s="690">
        <v>52</v>
      </c>
      <c r="O22" s="694" t="s">
        <v>900</v>
      </c>
      <c r="P22" s="692" t="s">
        <v>901</v>
      </c>
      <c r="Q22" s="690">
        <v>114</v>
      </c>
      <c r="R22" s="690">
        <v>72</v>
      </c>
      <c r="S22" s="694" t="s">
        <v>902</v>
      </c>
    </row>
    <row r="23" customHeight="1" spans="1:19">
      <c r="A23" s="681" t="s">
        <v>903</v>
      </c>
      <c r="B23" s="682">
        <v>19</v>
      </c>
      <c r="C23" s="682">
        <v>13</v>
      </c>
      <c r="D23" s="682" t="s">
        <v>904</v>
      </c>
      <c r="E23" s="682" t="s">
        <v>905</v>
      </c>
      <c r="F23" s="681" t="s">
        <v>906</v>
      </c>
      <c r="G23" s="679"/>
      <c r="H23" s="683" t="s">
        <v>907</v>
      </c>
      <c r="I23" s="689">
        <v>51</v>
      </c>
      <c r="J23" s="690">
        <v>33</v>
      </c>
      <c r="K23" s="694">
        <v>3</v>
      </c>
      <c r="L23" s="692" t="s">
        <v>908</v>
      </c>
      <c r="M23" s="690">
        <v>83</v>
      </c>
      <c r="N23" s="690">
        <v>53</v>
      </c>
      <c r="O23" s="694" t="s">
        <v>235</v>
      </c>
      <c r="P23" s="692" t="s">
        <v>909</v>
      </c>
      <c r="Q23" s="690">
        <v>115</v>
      </c>
      <c r="R23" s="690">
        <v>73</v>
      </c>
      <c r="S23" s="694" t="s">
        <v>341</v>
      </c>
    </row>
    <row r="24" customHeight="1" spans="1:19">
      <c r="A24" s="681" t="s">
        <v>910</v>
      </c>
      <c r="B24" s="682">
        <v>20</v>
      </c>
      <c r="C24" s="682">
        <v>14</v>
      </c>
      <c r="D24" s="682" t="s">
        <v>911</v>
      </c>
      <c r="E24" s="682" t="s">
        <v>912</v>
      </c>
      <c r="F24" s="681" t="s">
        <v>913</v>
      </c>
      <c r="G24" s="679"/>
      <c r="H24" s="683" t="s">
        <v>914</v>
      </c>
      <c r="I24" s="689">
        <v>52</v>
      </c>
      <c r="J24" s="690">
        <v>34</v>
      </c>
      <c r="K24" s="694">
        <v>4</v>
      </c>
      <c r="L24" s="692" t="s">
        <v>915</v>
      </c>
      <c r="M24" s="690">
        <v>84</v>
      </c>
      <c r="N24" s="690">
        <v>54</v>
      </c>
      <c r="O24" s="694" t="s">
        <v>916</v>
      </c>
      <c r="P24" s="692" t="s">
        <v>917</v>
      </c>
      <c r="Q24" s="690">
        <v>116</v>
      </c>
      <c r="R24" s="690">
        <v>74</v>
      </c>
      <c r="S24" s="694" t="s">
        <v>223</v>
      </c>
    </row>
    <row r="25" customHeight="1" spans="1:19">
      <c r="A25" s="681" t="s">
        <v>918</v>
      </c>
      <c r="B25" s="682">
        <v>21</v>
      </c>
      <c r="C25" s="682">
        <v>15</v>
      </c>
      <c r="D25" s="682" t="s">
        <v>919</v>
      </c>
      <c r="E25" s="682" t="s">
        <v>920</v>
      </c>
      <c r="F25" s="681" t="s">
        <v>921</v>
      </c>
      <c r="G25" s="679"/>
      <c r="H25" s="683" t="s">
        <v>922</v>
      </c>
      <c r="I25" s="689">
        <v>53</v>
      </c>
      <c r="J25" s="690">
        <v>35</v>
      </c>
      <c r="K25" s="694">
        <v>5</v>
      </c>
      <c r="L25" s="692" t="s">
        <v>923</v>
      </c>
      <c r="M25" s="690">
        <v>85</v>
      </c>
      <c r="N25" s="690">
        <v>55</v>
      </c>
      <c r="O25" s="694" t="s">
        <v>924</v>
      </c>
      <c r="P25" s="692" t="s">
        <v>925</v>
      </c>
      <c r="Q25" s="690">
        <v>117</v>
      </c>
      <c r="R25" s="690">
        <v>75</v>
      </c>
      <c r="S25" s="694" t="s">
        <v>926</v>
      </c>
    </row>
    <row r="26" customHeight="1" spans="1:19">
      <c r="A26" s="681" t="s">
        <v>927</v>
      </c>
      <c r="B26" s="682">
        <v>22</v>
      </c>
      <c r="C26" s="682">
        <v>16</v>
      </c>
      <c r="D26" s="682" t="s">
        <v>928</v>
      </c>
      <c r="E26" s="682" t="s">
        <v>929</v>
      </c>
      <c r="F26" s="681" t="s">
        <v>930</v>
      </c>
      <c r="G26" s="679"/>
      <c r="H26" s="683" t="s">
        <v>931</v>
      </c>
      <c r="I26" s="689">
        <v>54</v>
      </c>
      <c r="J26" s="690">
        <v>36</v>
      </c>
      <c r="K26" s="694">
        <v>6</v>
      </c>
      <c r="L26" s="692" t="s">
        <v>932</v>
      </c>
      <c r="M26" s="690">
        <v>86</v>
      </c>
      <c r="N26" s="690">
        <v>56</v>
      </c>
      <c r="O26" s="694" t="s">
        <v>220</v>
      </c>
      <c r="P26" s="692" t="s">
        <v>933</v>
      </c>
      <c r="Q26" s="690">
        <v>118</v>
      </c>
      <c r="R26" s="690">
        <v>76</v>
      </c>
      <c r="S26" s="694" t="s">
        <v>171</v>
      </c>
    </row>
    <row r="27" customHeight="1" spans="1:19">
      <c r="A27" s="681" t="s">
        <v>934</v>
      </c>
      <c r="B27" s="682">
        <v>23</v>
      </c>
      <c r="C27" s="682">
        <v>17</v>
      </c>
      <c r="D27" s="682" t="s">
        <v>935</v>
      </c>
      <c r="E27" s="682" t="s">
        <v>936</v>
      </c>
      <c r="F27" s="681" t="s">
        <v>937</v>
      </c>
      <c r="G27" s="679"/>
      <c r="H27" s="683" t="s">
        <v>938</v>
      </c>
      <c r="I27" s="689">
        <v>55</v>
      </c>
      <c r="J27" s="690">
        <v>37</v>
      </c>
      <c r="K27" s="694">
        <v>7</v>
      </c>
      <c r="L27" s="692" t="s">
        <v>939</v>
      </c>
      <c r="M27" s="690">
        <v>87</v>
      </c>
      <c r="N27" s="690">
        <v>57</v>
      </c>
      <c r="O27" s="694" t="s">
        <v>377</v>
      </c>
      <c r="P27" s="692" t="s">
        <v>940</v>
      </c>
      <c r="Q27" s="690">
        <v>119</v>
      </c>
      <c r="R27" s="690">
        <v>77</v>
      </c>
      <c r="S27" s="694" t="s">
        <v>941</v>
      </c>
    </row>
    <row r="28" customHeight="1" spans="1:19">
      <c r="A28" s="681" t="s">
        <v>942</v>
      </c>
      <c r="B28" s="682">
        <v>24</v>
      </c>
      <c r="C28" s="682">
        <v>18</v>
      </c>
      <c r="D28" s="682" t="s">
        <v>943</v>
      </c>
      <c r="E28" s="682" t="s">
        <v>944</v>
      </c>
      <c r="F28" s="681" t="s">
        <v>945</v>
      </c>
      <c r="G28" s="679"/>
      <c r="H28" s="683" t="s">
        <v>946</v>
      </c>
      <c r="I28" s="689">
        <v>56</v>
      </c>
      <c r="J28" s="690">
        <v>38</v>
      </c>
      <c r="K28" s="694">
        <v>8</v>
      </c>
      <c r="L28" s="692" t="s">
        <v>947</v>
      </c>
      <c r="M28" s="690">
        <v>88</v>
      </c>
      <c r="N28" s="690">
        <v>58</v>
      </c>
      <c r="O28" s="694" t="s">
        <v>948</v>
      </c>
      <c r="P28" s="692" t="s">
        <v>949</v>
      </c>
      <c r="Q28" s="690">
        <v>120</v>
      </c>
      <c r="R28" s="690">
        <v>78</v>
      </c>
      <c r="S28" s="694" t="s">
        <v>160</v>
      </c>
    </row>
    <row r="29" customHeight="1" spans="1:19">
      <c r="A29" s="681" t="s">
        <v>950</v>
      </c>
      <c r="B29" s="682">
        <v>25</v>
      </c>
      <c r="C29" s="682">
        <v>19</v>
      </c>
      <c r="D29" s="682" t="s">
        <v>951</v>
      </c>
      <c r="E29" s="682" t="s">
        <v>952</v>
      </c>
      <c r="F29" s="681" t="s">
        <v>953</v>
      </c>
      <c r="G29" s="679"/>
      <c r="H29" s="683" t="s">
        <v>954</v>
      </c>
      <c r="I29" s="689">
        <v>57</v>
      </c>
      <c r="J29" s="690">
        <v>39</v>
      </c>
      <c r="K29" s="694">
        <v>9</v>
      </c>
      <c r="L29" s="692" t="s">
        <v>955</v>
      </c>
      <c r="M29" s="690">
        <v>89</v>
      </c>
      <c r="N29" s="690">
        <v>59</v>
      </c>
      <c r="O29" s="694" t="s">
        <v>956</v>
      </c>
      <c r="P29" s="692" t="s">
        <v>957</v>
      </c>
      <c r="Q29" s="690">
        <v>121</v>
      </c>
      <c r="R29" s="690">
        <v>79</v>
      </c>
      <c r="S29" s="694" t="s">
        <v>161</v>
      </c>
    </row>
    <row r="30" customHeight="1" spans="1:19">
      <c r="A30" s="681" t="s">
        <v>958</v>
      </c>
      <c r="B30" s="682">
        <v>26</v>
      </c>
      <c r="C30" s="682" t="s">
        <v>959</v>
      </c>
      <c r="D30" s="682" t="s">
        <v>960</v>
      </c>
      <c r="E30" s="682" t="s">
        <v>961</v>
      </c>
      <c r="F30" s="681" t="s">
        <v>962</v>
      </c>
      <c r="G30" s="679"/>
      <c r="H30" s="683" t="s">
        <v>963</v>
      </c>
      <c r="I30" s="689">
        <v>58</v>
      </c>
      <c r="J30" s="690" t="s">
        <v>964</v>
      </c>
      <c r="K30" s="691" t="s">
        <v>965</v>
      </c>
      <c r="L30" s="692" t="s">
        <v>966</v>
      </c>
      <c r="M30" s="690">
        <v>90</v>
      </c>
      <c r="N30" s="690" t="s">
        <v>967</v>
      </c>
      <c r="O30" s="694" t="s">
        <v>968</v>
      </c>
      <c r="P30" s="692" t="s">
        <v>969</v>
      </c>
      <c r="Q30" s="690">
        <v>122</v>
      </c>
      <c r="R30" s="690" t="s">
        <v>970</v>
      </c>
      <c r="S30" s="694" t="s">
        <v>971</v>
      </c>
    </row>
    <row r="31" customHeight="1" spans="1:19">
      <c r="A31" s="681" t="s">
        <v>972</v>
      </c>
      <c r="B31" s="682">
        <v>27</v>
      </c>
      <c r="C31" s="682" t="s">
        <v>973</v>
      </c>
      <c r="D31" s="682" t="s">
        <v>974</v>
      </c>
      <c r="E31" s="682" t="s">
        <v>975</v>
      </c>
      <c r="F31" s="677" t="s">
        <v>976</v>
      </c>
      <c r="G31" s="679"/>
      <c r="H31" s="683" t="s">
        <v>977</v>
      </c>
      <c r="I31" s="689">
        <v>59</v>
      </c>
      <c r="J31" s="690" t="s">
        <v>978</v>
      </c>
      <c r="K31" s="691" t="s">
        <v>979</v>
      </c>
      <c r="L31" s="692" t="s">
        <v>980</v>
      </c>
      <c r="M31" s="690">
        <v>91</v>
      </c>
      <c r="N31" s="690" t="s">
        <v>981</v>
      </c>
      <c r="O31" s="694" t="s">
        <v>982</v>
      </c>
      <c r="P31" s="692" t="s">
        <v>983</v>
      </c>
      <c r="Q31" s="690">
        <v>123</v>
      </c>
      <c r="R31" s="690" t="s">
        <v>984</v>
      </c>
      <c r="S31" s="694" t="s">
        <v>985</v>
      </c>
    </row>
    <row r="32" customHeight="1" spans="1:19">
      <c r="A32" s="681" t="s">
        <v>986</v>
      </c>
      <c r="B32" s="682">
        <v>28</v>
      </c>
      <c r="C32" s="682" t="s">
        <v>987</v>
      </c>
      <c r="D32" s="682" t="s">
        <v>988</v>
      </c>
      <c r="E32" s="682" t="s">
        <v>989</v>
      </c>
      <c r="F32" s="681" t="s">
        <v>990</v>
      </c>
      <c r="G32" s="679"/>
      <c r="H32" s="683" t="s">
        <v>991</v>
      </c>
      <c r="I32" s="689">
        <v>60</v>
      </c>
      <c r="J32" s="690" t="s">
        <v>992</v>
      </c>
      <c r="K32" s="694" t="s">
        <v>993</v>
      </c>
      <c r="L32" s="692" t="s">
        <v>994</v>
      </c>
      <c r="M32" s="690">
        <v>92</v>
      </c>
      <c r="N32" s="690" t="s">
        <v>995</v>
      </c>
      <c r="O32" s="693" t="s">
        <v>996</v>
      </c>
      <c r="P32" s="692" t="s">
        <v>997</v>
      </c>
      <c r="Q32" s="690">
        <v>124</v>
      </c>
      <c r="R32" s="690" t="s">
        <v>998</v>
      </c>
      <c r="S32" s="694" t="s">
        <v>999</v>
      </c>
    </row>
    <row r="33" customHeight="1" spans="1:19">
      <c r="A33" s="681" t="s">
        <v>1000</v>
      </c>
      <c r="B33" s="682">
        <v>29</v>
      </c>
      <c r="C33" s="682" t="s">
        <v>1001</v>
      </c>
      <c r="D33" s="682" t="s">
        <v>1002</v>
      </c>
      <c r="E33" s="682" t="s">
        <v>1003</v>
      </c>
      <c r="F33" s="681" t="s">
        <v>1004</v>
      </c>
      <c r="G33" s="679"/>
      <c r="H33" s="683" t="s">
        <v>1005</v>
      </c>
      <c r="I33" s="689">
        <v>61</v>
      </c>
      <c r="J33" s="690" t="s">
        <v>1006</v>
      </c>
      <c r="K33" s="694" t="s">
        <v>1007</v>
      </c>
      <c r="L33" s="692" t="s">
        <v>1008</v>
      </c>
      <c r="M33" s="690">
        <v>93</v>
      </c>
      <c r="N33" s="690" t="s">
        <v>1009</v>
      </c>
      <c r="O33" s="694" t="s">
        <v>1010</v>
      </c>
      <c r="P33" s="692" t="s">
        <v>1011</v>
      </c>
      <c r="Q33" s="690">
        <v>125</v>
      </c>
      <c r="R33" s="690" t="s">
        <v>1012</v>
      </c>
      <c r="S33" s="694" t="s">
        <v>1013</v>
      </c>
    </row>
    <row r="34" customHeight="1" spans="1:19">
      <c r="A34" s="681" t="s">
        <v>1014</v>
      </c>
      <c r="B34" s="682">
        <v>30</v>
      </c>
      <c r="C34" s="682" t="s">
        <v>1015</v>
      </c>
      <c r="D34" s="682" t="s">
        <v>1016</v>
      </c>
      <c r="E34" s="682" t="s">
        <v>1017</v>
      </c>
      <c r="F34" s="681" t="s">
        <v>1018</v>
      </c>
      <c r="G34" s="679"/>
      <c r="H34" s="683" t="s">
        <v>1019</v>
      </c>
      <c r="I34" s="689">
        <v>62</v>
      </c>
      <c r="J34" s="690" t="s">
        <v>1020</v>
      </c>
      <c r="K34" s="694" t="s">
        <v>1021</v>
      </c>
      <c r="L34" s="692" t="s">
        <v>1022</v>
      </c>
      <c r="M34" s="690">
        <v>94</v>
      </c>
      <c r="N34" s="690" t="s">
        <v>1023</v>
      </c>
      <c r="O34" s="694" t="s">
        <v>1024</v>
      </c>
      <c r="P34" s="695" t="s">
        <v>1025</v>
      </c>
      <c r="Q34" s="697">
        <v>126</v>
      </c>
      <c r="R34" s="697" t="s">
        <v>1026</v>
      </c>
      <c r="S34" s="700" t="s">
        <v>1027</v>
      </c>
    </row>
    <row r="35" customHeight="1" spans="1:19">
      <c r="A35" s="681" t="s">
        <v>1028</v>
      </c>
      <c r="B35" s="682">
        <v>31</v>
      </c>
      <c r="C35" s="682" t="s">
        <v>1029</v>
      </c>
      <c r="D35" s="682" t="s">
        <v>1030</v>
      </c>
      <c r="E35" s="682" t="s">
        <v>1031</v>
      </c>
      <c r="F35" s="681" t="s">
        <v>1032</v>
      </c>
      <c r="G35" s="679"/>
      <c r="H35" s="684" t="s">
        <v>1033</v>
      </c>
      <c r="I35" s="696">
        <v>63</v>
      </c>
      <c r="J35" s="697" t="s">
        <v>1034</v>
      </c>
      <c r="K35" s="698" t="s">
        <v>1035</v>
      </c>
      <c r="L35" s="695" t="s">
        <v>1036</v>
      </c>
      <c r="M35" s="697">
        <v>95</v>
      </c>
      <c r="N35" s="697" t="s">
        <v>1037</v>
      </c>
      <c r="O35" s="699" t="s">
        <v>1038</v>
      </c>
      <c r="P35" s="677"/>
      <c r="Q35" s="677"/>
      <c r="R35" s="677"/>
      <c r="S35" s="677"/>
    </row>
    <row r="36" customHeight="1" spans="1:19">
      <c r="A36" s="681" t="s">
        <v>1039</v>
      </c>
      <c r="B36" s="682">
        <v>127</v>
      </c>
      <c r="C36" s="682" t="s">
        <v>1040</v>
      </c>
      <c r="D36" s="682" t="s">
        <v>1041</v>
      </c>
      <c r="E36" s="682" t="s">
        <v>1042</v>
      </c>
      <c r="F36" s="681" t="s">
        <v>1043</v>
      </c>
      <c r="G36" s="679"/>
      <c r="H36" s="677"/>
      <c r="I36" s="677"/>
      <c r="J36" s="677"/>
      <c r="K36" s="677"/>
      <c r="L36" s="677"/>
      <c r="M36" s="677"/>
      <c r="N36" s="677"/>
      <c r="O36" s="677"/>
      <c r="P36" s="677"/>
      <c r="Q36" s="677"/>
      <c r="R36" s="677"/>
      <c r="S36" s="677"/>
    </row>
  </sheetData>
  <sheetProtection algorithmName="SHA-512" hashValue="Q0aHpk3XF8R6XvOuJfUIOxwj64jODrpq54CWOeTCZrPetAm46u55gEIR7zMaLJFz1lp7fnutOWDlfaloGCAQQw==" saltValue="CCGDHPdsK+wOAhgJg6CzAw==" spinCount="100000" sheet="1" selectLockedCells="1" selectUnlockedCells="1" objects="1" scenarios="1"/>
  <mergeCells count="2">
    <mergeCell ref="A1:F1"/>
    <mergeCell ref="G1:S1"/>
  </mergeCells>
  <pageMargins left="0.7" right="0.7" top="0.75" bottom="0.75" header="0.3" footer="0.3"/>
  <pageSetup paperSize="9"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rgb="FF008000"/>
  </sheetPr>
  <dimension ref="B1:S179"/>
  <sheetViews>
    <sheetView workbookViewId="0">
      <pane ySplit="1" topLeftCell="A137" activePane="bottomLeft" state="frozen"/>
      <selection/>
      <selection pane="bottomLeft" activeCell="K154" sqref="K154"/>
    </sheetView>
  </sheetViews>
  <sheetFormatPr defaultColWidth="9" defaultRowHeight="13.5"/>
  <cols>
    <col min="1" max="1" width="2.125" customWidth="1"/>
    <col min="2" max="2" width="1.75" customWidth="1"/>
    <col min="3" max="3" width="10.5" customWidth="1"/>
    <col min="7" max="7" width="21.125" customWidth="1"/>
    <col min="8" max="8" width="15" customWidth="1"/>
    <col min="9" max="9" width="10.5" customWidth="1"/>
    <col min="12" max="12" width="10.875" customWidth="1"/>
    <col min="13" max="13" width="10.5" customWidth="1"/>
    <col min="14" max="14" width="9.125" customWidth="1"/>
    <col min="15" max="15" width="10.625" customWidth="1"/>
    <col min="16" max="16" width="16.125" customWidth="1"/>
    <col min="18" max="18" width="11.625" customWidth="1"/>
    <col min="19" max="20" width="10.625" customWidth="1"/>
  </cols>
  <sheetData>
    <row r="1" ht="15.75" customHeight="1"/>
    <row r="2" spans="2:11">
      <c r="B2" s="575"/>
      <c r="C2" s="576"/>
      <c r="D2" s="576"/>
      <c r="E2" s="576"/>
      <c r="F2" s="576"/>
      <c r="G2" s="576"/>
      <c r="H2" s="576"/>
      <c r="I2" s="576"/>
      <c r="J2" s="576"/>
      <c r="K2" s="631"/>
    </row>
    <row r="3" spans="2:11">
      <c r="B3" s="577"/>
      <c r="C3" s="492"/>
      <c r="D3" s="492"/>
      <c r="E3" s="492"/>
      <c r="F3" s="492"/>
      <c r="G3" s="492"/>
      <c r="H3" s="492"/>
      <c r="I3" s="492"/>
      <c r="J3" s="492"/>
      <c r="K3" s="632"/>
    </row>
    <row r="4" spans="2:11">
      <c r="B4" s="577"/>
      <c r="C4" s="492"/>
      <c r="D4" s="492"/>
      <c r="E4" s="492"/>
      <c r="F4" s="492"/>
      <c r="G4" s="492"/>
      <c r="H4" s="492"/>
      <c r="I4" s="492"/>
      <c r="J4" s="492"/>
      <c r="K4" s="632"/>
    </row>
    <row r="5" spans="2:11">
      <c r="B5" s="577"/>
      <c r="C5" s="492"/>
      <c r="D5" s="492"/>
      <c r="E5" s="492"/>
      <c r="F5" s="492"/>
      <c r="G5" s="492"/>
      <c r="H5" s="492"/>
      <c r="I5" s="492"/>
      <c r="J5" s="492"/>
      <c r="K5" s="632"/>
    </row>
    <row r="6" spans="2:11">
      <c r="B6" s="577"/>
      <c r="C6" s="492"/>
      <c r="D6" s="492"/>
      <c r="E6" s="492"/>
      <c r="F6" s="492"/>
      <c r="G6" s="492"/>
      <c r="H6" s="578">
        <f>D11-G11</f>
        <v>3.24353840553331</v>
      </c>
      <c r="I6" s="492"/>
      <c r="J6" s="492"/>
      <c r="K6" s="632"/>
    </row>
    <row r="7" spans="2:14">
      <c r="B7" s="577"/>
      <c r="C7" s="492"/>
      <c r="D7" s="492"/>
      <c r="E7" s="492"/>
      <c r="F7" s="492"/>
      <c r="G7" s="492"/>
      <c r="H7" s="492"/>
      <c r="I7" s="492"/>
      <c r="J7" s="492"/>
      <c r="K7" s="632"/>
      <c r="N7" s="633"/>
    </row>
    <row r="8" ht="14.25" spans="2:11">
      <c r="B8" s="577"/>
      <c r="C8" s="492"/>
      <c r="D8" s="492"/>
      <c r="E8" s="492"/>
      <c r="F8" s="492"/>
      <c r="G8" s="492"/>
      <c r="H8" s="492"/>
      <c r="I8" s="492"/>
      <c r="J8" s="492"/>
      <c r="K8" s="632"/>
    </row>
    <row r="9" ht="14.25" spans="2:11">
      <c r="B9" s="577"/>
      <c r="C9" s="579" t="s">
        <v>1044</v>
      </c>
      <c r="D9" s="580"/>
      <c r="E9" s="580"/>
      <c r="F9" s="580"/>
      <c r="G9" s="580"/>
      <c r="H9" s="580"/>
      <c r="I9" s="580"/>
      <c r="J9" s="634"/>
      <c r="K9" s="632"/>
    </row>
    <row r="10" spans="2:11">
      <c r="B10" s="577"/>
      <c r="C10" s="581" t="s">
        <v>1045</v>
      </c>
      <c r="D10" s="582" t="s">
        <v>1046</v>
      </c>
      <c r="E10" s="582" t="s">
        <v>53</v>
      </c>
      <c r="F10" s="582" t="s">
        <v>54</v>
      </c>
      <c r="G10" s="583" t="s">
        <v>1047</v>
      </c>
      <c r="H10" s="583" t="s">
        <v>1048</v>
      </c>
      <c r="I10" s="583" t="s">
        <v>1049</v>
      </c>
      <c r="J10" s="635" t="s">
        <v>1050</v>
      </c>
      <c r="K10" s="632"/>
    </row>
    <row r="11" ht="18.75" spans="2:12">
      <c r="B11" s="577"/>
      <c r="C11" s="584">
        <v>1</v>
      </c>
      <c r="D11" s="585">
        <v>3.3</v>
      </c>
      <c r="E11" s="585">
        <v>27000</v>
      </c>
      <c r="F11" s="585">
        <v>470</v>
      </c>
      <c r="G11" s="586">
        <f>F11/(E11+F11)*D11</f>
        <v>0.0564615944666909</v>
      </c>
      <c r="H11" s="587">
        <f>D11/(E11+F11)</f>
        <v>0.000120131052056789</v>
      </c>
      <c r="I11" s="587">
        <f>H11^2*E11</f>
        <v>0.000389649681043317</v>
      </c>
      <c r="J11" s="636">
        <f>H11^2*F11</f>
        <v>6.78279074408737e-6</v>
      </c>
      <c r="K11" s="632"/>
      <c r="L11" s="637"/>
    </row>
    <row r="12" ht="18.75" spans="2:16">
      <c r="B12" s="577"/>
      <c r="C12" s="584">
        <v>2</v>
      </c>
      <c r="D12" s="585">
        <v>3.3</v>
      </c>
      <c r="E12" s="585">
        <v>13000</v>
      </c>
      <c r="F12" s="585">
        <v>620</v>
      </c>
      <c r="G12" s="586">
        <f>F12/(E12+F12)*D12</f>
        <v>0.150220264317181</v>
      </c>
      <c r="H12" s="587">
        <f>D12/(E12+F12)</f>
        <v>0.000242290748898678</v>
      </c>
      <c r="I12" s="587">
        <f>H12^2*E12</f>
        <v>0.000763162491024472</v>
      </c>
      <c r="J12" s="636">
        <f>H12^2*F12</f>
        <v>3.63969803411671e-5</v>
      </c>
      <c r="K12" s="632"/>
      <c r="L12" s="637"/>
      <c r="P12" s="638"/>
    </row>
    <row r="13" spans="2:14">
      <c r="B13" s="577"/>
      <c r="C13" s="584">
        <v>3</v>
      </c>
      <c r="D13" s="585">
        <v>3.3</v>
      </c>
      <c r="E13" s="585">
        <v>10</v>
      </c>
      <c r="F13" s="585">
        <v>9.1</v>
      </c>
      <c r="G13" s="586">
        <f>F13/(E13+F13)*D13</f>
        <v>1.57225130890052</v>
      </c>
      <c r="H13" s="587">
        <f>D13/(E13+F13)</f>
        <v>0.172774869109948</v>
      </c>
      <c r="I13" s="587">
        <f>H13^2*E13</f>
        <v>0.298511553959595</v>
      </c>
      <c r="J13" s="636">
        <f>H13^2*F13</f>
        <v>0.271645514103232</v>
      </c>
      <c r="K13" s="632"/>
      <c r="N13" s="633"/>
    </row>
    <row r="14" spans="2:11">
      <c r="B14" s="577"/>
      <c r="C14" s="584">
        <v>4</v>
      </c>
      <c r="D14" s="585">
        <v>5</v>
      </c>
      <c r="E14" s="585">
        <v>43</v>
      </c>
      <c r="F14" s="585">
        <v>2.4</v>
      </c>
      <c r="G14" s="586">
        <f>F14/(E14+F14)*D14</f>
        <v>0.26431718061674</v>
      </c>
      <c r="H14" s="587">
        <f>D14/(E14+F14)</f>
        <v>0.110132158590308</v>
      </c>
      <c r="I14" s="587">
        <f>H14^2*E14</f>
        <v>0.521550971297716</v>
      </c>
      <c r="J14" s="636">
        <f>H14^2*F14</f>
        <v>0.029109821653826</v>
      </c>
      <c r="K14" s="632"/>
    </row>
    <row r="15" ht="14.25" spans="2:12">
      <c r="B15" s="577"/>
      <c r="C15" s="588">
        <v>4</v>
      </c>
      <c r="D15" s="585">
        <v>1.05</v>
      </c>
      <c r="E15" s="585">
        <v>0</v>
      </c>
      <c r="F15" s="585">
        <v>3.3</v>
      </c>
      <c r="G15" s="589">
        <f>F15/(E15+F15)*D15</f>
        <v>1.05</v>
      </c>
      <c r="H15" s="590">
        <f>D15/(E15+F15)</f>
        <v>0.318181818181818</v>
      </c>
      <c r="I15" s="590">
        <f>H15^2*E15</f>
        <v>0</v>
      </c>
      <c r="J15" s="639">
        <f>H15^2*F15</f>
        <v>0.334090909090909</v>
      </c>
      <c r="K15" s="632"/>
      <c r="L15" s="640"/>
    </row>
    <row r="16" s="574" customFormat="1" spans="2:11">
      <c r="B16" s="591"/>
      <c r="C16" s="592"/>
      <c r="D16" s="592"/>
      <c r="E16" s="592"/>
      <c r="F16" s="592"/>
      <c r="G16" s="593"/>
      <c r="H16" s="593"/>
      <c r="I16" s="593"/>
      <c r="J16" s="593"/>
      <c r="K16" s="641"/>
    </row>
    <row r="17" s="574" customFormat="1" spans="2:11">
      <c r="B17" s="594"/>
      <c r="C17" s="595"/>
      <c r="D17" s="595"/>
      <c r="E17" s="595"/>
      <c r="F17" s="595"/>
      <c r="G17" s="596"/>
      <c r="H17" s="596"/>
      <c r="I17" s="596"/>
      <c r="J17" s="596"/>
      <c r="K17" s="594"/>
    </row>
    <row r="18" s="574" customFormat="1" spans="3:19">
      <c r="C18" s="597"/>
      <c r="D18" s="597"/>
      <c r="E18" s="597"/>
      <c r="F18" s="597"/>
      <c r="G18" s="596"/>
      <c r="H18" s="596"/>
      <c r="I18" s="596"/>
      <c r="J18" s="596"/>
      <c r="N18" s="642"/>
      <c r="S18"/>
    </row>
    <row r="19" ht="14.25" spans="2:17">
      <c r="B19" s="575"/>
      <c r="C19" s="576"/>
      <c r="D19" s="576"/>
      <c r="E19" s="576"/>
      <c r="F19" s="576"/>
      <c r="G19" s="576"/>
      <c r="H19" s="576"/>
      <c r="I19" s="576"/>
      <c r="J19" s="576"/>
      <c r="K19" s="631"/>
      <c r="P19" s="574"/>
      <c r="Q19" s="574"/>
    </row>
    <row r="20" spans="2:17">
      <c r="B20" s="577"/>
      <c r="C20" s="598" t="s">
        <v>1051</v>
      </c>
      <c r="D20" s="599"/>
      <c r="E20" s="599"/>
      <c r="F20" s="599"/>
      <c r="G20" s="599"/>
      <c r="H20" s="599"/>
      <c r="I20" s="599"/>
      <c r="J20" s="643"/>
      <c r="K20" s="632"/>
      <c r="L20" s="492"/>
      <c r="P20" s="644"/>
      <c r="Q20" s="574"/>
    </row>
    <row r="21" spans="2:12">
      <c r="B21" s="577"/>
      <c r="C21" s="600" t="s">
        <v>1052</v>
      </c>
      <c r="D21" s="601" t="s">
        <v>1053</v>
      </c>
      <c r="E21" s="582" t="s">
        <v>1054</v>
      </c>
      <c r="F21" s="582" t="s">
        <v>1055</v>
      </c>
      <c r="G21" s="582" t="s">
        <v>1056</v>
      </c>
      <c r="H21" s="582" t="s">
        <v>1057</v>
      </c>
      <c r="I21" s="582" t="s">
        <v>1058</v>
      </c>
      <c r="J21" s="645" t="s">
        <v>1059</v>
      </c>
      <c r="K21" s="645" t="s">
        <v>1059</v>
      </c>
      <c r="L21" s="609"/>
    </row>
    <row r="22" spans="2:12">
      <c r="B22" s="577"/>
      <c r="C22" s="602">
        <f>G11</f>
        <v>0.0564615944666909</v>
      </c>
      <c r="D22" s="585">
        <v>1</v>
      </c>
      <c r="E22" s="585">
        <v>1</v>
      </c>
      <c r="F22" s="603">
        <v>3.3</v>
      </c>
      <c r="G22" s="603">
        <v>12</v>
      </c>
      <c r="H22" s="604">
        <f t="shared" ref="H22:H27" si="0">C22/D22</f>
        <v>0.0564615944666909</v>
      </c>
      <c r="I22" s="646">
        <f t="shared" ref="I22:I27" si="1">F22/(2^G22-1)</f>
        <v>0.000805860805860806</v>
      </c>
      <c r="J22" s="636">
        <f>H22/(F22/(2^G22-1))</f>
        <v>70.0637058609392</v>
      </c>
      <c r="K22" s="636">
        <f>TRUNC(J22,0)</f>
        <v>70</v>
      </c>
      <c r="L22" s="609"/>
    </row>
    <row r="23" spans="2:12">
      <c r="B23" s="577"/>
      <c r="C23" s="602">
        <v>1</v>
      </c>
      <c r="D23" s="585">
        <v>1</v>
      </c>
      <c r="E23" s="585">
        <v>2</v>
      </c>
      <c r="F23" s="603">
        <v>3.3</v>
      </c>
      <c r="G23" s="603">
        <v>12</v>
      </c>
      <c r="H23" s="604">
        <f t="shared" si="0"/>
        <v>1</v>
      </c>
      <c r="I23" s="646">
        <f t="shared" si="1"/>
        <v>0.000805860805860806</v>
      </c>
      <c r="J23" s="636">
        <f t="shared" ref="J23:J26" si="2">H23/(F23/(2^G23-1))</f>
        <v>1240.90909090909</v>
      </c>
      <c r="K23" s="636">
        <f t="shared" ref="K23:K27" si="3">TRUNC(J23,0)</f>
        <v>1240</v>
      </c>
      <c r="L23" s="609"/>
    </row>
    <row r="24" spans="2:12">
      <c r="B24" s="577"/>
      <c r="C24" s="602">
        <v>4.5</v>
      </c>
      <c r="D24" s="585">
        <v>4</v>
      </c>
      <c r="E24" s="585">
        <v>3</v>
      </c>
      <c r="F24" s="603">
        <v>3.3</v>
      </c>
      <c r="G24" s="603">
        <v>12</v>
      </c>
      <c r="H24" s="604">
        <f t="shared" si="0"/>
        <v>1.125</v>
      </c>
      <c r="I24" s="646">
        <f t="shared" si="1"/>
        <v>0.000805860805860806</v>
      </c>
      <c r="J24" s="636">
        <f t="shared" si="2"/>
        <v>1396.02272727273</v>
      </c>
      <c r="K24" s="636">
        <f t="shared" si="3"/>
        <v>1396</v>
      </c>
      <c r="L24" s="609"/>
    </row>
    <row r="25" spans="2:15">
      <c r="B25" s="577"/>
      <c r="C25" s="602">
        <v>5.5</v>
      </c>
      <c r="D25" s="585">
        <v>4</v>
      </c>
      <c r="E25" s="585">
        <v>4</v>
      </c>
      <c r="F25" s="603">
        <v>3.3</v>
      </c>
      <c r="G25" s="603">
        <v>12</v>
      </c>
      <c r="H25" s="604">
        <f t="shared" si="0"/>
        <v>1.375</v>
      </c>
      <c r="I25" s="646">
        <f t="shared" si="1"/>
        <v>0.000805860805860806</v>
      </c>
      <c r="J25" s="636">
        <f t="shared" si="2"/>
        <v>1706.25</v>
      </c>
      <c r="K25" s="636">
        <f t="shared" si="3"/>
        <v>1706</v>
      </c>
      <c r="L25" s="609"/>
      <c r="O25" s="647"/>
    </row>
    <row r="26" ht="14.25" spans="2:15">
      <c r="B26" s="577"/>
      <c r="C26" s="602">
        <v>6</v>
      </c>
      <c r="D26" s="585">
        <v>4</v>
      </c>
      <c r="E26" s="605">
        <v>5</v>
      </c>
      <c r="F26" s="603">
        <v>3.3</v>
      </c>
      <c r="G26" s="606">
        <v>12</v>
      </c>
      <c r="H26" s="607">
        <f t="shared" si="0"/>
        <v>1.5</v>
      </c>
      <c r="I26" s="648">
        <f t="shared" si="1"/>
        <v>0.000805860805860806</v>
      </c>
      <c r="J26" s="636">
        <f t="shared" si="2"/>
        <v>1861.36363636364</v>
      </c>
      <c r="K26" s="636">
        <f t="shared" si="3"/>
        <v>1861</v>
      </c>
      <c r="L26" s="609"/>
      <c r="M26" s="649"/>
      <c r="N26" s="650"/>
      <c r="O26" s="650"/>
    </row>
    <row r="27" ht="14.25" spans="2:15">
      <c r="B27" s="608"/>
      <c r="C27" s="602">
        <v>6.5</v>
      </c>
      <c r="D27" s="585">
        <v>4</v>
      </c>
      <c r="E27" s="605">
        <v>5</v>
      </c>
      <c r="F27" s="603">
        <v>3.3</v>
      </c>
      <c r="G27" s="606">
        <v>12</v>
      </c>
      <c r="H27" s="607">
        <f t="shared" si="0"/>
        <v>1.625</v>
      </c>
      <c r="I27" s="648">
        <f t="shared" si="1"/>
        <v>0.000805860805860806</v>
      </c>
      <c r="J27" s="636">
        <f t="shared" ref="J27" si="4">H27/(F27/(2^G27-1))</f>
        <v>2016.47727272727</v>
      </c>
      <c r="K27" s="636">
        <f t="shared" si="3"/>
        <v>2016</v>
      </c>
      <c r="L27" s="609"/>
      <c r="N27" s="491"/>
      <c r="O27" s="491"/>
    </row>
    <row r="28" spans="3:10">
      <c r="C28" s="609"/>
      <c r="D28" s="595"/>
      <c r="E28" s="595"/>
      <c r="F28" s="610"/>
      <c r="G28" s="610"/>
      <c r="H28" s="611"/>
      <c r="I28" s="596"/>
      <c r="J28" s="596"/>
    </row>
    <row r="30" spans="2:18">
      <c r="B30" s="575"/>
      <c r="C30" s="576"/>
      <c r="D30" s="576"/>
      <c r="E30" s="576"/>
      <c r="F30" s="576"/>
      <c r="G30" s="576"/>
      <c r="H30" s="576"/>
      <c r="I30" s="576"/>
      <c r="J30" s="576"/>
      <c r="K30" s="631"/>
      <c r="R30" s="493"/>
    </row>
    <row r="31" ht="14.25" spans="2:11">
      <c r="B31" s="577"/>
      <c r="C31" s="492"/>
      <c r="D31" s="492"/>
      <c r="E31" s="492"/>
      <c r="F31" s="492"/>
      <c r="G31" s="492"/>
      <c r="H31" s="492"/>
      <c r="I31" s="492"/>
      <c r="J31" s="492"/>
      <c r="K31" s="632"/>
    </row>
    <row r="32" ht="14.25" spans="2:11">
      <c r="B32" s="577"/>
      <c r="C32" s="492"/>
      <c r="D32" s="492"/>
      <c r="E32" s="492"/>
      <c r="F32" s="612" t="s">
        <v>1060</v>
      </c>
      <c r="G32" s="613"/>
      <c r="H32" s="613"/>
      <c r="I32" s="613"/>
      <c r="J32" s="651"/>
      <c r="K32" s="632"/>
    </row>
    <row r="33" spans="2:11">
      <c r="B33" s="577"/>
      <c r="C33" s="492"/>
      <c r="D33" s="492"/>
      <c r="E33" s="492"/>
      <c r="F33" s="614" t="s">
        <v>1061</v>
      </c>
      <c r="G33" s="615" t="s">
        <v>1062</v>
      </c>
      <c r="H33" s="615" t="s">
        <v>114</v>
      </c>
      <c r="I33" s="652" t="s">
        <v>1063</v>
      </c>
      <c r="J33" s="653" t="s">
        <v>1047</v>
      </c>
      <c r="K33" s="632"/>
    </row>
    <row r="34" spans="2:11">
      <c r="B34" s="577"/>
      <c r="C34" s="492"/>
      <c r="D34" s="492"/>
      <c r="E34" s="492"/>
      <c r="F34" s="616">
        <v>20</v>
      </c>
      <c r="G34" s="617">
        <v>33</v>
      </c>
      <c r="H34" s="617">
        <v>1.25</v>
      </c>
      <c r="I34" s="624">
        <v>0</v>
      </c>
      <c r="J34" s="654">
        <f t="shared" ref="J34:J39" si="5">(1+G34/F34)*H34+(I34/1000000)*G34</f>
        <v>3.3125</v>
      </c>
      <c r="K34" s="632"/>
    </row>
    <row r="35" spans="2:11">
      <c r="B35" s="577"/>
      <c r="C35" s="492"/>
      <c r="D35" s="492"/>
      <c r="E35" s="492"/>
      <c r="F35" s="616">
        <v>20</v>
      </c>
      <c r="G35" s="617">
        <v>30</v>
      </c>
      <c r="H35" s="617">
        <v>1.25</v>
      </c>
      <c r="I35" s="624">
        <v>0</v>
      </c>
      <c r="J35" s="654">
        <f t="shared" si="5"/>
        <v>3.125</v>
      </c>
      <c r="K35" s="632"/>
    </row>
    <row r="36" spans="2:11">
      <c r="B36" s="577"/>
      <c r="C36" s="492"/>
      <c r="D36" s="492"/>
      <c r="E36" s="492"/>
      <c r="F36" s="616">
        <v>330</v>
      </c>
      <c r="G36" s="617">
        <v>3900</v>
      </c>
      <c r="H36" s="617">
        <v>1.25</v>
      </c>
      <c r="I36" s="624">
        <v>0</v>
      </c>
      <c r="J36" s="654">
        <f t="shared" si="5"/>
        <v>16.0227272727273</v>
      </c>
      <c r="K36" s="632"/>
    </row>
    <row r="37" spans="2:11">
      <c r="B37" s="577"/>
      <c r="C37" s="492"/>
      <c r="D37" s="492"/>
      <c r="E37" s="492"/>
      <c r="F37" s="616">
        <v>330</v>
      </c>
      <c r="G37" s="617">
        <v>4300</v>
      </c>
      <c r="H37" s="617">
        <v>1.25</v>
      </c>
      <c r="I37" s="624">
        <v>0</v>
      </c>
      <c r="J37" s="654">
        <f t="shared" si="5"/>
        <v>17.5378787878788</v>
      </c>
      <c r="K37" s="632"/>
    </row>
    <row r="38" spans="2:11">
      <c r="B38" s="577"/>
      <c r="C38" s="492"/>
      <c r="D38" s="492"/>
      <c r="E38" s="492"/>
      <c r="F38" s="616">
        <v>330</v>
      </c>
      <c r="G38" s="617">
        <v>1000</v>
      </c>
      <c r="H38" s="617">
        <v>1.25</v>
      </c>
      <c r="I38" s="624">
        <v>0</v>
      </c>
      <c r="J38" s="654">
        <f t="shared" si="5"/>
        <v>5.03787878787879</v>
      </c>
      <c r="K38" s="632"/>
    </row>
    <row r="39" ht="14.25" spans="2:11">
      <c r="B39" s="577"/>
      <c r="C39" s="492"/>
      <c r="D39" s="492"/>
      <c r="E39" s="492"/>
      <c r="F39" s="616">
        <v>210</v>
      </c>
      <c r="G39" s="618">
        <v>40</v>
      </c>
      <c r="H39" s="617">
        <v>1.25</v>
      </c>
      <c r="I39" s="655">
        <v>0</v>
      </c>
      <c r="J39" s="654">
        <f t="shared" si="5"/>
        <v>1.48809523809524</v>
      </c>
      <c r="K39" s="632"/>
    </row>
    <row r="40" spans="2:11">
      <c r="B40" s="577"/>
      <c r="C40" s="492"/>
      <c r="D40" s="492"/>
      <c r="E40" s="492"/>
      <c r="F40" s="492"/>
      <c r="G40" s="492"/>
      <c r="H40" s="492"/>
      <c r="I40" s="492"/>
      <c r="J40" s="492"/>
      <c r="K40" s="632"/>
    </row>
    <row r="41" spans="2:11">
      <c r="B41" s="577"/>
      <c r="C41" s="492"/>
      <c r="D41" s="492"/>
      <c r="E41" s="492"/>
      <c r="F41" s="492"/>
      <c r="G41" s="492"/>
      <c r="H41" s="492"/>
      <c r="I41" s="492"/>
      <c r="J41" s="492"/>
      <c r="K41" s="632"/>
    </row>
    <row r="42" spans="2:11">
      <c r="B42" s="577"/>
      <c r="C42" s="492"/>
      <c r="D42" s="492"/>
      <c r="E42" s="492"/>
      <c r="F42" s="492"/>
      <c r="G42" s="492"/>
      <c r="H42" s="492"/>
      <c r="I42" s="492"/>
      <c r="J42" s="492"/>
      <c r="K42" s="632"/>
    </row>
    <row r="43" spans="2:11">
      <c r="B43" s="608"/>
      <c r="C43" s="619"/>
      <c r="D43" s="619"/>
      <c r="E43" s="619"/>
      <c r="F43" s="619"/>
      <c r="G43" s="619"/>
      <c r="H43" s="619"/>
      <c r="I43" s="619"/>
      <c r="J43" s="619"/>
      <c r="K43" s="656"/>
    </row>
    <row r="46" spans="2:16">
      <c r="B46" s="575"/>
      <c r="C46" s="576"/>
      <c r="D46" s="576"/>
      <c r="E46" s="576"/>
      <c r="F46" s="576"/>
      <c r="G46" s="576"/>
      <c r="H46" s="576"/>
      <c r="I46" s="576"/>
      <c r="J46" s="576"/>
      <c r="K46" s="576"/>
      <c r="L46" s="576"/>
      <c r="M46" s="576"/>
      <c r="N46" s="576"/>
      <c r="O46" s="576"/>
      <c r="P46" s="631"/>
    </row>
    <row r="47" spans="2:16">
      <c r="B47" s="577"/>
      <c r="C47" s="492"/>
      <c r="D47" s="492"/>
      <c r="E47" s="492"/>
      <c r="F47" s="492"/>
      <c r="G47" s="492"/>
      <c r="H47" s="492"/>
      <c r="I47" s="492"/>
      <c r="J47" s="492"/>
      <c r="K47" s="492"/>
      <c r="L47" s="492"/>
      <c r="M47" s="492"/>
      <c r="N47" s="492"/>
      <c r="O47" s="492"/>
      <c r="P47" s="632"/>
    </row>
    <row r="48" spans="2:16">
      <c r="B48" s="577"/>
      <c r="C48" s="492"/>
      <c r="D48" s="492"/>
      <c r="E48" s="492"/>
      <c r="F48" s="492"/>
      <c r="G48" s="492"/>
      <c r="H48" s="492"/>
      <c r="I48" s="492"/>
      <c r="J48" s="492"/>
      <c r="K48" s="492"/>
      <c r="L48" s="492"/>
      <c r="M48" s="492"/>
      <c r="N48" s="492"/>
      <c r="O48" s="492"/>
      <c r="P48" s="632"/>
    </row>
    <row r="49" spans="2:16">
      <c r="B49" s="577"/>
      <c r="C49" s="492"/>
      <c r="D49" s="492"/>
      <c r="E49" s="492"/>
      <c r="F49" s="492"/>
      <c r="G49" s="492"/>
      <c r="H49" s="492"/>
      <c r="I49" s="492"/>
      <c r="J49" s="492"/>
      <c r="K49" s="492"/>
      <c r="L49" s="492"/>
      <c r="M49" s="492"/>
      <c r="N49" s="492"/>
      <c r="O49" s="492"/>
      <c r="P49" s="632"/>
    </row>
    <row r="50" spans="2:16">
      <c r="B50" s="577"/>
      <c r="C50" s="492"/>
      <c r="D50" s="492"/>
      <c r="E50" s="492"/>
      <c r="F50" s="492"/>
      <c r="G50" s="492"/>
      <c r="H50" s="492"/>
      <c r="I50" s="492"/>
      <c r="J50" s="492"/>
      <c r="K50" s="492"/>
      <c r="L50" s="492"/>
      <c r="M50" s="492"/>
      <c r="N50" s="492"/>
      <c r="O50" s="492"/>
      <c r="P50" s="632"/>
    </row>
    <row r="51" spans="2:16">
      <c r="B51" s="577"/>
      <c r="C51" s="492"/>
      <c r="D51" s="492"/>
      <c r="E51" s="492"/>
      <c r="F51" s="492"/>
      <c r="G51" s="492"/>
      <c r="H51" s="492"/>
      <c r="I51" s="492"/>
      <c r="J51" s="492"/>
      <c r="K51" s="492"/>
      <c r="L51" s="492"/>
      <c r="M51" s="492"/>
      <c r="N51" s="492"/>
      <c r="O51" s="492"/>
      <c r="P51" s="632"/>
    </row>
    <row r="52" spans="2:16">
      <c r="B52" s="577"/>
      <c r="C52" s="492"/>
      <c r="D52" s="492"/>
      <c r="E52" s="492"/>
      <c r="F52" s="492"/>
      <c r="G52" s="492"/>
      <c r="H52" s="492"/>
      <c r="I52" s="492"/>
      <c r="J52" s="492"/>
      <c r="K52" s="492"/>
      <c r="L52" s="492"/>
      <c r="M52" s="492"/>
      <c r="N52" s="492"/>
      <c r="O52" s="492"/>
      <c r="P52" s="632"/>
    </row>
    <row r="53" spans="2:16">
      <c r="B53" s="577"/>
      <c r="C53" s="492"/>
      <c r="D53" s="492"/>
      <c r="E53" s="492"/>
      <c r="F53" s="492"/>
      <c r="G53" s="492"/>
      <c r="H53" s="492"/>
      <c r="I53" s="492"/>
      <c r="J53" s="492"/>
      <c r="K53" s="492"/>
      <c r="L53" s="492"/>
      <c r="M53" s="492"/>
      <c r="N53" s="492"/>
      <c r="O53" s="492"/>
      <c r="P53" s="632"/>
    </row>
    <row r="54" spans="2:16">
      <c r="B54" s="577"/>
      <c r="C54" s="492"/>
      <c r="D54" s="492"/>
      <c r="E54" s="492"/>
      <c r="F54" s="492"/>
      <c r="G54" s="492"/>
      <c r="H54" s="492"/>
      <c r="I54" s="492"/>
      <c r="J54" s="492"/>
      <c r="K54" s="492"/>
      <c r="L54" s="492"/>
      <c r="M54" s="492"/>
      <c r="N54" s="492"/>
      <c r="O54" s="492"/>
      <c r="P54" s="632"/>
    </row>
    <row r="55" spans="2:16">
      <c r="B55" s="577"/>
      <c r="C55" s="492"/>
      <c r="D55" s="492"/>
      <c r="E55" s="492"/>
      <c r="F55" s="492"/>
      <c r="G55" s="492"/>
      <c r="H55" s="492"/>
      <c r="I55" s="492"/>
      <c r="J55" s="492"/>
      <c r="K55" s="492"/>
      <c r="L55" s="492"/>
      <c r="M55" s="492"/>
      <c r="N55" s="492"/>
      <c r="O55" s="492"/>
      <c r="P55" s="632"/>
    </row>
    <row r="56" spans="2:16">
      <c r="B56" s="577"/>
      <c r="C56" s="492"/>
      <c r="D56" s="492"/>
      <c r="E56" s="492"/>
      <c r="F56" s="492"/>
      <c r="G56" s="492"/>
      <c r="H56" s="492"/>
      <c r="I56" s="492"/>
      <c r="J56" s="492"/>
      <c r="K56" s="492"/>
      <c r="L56" s="492"/>
      <c r="M56" s="492"/>
      <c r="N56" s="492"/>
      <c r="O56" s="492"/>
      <c r="P56" s="632"/>
    </row>
    <row r="57" spans="2:16">
      <c r="B57" s="577"/>
      <c r="C57" s="492"/>
      <c r="D57" s="492"/>
      <c r="E57" s="492"/>
      <c r="F57" s="492"/>
      <c r="G57" s="492"/>
      <c r="H57" s="492"/>
      <c r="I57" s="492"/>
      <c r="J57" s="492"/>
      <c r="K57" s="492"/>
      <c r="L57" s="492"/>
      <c r="M57" s="492"/>
      <c r="N57" s="492"/>
      <c r="O57" s="492"/>
      <c r="P57" s="632"/>
    </row>
    <row r="58" spans="2:16">
      <c r="B58" s="577"/>
      <c r="C58" s="492"/>
      <c r="D58" s="492"/>
      <c r="E58" s="492"/>
      <c r="F58" s="492"/>
      <c r="G58" s="492"/>
      <c r="H58" s="492"/>
      <c r="I58" s="492"/>
      <c r="J58" s="492"/>
      <c r="K58" s="492"/>
      <c r="L58" s="492"/>
      <c r="M58" s="492"/>
      <c r="N58" s="492"/>
      <c r="O58" s="492"/>
      <c r="P58" s="632"/>
    </row>
    <row r="59" ht="14.25" spans="2:16">
      <c r="B59" s="577"/>
      <c r="C59" s="492"/>
      <c r="D59" s="492"/>
      <c r="E59" s="492"/>
      <c r="F59" s="492"/>
      <c r="G59" s="492"/>
      <c r="H59" s="492"/>
      <c r="I59" s="492"/>
      <c r="J59" s="492"/>
      <c r="K59" s="492"/>
      <c r="L59" s="492"/>
      <c r="M59" s="492"/>
      <c r="N59" s="492"/>
      <c r="O59" s="492"/>
      <c r="P59" s="632"/>
    </row>
    <row r="60" spans="2:16">
      <c r="B60" s="577"/>
      <c r="C60" s="620" t="s">
        <v>1064</v>
      </c>
      <c r="D60" s="621"/>
      <c r="E60" s="621"/>
      <c r="F60" s="622"/>
      <c r="G60" s="492"/>
      <c r="H60" s="492"/>
      <c r="I60" s="492"/>
      <c r="J60" s="492"/>
      <c r="K60" s="492"/>
      <c r="L60" s="492"/>
      <c r="M60" s="492"/>
      <c r="N60" s="492"/>
      <c r="O60" s="492"/>
      <c r="P60" s="632"/>
    </row>
    <row r="61" spans="2:16">
      <c r="B61" s="577"/>
      <c r="C61" s="623" t="s">
        <v>1065</v>
      </c>
      <c r="D61" s="624"/>
      <c r="E61" s="492"/>
      <c r="F61" s="625"/>
      <c r="G61" s="492"/>
      <c r="H61" s="492"/>
      <c r="I61" s="492"/>
      <c r="J61" s="492"/>
      <c r="K61" s="492"/>
      <c r="L61" s="492"/>
      <c r="M61" s="492"/>
      <c r="N61" s="492"/>
      <c r="O61" s="492"/>
      <c r="P61" s="632"/>
    </row>
    <row r="62" spans="2:16">
      <c r="B62" s="577"/>
      <c r="C62" s="623" t="s">
        <v>1066</v>
      </c>
      <c r="D62" s="626">
        <v>39</v>
      </c>
      <c r="E62" s="492"/>
      <c r="F62" s="625"/>
      <c r="G62" s="492"/>
      <c r="H62" s="492"/>
      <c r="I62" s="492"/>
      <c r="J62" s="492"/>
      <c r="K62" s="492"/>
      <c r="L62" s="492"/>
      <c r="M62" s="492"/>
      <c r="N62" s="492"/>
      <c r="O62" s="492"/>
      <c r="P62" s="632"/>
    </row>
    <row r="63" spans="2:16">
      <c r="B63" s="577"/>
      <c r="C63" s="623"/>
      <c r="D63" s="626">
        <v>0.6</v>
      </c>
      <c r="E63" s="492"/>
      <c r="F63" s="625"/>
      <c r="G63" s="492"/>
      <c r="H63" s="492"/>
      <c r="I63" s="492"/>
      <c r="J63" s="492"/>
      <c r="K63" s="492"/>
      <c r="L63" s="492"/>
      <c r="M63" s="492"/>
      <c r="N63" s="492"/>
      <c r="O63" s="492"/>
      <c r="P63" s="632"/>
    </row>
    <row r="64" ht="14.25" spans="2:16">
      <c r="B64" s="577"/>
      <c r="C64" s="627" t="s">
        <v>1067</v>
      </c>
      <c r="D64" s="628">
        <f>D63/D62</f>
        <v>0.0153846153846154</v>
      </c>
      <c r="E64" s="629"/>
      <c r="F64" s="630"/>
      <c r="G64" s="492"/>
      <c r="H64" s="492"/>
      <c r="I64" s="492"/>
      <c r="J64" s="492"/>
      <c r="K64" s="492"/>
      <c r="L64" s="492"/>
      <c r="M64" s="492"/>
      <c r="N64" s="492"/>
      <c r="O64" s="492"/>
      <c r="P64" s="632"/>
    </row>
    <row r="65" spans="2:16">
      <c r="B65" s="608"/>
      <c r="C65" s="619"/>
      <c r="D65" s="619"/>
      <c r="E65" s="619"/>
      <c r="F65" s="619"/>
      <c r="G65" s="619"/>
      <c r="H65" s="619"/>
      <c r="I65" s="619"/>
      <c r="J65" s="619"/>
      <c r="K65" s="619"/>
      <c r="L65" s="619"/>
      <c r="M65" s="619"/>
      <c r="N65" s="619"/>
      <c r="O65" s="619"/>
      <c r="P65" s="656"/>
    </row>
    <row r="68" spans="2:16">
      <c r="B68" s="575"/>
      <c r="C68" s="576"/>
      <c r="D68" s="576"/>
      <c r="E68" s="576"/>
      <c r="F68" s="576"/>
      <c r="G68" s="576"/>
      <c r="H68" s="576"/>
      <c r="I68" s="576"/>
      <c r="J68" s="576"/>
      <c r="K68" s="576"/>
      <c r="L68" s="576"/>
      <c r="M68" s="576"/>
      <c r="N68" s="576"/>
      <c r="O68" s="576"/>
      <c r="P68" s="631"/>
    </row>
    <row r="69" spans="2:16">
      <c r="B69" s="577"/>
      <c r="C69" s="492"/>
      <c r="D69" s="492"/>
      <c r="E69" s="492"/>
      <c r="F69" s="492"/>
      <c r="G69" s="492"/>
      <c r="H69" s="492"/>
      <c r="I69" s="492"/>
      <c r="J69" s="492"/>
      <c r="K69" s="492"/>
      <c r="L69" s="492"/>
      <c r="M69" s="492"/>
      <c r="N69" s="492"/>
      <c r="O69" s="492"/>
      <c r="P69" s="632"/>
    </row>
    <row r="70" spans="2:16">
      <c r="B70" s="577"/>
      <c r="C70" s="492"/>
      <c r="D70" s="492"/>
      <c r="E70" s="492"/>
      <c r="F70" s="492"/>
      <c r="G70" s="492"/>
      <c r="H70" s="492"/>
      <c r="I70" s="492"/>
      <c r="J70" s="492"/>
      <c r="K70" s="492"/>
      <c r="L70" s="492"/>
      <c r="M70" s="492"/>
      <c r="N70" s="492"/>
      <c r="O70" s="492"/>
      <c r="P70" s="632"/>
    </row>
    <row r="71" spans="2:16">
      <c r="B71" s="577"/>
      <c r="C71" s="492"/>
      <c r="D71" s="492"/>
      <c r="E71" s="492"/>
      <c r="F71" s="492"/>
      <c r="G71" s="492"/>
      <c r="H71" s="492"/>
      <c r="I71" s="492"/>
      <c r="J71" s="492"/>
      <c r="K71" s="492"/>
      <c r="L71" s="492"/>
      <c r="M71" s="492"/>
      <c r="N71" s="492"/>
      <c r="O71" s="492"/>
      <c r="P71" s="632"/>
    </row>
    <row r="72" spans="2:16">
      <c r="B72" s="577"/>
      <c r="C72" s="492"/>
      <c r="D72" s="492"/>
      <c r="E72" s="492"/>
      <c r="F72" s="492"/>
      <c r="G72" s="492"/>
      <c r="H72" s="492"/>
      <c r="I72" s="492"/>
      <c r="J72" s="492"/>
      <c r="K72" s="492"/>
      <c r="L72" s="492"/>
      <c r="M72" s="492"/>
      <c r="N72" s="492"/>
      <c r="O72" s="492"/>
      <c r="P72" s="632"/>
    </row>
    <row r="73" spans="2:16">
      <c r="B73" s="577"/>
      <c r="C73" s="492"/>
      <c r="D73" s="492"/>
      <c r="E73" s="492"/>
      <c r="F73" s="492"/>
      <c r="G73" s="492"/>
      <c r="H73" s="492"/>
      <c r="I73" s="492"/>
      <c r="J73" s="492"/>
      <c r="K73" s="492"/>
      <c r="L73" s="492"/>
      <c r="M73" s="492"/>
      <c r="N73" s="492"/>
      <c r="O73" s="492"/>
      <c r="P73" s="632"/>
    </row>
    <row r="74" spans="2:16">
      <c r="B74" s="577"/>
      <c r="C74" s="492"/>
      <c r="D74" s="492"/>
      <c r="E74" s="492"/>
      <c r="F74" s="492"/>
      <c r="G74" s="492"/>
      <c r="H74" s="492"/>
      <c r="I74" s="492"/>
      <c r="J74" s="492"/>
      <c r="K74" s="492"/>
      <c r="L74" s="492"/>
      <c r="M74" s="492"/>
      <c r="N74" s="492"/>
      <c r="O74" s="492"/>
      <c r="P74" s="632"/>
    </row>
    <row r="75" spans="2:16">
      <c r="B75" s="577"/>
      <c r="C75" s="492"/>
      <c r="D75" s="492"/>
      <c r="E75" s="492"/>
      <c r="F75" s="492"/>
      <c r="G75" s="492"/>
      <c r="H75" s="492"/>
      <c r="I75" s="492"/>
      <c r="J75" s="492"/>
      <c r="K75" s="492"/>
      <c r="L75" s="492"/>
      <c r="M75" s="492"/>
      <c r="N75" s="492"/>
      <c r="O75" s="492"/>
      <c r="P75" s="632"/>
    </row>
    <row r="76" spans="2:19">
      <c r="B76" s="577"/>
      <c r="C76" s="492"/>
      <c r="D76" s="492"/>
      <c r="E76" s="492"/>
      <c r="F76" s="492"/>
      <c r="G76" s="492"/>
      <c r="H76" s="492"/>
      <c r="I76" s="492"/>
      <c r="J76" s="492"/>
      <c r="K76" s="492"/>
      <c r="L76" s="492"/>
      <c r="M76" s="492"/>
      <c r="N76" s="492"/>
      <c r="O76" s="492"/>
      <c r="P76" s="632"/>
      <c r="Q76" s="492"/>
      <c r="R76" s="492"/>
      <c r="S76" s="492"/>
    </row>
    <row r="77" spans="2:19">
      <c r="B77" s="577"/>
      <c r="C77" s="492"/>
      <c r="D77" s="492"/>
      <c r="E77" s="492"/>
      <c r="F77" s="492"/>
      <c r="G77" s="492"/>
      <c r="H77" s="492"/>
      <c r="I77" s="492"/>
      <c r="J77" s="492"/>
      <c r="K77" s="492"/>
      <c r="L77" s="492"/>
      <c r="M77" s="492"/>
      <c r="N77" s="492"/>
      <c r="O77" s="492"/>
      <c r="P77" s="632"/>
      <c r="Q77" s="492"/>
      <c r="R77" s="492"/>
      <c r="S77" s="492"/>
    </row>
    <row r="78" spans="2:16">
      <c r="B78" s="577"/>
      <c r="C78" s="492"/>
      <c r="D78" s="492"/>
      <c r="E78" s="492"/>
      <c r="F78" s="492"/>
      <c r="G78" s="492"/>
      <c r="H78" s="492"/>
      <c r="I78" s="492"/>
      <c r="J78" s="492"/>
      <c r="K78" s="492"/>
      <c r="L78" s="492"/>
      <c r="M78" s="492"/>
      <c r="N78" s="492"/>
      <c r="O78" s="492"/>
      <c r="P78" s="632"/>
    </row>
    <row r="79" spans="2:16">
      <c r="B79" s="577"/>
      <c r="C79" s="492"/>
      <c r="D79" s="492"/>
      <c r="E79" s="492"/>
      <c r="F79" s="492"/>
      <c r="G79" s="492"/>
      <c r="H79" s="492"/>
      <c r="I79" s="492"/>
      <c r="J79" s="492"/>
      <c r="K79" s="492"/>
      <c r="L79" s="492"/>
      <c r="M79" s="492"/>
      <c r="N79" s="492"/>
      <c r="O79" s="492"/>
      <c r="P79" s="632"/>
    </row>
    <row r="80" spans="2:16">
      <c r="B80" s="577"/>
      <c r="C80" s="492"/>
      <c r="D80" s="492"/>
      <c r="E80" s="492"/>
      <c r="F80" s="492"/>
      <c r="G80" s="492"/>
      <c r="H80" s="492"/>
      <c r="I80" s="492"/>
      <c r="J80" s="492"/>
      <c r="K80" s="492"/>
      <c r="L80" s="492"/>
      <c r="M80" s="492"/>
      <c r="N80" s="492"/>
      <c r="O80" s="492"/>
      <c r="P80" s="632"/>
    </row>
    <row r="81" ht="14.25" spans="2:16">
      <c r="B81" s="577"/>
      <c r="C81" s="492"/>
      <c r="D81" s="492"/>
      <c r="E81" s="492"/>
      <c r="F81" s="492"/>
      <c r="G81" s="492"/>
      <c r="H81" s="492"/>
      <c r="I81" s="492"/>
      <c r="J81" s="492"/>
      <c r="K81" s="492"/>
      <c r="L81" s="492"/>
      <c r="M81" s="492"/>
      <c r="N81" s="492"/>
      <c r="O81" s="492"/>
      <c r="P81" s="632"/>
    </row>
    <row r="82" spans="2:16">
      <c r="B82" s="577"/>
      <c r="C82" s="620" t="s">
        <v>1068</v>
      </c>
      <c r="D82" s="621"/>
      <c r="E82" s="621"/>
      <c r="F82" s="621"/>
      <c r="G82" s="621"/>
      <c r="H82" s="621"/>
      <c r="I82" s="621"/>
      <c r="J82" s="621"/>
      <c r="K82" s="621"/>
      <c r="L82" s="621"/>
      <c r="M82" s="621"/>
      <c r="N82" s="621"/>
      <c r="O82" s="621"/>
      <c r="P82" s="622"/>
    </row>
    <row r="83" spans="2:16">
      <c r="B83" s="577"/>
      <c r="C83" s="657"/>
      <c r="D83" s="492"/>
      <c r="E83" s="492"/>
      <c r="F83" s="492"/>
      <c r="G83" s="492"/>
      <c r="H83" s="492"/>
      <c r="I83" s="492"/>
      <c r="J83" s="492"/>
      <c r="K83" s="492"/>
      <c r="L83" s="492"/>
      <c r="M83" s="492"/>
      <c r="N83" s="492"/>
      <c r="O83" s="492"/>
      <c r="P83" s="625"/>
    </row>
    <row r="84" spans="2:16">
      <c r="B84" s="577"/>
      <c r="C84" s="658" t="s">
        <v>1069</v>
      </c>
      <c r="D84" s="658" t="s">
        <v>900</v>
      </c>
      <c r="E84" s="658" t="s">
        <v>53</v>
      </c>
      <c r="F84" s="658" t="s">
        <v>54</v>
      </c>
      <c r="G84" s="658" t="s">
        <v>114</v>
      </c>
      <c r="H84" s="658" t="s">
        <v>1070</v>
      </c>
      <c r="I84" s="658" t="s">
        <v>1071</v>
      </c>
      <c r="J84" s="658" t="s">
        <v>1072</v>
      </c>
      <c r="K84" s="658" t="s">
        <v>1073</v>
      </c>
      <c r="L84" s="662" t="s">
        <v>1074</v>
      </c>
      <c r="M84" s="662" t="s">
        <v>1075</v>
      </c>
      <c r="N84" s="662" t="s">
        <v>1076</v>
      </c>
      <c r="O84" s="658" t="s">
        <v>1077</v>
      </c>
      <c r="P84" s="624" t="s">
        <v>1078</v>
      </c>
    </row>
    <row r="85" spans="2:16">
      <c r="B85" s="577"/>
      <c r="C85" s="659">
        <v>5</v>
      </c>
      <c r="D85" s="659">
        <v>100</v>
      </c>
      <c r="E85" s="659">
        <v>3.6</v>
      </c>
      <c r="F85" s="659">
        <v>5.6</v>
      </c>
      <c r="G85" s="582">
        <v>2.495</v>
      </c>
      <c r="H85" s="582">
        <v>4</v>
      </c>
      <c r="I85" s="663">
        <f t="shared" ref="I85:I90" si="6">G85*(1+(E85/F85))+(E85*(H85/1000000))</f>
        <v>4.09894297142857</v>
      </c>
      <c r="J85" s="582">
        <v>1</v>
      </c>
      <c r="K85" s="582">
        <v>100</v>
      </c>
      <c r="L85" s="582">
        <v>1</v>
      </c>
      <c r="M85" s="664" t="str">
        <f t="shared" ref="M85:M90" si="7">IF(((C85-I85)/D85*1000)&lt;L85,"输入电压有点小吧?",(IF(AND(N85&gt;J85,N85&lt;K85),"OK",IF(N85&lt;J85,"电流太小",IF(N85&gt;K85,"过流,危险","恩?怎么回事?")))))</f>
        <v>OK</v>
      </c>
      <c r="N85" s="665">
        <f t="shared" ref="N85:N90" si="8">((C85-I85)/D85)*1000+L85</f>
        <v>10.0105702857143</v>
      </c>
      <c r="O85" s="666">
        <f t="shared" ref="O85:O90" si="9">N85+((I85/(E85+F85))*1000)</f>
        <v>455.54784978882</v>
      </c>
      <c r="P85" s="667">
        <f t="shared" ref="P85:P90" si="10">(O85/1000)^2*D85</f>
        <v>20.7523843447217</v>
      </c>
    </row>
    <row r="86" spans="2:16">
      <c r="B86" s="577"/>
      <c r="C86" s="659">
        <v>5</v>
      </c>
      <c r="D86" s="659">
        <v>100</v>
      </c>
      <c r="E86" s="659">
        <v>3600</v>
      </c>
      <c r="F86" s="659">
        <v>5600</v>
      </c>
      <c r="G86" s="582">
        <v>2.495</v>
      </c>
      <c r="H86" s="582">
        <v>4</v>
      </c>
      <c r="I86" s="663">
        <f t="shared" si="6"/>
        <v>4.11332857142857</v>
      </c>
      <c r="J86" s="582">
        <v>1</v>
      </c>
      <c r="K86" s="582">
        <v>100</v>
      </c>
      <c r="L86" s="582">
        <v>1</v>
      </c>
      <c r="M86" s="664" t="str">
        <f t="shared" si="7"/>
        <v>OK</v>
      </c>
      <c r="N86" s="665">
        <f t="shared" si="8"/>
        <v>9.86671428571429</v>
      </c>
      <c r="O86" s="666">
        <f t="shared" si="9"/>
        <v>10.3138152173913</v>
      </c>
      <c r="P86" s="667">
        <f t="shared" si="10"/>
        <v>0.0106374784338492</v>
      </c>
    </row>
    <row r="87" spans="2:16">
      <c r="B87" s="577"/>
      <c r="C87" s="659">
        <v>5</v>
      </c>
      <c r="D87" s="659">
        <v>100</v>
      </c>
      <c r="E87" s="659">
        <v>3600</v>
      </c>
      <c r="F87" s="659">
        <v>5600</v>
      </c>
      <c r="G87" s="582">
        <v>2.495</v>
      </c>
      <c r="H87" s="582">
        <v>4</v>
      </c>
      <c r="I87" s="663">
        <f t="shared" si="6"/>
        <v>4.11332857142857</v>
      </c>
      <c r="J87" s="582">
        <v>1</v>
      </c>
      <c r="K87" s="582">
        <v>100</v>
      </c>
      <c r="L87" s="582">
        <v>1</v>
      </c>
      <c r="M87" s="664" t="str">
        <f t="shared" si="7"/>
        <v>OK</v>
      </c>
      <c r="N87" s="665">
        <f t="shared" si="8"/>
        <v>9.86671428571429</v>
      </c>
      <c r="O87" s="666">
        <f t="shared" si="9"/>
        <v>10.3138152173913</v>
      </c>
      <c r="P87" s="667">
        <f t="shared" si="10"/>
        <v>0.0106374784338492</v>
      </c>
    </row>
    <row r="88" spans="2:16">
      <c r="B88" s="577"/>
      <c r="C88" s="659">
        <v>5</v>
      </c>
      <c r="D88" s="659">
        <v>100</v>
      </c>
      <c r="E88" s="659">
        <v>3600</v>
      </c>
      <c r="F88" s="659">
        <v>5600</v>
      </c>
      <c r="G88" s="582">
        <v>2.495</v>
      </c>
      <c r="H88" s="582">
        <v>4</v>
      </c>
      <c r="I88" s="663">
        <f t="shared" si="6"/>
        <v>4.11332857142857</v>
      </c>
      <c r="J88" s="582">
        <v>1</v>
      </c>
      <c r="K88" s="582">
        <v>100</v>
      </c>
      <c r="L88" s="582">
        <v>1</v>
      </c>
      <c r="M88" s="664" t="str">
        <f t="shared" si="7"/>
        <v>OK</v>
      </c>
      <c r="N88" s="665">
        <f t="shared" si="8"/>
        <v>9.86671428571429</v>
      </c>
      <c r="O88" s="666">
        <f t="shared" si="9"/>
        <v>10.3138152173913</v>
      </c>
      <c r="P88" s="667">
        <f t="shared" si="10"/>
        <v>0.0106374784338492</v>
      </c>
    </row>
    <row r="89" spans="2:16">
      <c r="B89" s="577"/>
      <c r="C89" s="659">
        <v>5</v>
      </c>
      <c r="D89" s="659">
        <v>100</v>
      </c>
      <c r="E89" s="659">
        <v>3600</v>
      </c>
      <c r="F89" s="659">
        <v>5600</v>
      </c>
      <c r="G89" s="582">
        <v>2.495</v>
      </c>
      <c r="H89" s="582">
        <v>4</v>
      </c>
      <c r="I89" s="663">
        <f t="shared" si="6"/>
        <v>4.11332857142857</v>
      </c>
      <c r="J89" s="582">
        <v>1</v>
      </c>
      <c r="K89" s="582">
        <v>100</v>
      </c>
      <c r="L89" s="582">
        <v>1</v>
      </c>
      <c r="M89" s="664" t="str">
        <f t="shared" si="7"/>
        <v>OK</v>
      </c>
      <c r="N89" s="665">
        <f t="shared" si="8"/>
        <v>9.86671428571429</v>
      </c>
      <c r="O89" s="666">
        <f t="shared" si="9"/>
        <v>10.3138152173913</v>
      </c>
      <c r="P89" s="667">
        <f t="shared" si="10"/>
        <v>0.0106374784338492</v>
      </c>
    </row>
    <row r="90" spans="2:16">
      <c r="B90" s="577"/>
      <c r="C90" s="659">
        <v>16</v>
      </c>
      <c r="D90" s="659">
        <v>100</v>
      </c>
      <c r="E90" s="659">
        <f>一般计算公式!C4</f>
        <v>0.475</v>
      </c>
      <c r="F90" s="659">
        <f>一般计算公式!C5</f>
        <v>0.15</v>
      </c>
      <c r="G90" s="582">
        <v>2.495</v>
      </c>
      <c r="H90" s="582">
        <v>4</v>
      </c>
      <c r="I90" s="663">
        <f t="shared" si="6"/>
        <v>10.3958352333333</v>
      </c>
      <c r="J90" s="582">
        <v>1</v>
      </c>
      <c r="K90" s="582">
        <v>100</v>
      </c>
      <c r="L90" s="582">
        <v>1</v>
      </c>
      <c r="M90" s="664" t="str">
        <f t="shared" si="7"/>
        <v>OK</v>
      </c>
      <c r="N90" s="665">
        <f t="shared" si="8"/>
        <v>57.0416476666667</v>
      </c>
      <c r="O90" s="666">
        <f t="shared" si="9"/>
        <v>16690.378021</v>
      </c>
      <c r="P90" s="667">
        <f t="shared" si="10"/>
        <v>27856.871848388</v>
      </c>
    </row>
    <row r="91" spans="2:16">
      <c r="B91" s="608"/>
      <c r="C91" s="619"/>
      <c r="D91" s="619"/>
      <c r="E91" s="619"/>
      <c r="F91" s="619"/>
      <c r="G91" s="619"/>
      <c r="H91" s="619"/>
      <c r="I91" s="619"/>
      <c r="J91" s="619"/>
      <c r="K91" s="619"/>
      <c r="L91" s="619"/>
      <c r="M91" s="619"/>
      <c r="N91" s="619"/>
      <c r="O91" s="619"/>
      <c r="P91" s="656"/>
    </row>
    <row r="93" ht="14.25"/>
    <row r="94" spans="2:18">
      <c r="B94" s="620"/>
      <c r="C94" s="621" t="s">
        <v>1079</v>
      </c>
      <c r="D94" s="621"/>
      <c r="E94" s="621"/>
      <c r="F94" s="621"/>
      <c r="G94" s="621"/>
      <c r="H94" s="621"/>
      <c r="I94" s="621"/>
      <c r="J94" s="621"/>
      <c r="K94" s="621"/>
      <c r="L94" s="621"/>
      <c r="M94" s="621"/>
      <c r="N94" s="621"/>
      <c r="O94" s="621"/>
      <c r="P94" s="622"/>
      <c r="Q94" s="492"/>
      <c r="R94" s="492"/>
    </row>
    <row r="95" spans="2:18">
      <c r="B95" s="657"/>
      <c r="C95" s="492"/>
      <c r="D95" s="492"/>
      <c r="E95" s="492"/>
      <c r="F95" s="492"/>
      <c r="G95" s="492"/>
      <c r="H95" s="492"/>
      <c r="I95" s="492"/>
      <c r="J95" s="492"/>
      <c r="K95" s="492"/>
      <c r="L95" s="492"/>
      <c r="M95" s="492"/>
      <c r="N95" s="492"/>
      <c r="O95" s="492"/>
      <c r="P95" s="625"/>
      <c r="Q95" s="492"/>
      <c r="R95" s="492"/>
    </row>
    <row r="96" spans="2:18">
      <c r="B96" s="657"/>
      <c r="C96" s="492"/>
      <c r="D96" s="492"/>
      <c r="E96" s="492"/>
      <c r="F96" s="492"/>
      <c r="G96" s="492"/>
      <c r="H96" s="492"/>
      <c r="I96" s="492"/>
      <c r="J96" s="492"/>
      <c r="K96" s="492" t="s">
        <v>53</v>
      </c>
      <c r="L96" s="492" t="s">
        <v>54</v>
      </c>
      <c r="M96" s="492" t="s">
        <v>1080</v>
      </c>
      <c r="N96" s="492"/>
      <c r="O96" s="492"/>
      <c r="P96" s="625"/>
      <c r="Q96" s="492"/>
      <c r="R96" s="492"/>
    </row>
    <row r="97" spans="2:18">
      <c r="B97" s="657"/>
      <c r="C97" s="492"/>
      <c r="D97" s="492"/>
      <c r="E97" s="492"/>
      <c r="F97" s="492"/>
      <c r="G97" s="492"/>
      <c r="H97" s="492"/>
      <c r="I97" s="492"/>
      <c r="J97" s="492"/>
      <c r="K97" s="492">
        <v>1100</v>
      </c>
      <c r="L97" s="492">
        <v>160</v>
      </c>
      <c r="M97" s="668">
        <f>1.19*(K97/L97+1)</f>
        <v>9.37125</v>
      </c>
      <c r="N97" s="492"/>
      <c r="O97" s="492"/>
      <c r="P97" s="625"/>
      <c r="Q97" s="492"/>
      <c r="R97" s="492"/>
    </row>
    <row r="98" spans="2:18">
      <c r="B98" s="657"/>
      <c r="C98" s="492"/>
      <c r="D98" s="492"/>
      <c r="E98" s="492"/>
      <c r="F98" s="492"/>
      <c r="G98" s="492"/>
      <c r="H98" s="492"/>
      <c r="I98" s="492"/>
      <c r="J98" s="492"/>
      <c r="K98" s="492">
        <v>1100</v>
      </c>
      <c r="L98" s="492">
        <v>160</v>
      </c>
      <c r="M98" s="668">
        <f t="shared" ref="M98:M107" si="11">1.19*(K98/L98+1)</f>
        <v>9.37125</v>
      </c>
      <c r="N98" s="492"/>
      <c r="O98" s="492"/>
      <c r="P98" s="625"/>
      <c r="Q98" s="492"/>
      <c r="R98" s="492"/>
    </row>
    <row r="99" spans="2:18">
      <c r="B99" s="657"/>
      <c r="C99" s="492"/>
      <c r="D99" s="492"/>
      <c r="E99" s="492"/>
      <c r="F99" s="492"/>
      <c r="G99" s="492"/>
      <c r="H99" s="492"/>
      <c r="I99" s="492"/>
      <c r="J99" s="492"/>
      <c r="K99" s="492">
        <v>1100</v>
      </c>
      <c r="L99" s="492">
        <v>160</v>
      </c>
      <c r="M99" s="668">
        <f t="shared" si="11"/>
        <v>9.37125</v>
      </c>
      <c r="N99" s="492"/>
      <c r="O99" s="492"/>
      <c r="P99" s="625"/>
      <c r="Q99" s="492"/>
      <c r="R99" s="492"/>
    </row>
    <row r="100" spans="2:18">
      <c r="B100" s="657"/>
      <c r="C100" s="492"/>
      <c r="D100" s="492"/>
      <c r="E100" s="492"/>
      <c r="F100" s="492"/>
      <c r="G100" s="492"/>
      <c r="H100" s="492"/>
      <c r="I100" s="492"/>
      <c r="J100" s="492"/>
      <c r="K100" s="492">
        <v>1100</v>
      </c>
      <c r="L100" s="492">
        <v>160</v>
      </c>
      <c r="M100" s="668">
        <f t="shared" si="11"/>
        <v>9.37125</v>
      </c>
      <c r="N100" s="492"/>
      <c r="O100" s="492"/>
      <c r="P100" s="625"/>
      <c r="Q100" s="492"/>
      <c r="R100" s="492"/>
    </row>
    <row r="101" spans="2:18">
      <c r="B101" s="657"/>
      <c r="C101" s="492"/>
      <c r="D101" s="492"/>
      <c r="E101" s="492"/>
      <c r="F101" s="492"/>
      <c r="G101" s="492"/>
      <c r="H101" s="492"/>
      <c r="I101" s="492"/>
      <c r="J101" s="492"/>
      <c r="K101" s="492">
        <v>1100</v>
      </c>
      <c r="L101" s="492">
        <v>160</v>
      </c>
      <c r="M101" s="668">
        <f t="shared" si="11"/>
        <v>9.37125</v>
      </c>
      <c r="N101" s="492"/>
      <c r="O101" s="492"/>
      <c r="P101" s="625"/>
      <c r="Q101" s="492"/>
      <c r="R101" s="492"/>
    </row>
    <row r="102" spans="2:18">
      <c r="B102" s="657"/>
      <c r="C102" s="492"/>
      <c r="D102" s="492"/>
      <c r="E102" s="492"/>
      <c r="F102" s="492"/>
      <c r="G102" s="492"/>
      <c r="H102" s="492"/>
      <c r="I102" s="492"/>
      <c r="J102" s="492"/>
      <c r="K102" s="492">
        <v>1100</v>
      </c>
      <c r="L102" s="492">
        <v>160</v>
      </c>
      <c r="M102" s="668">
        <f t="shared" si="11"/>
        <v>9.37125</v>
      </c>
      <c r="N102" s="492"/>
      <c r="O102" s="492"/>
      <c r="P102" s="625"/>
      <c r="Q102" s="492"/>
      <c r="R102" s="492"/>
    </row>
    <row r="103" spans="2:18">
      <c r="B103" s="657"/>
      <c r="C103" s="492"/>
      <c r="D103" s="492"/>
      <c r="E103" s="492"/>
      <c r="F103" s="492"/>
      <c r="G103" s="492"/>
      <c r="H103" s="492"/>
      <c r="I103" s="492"/>
      <c r="J103" s="492"/>
      <c r="K103" s="492">
        <v>1100</v>
      </c>
      <c r="L103" s="492">
        <v>160</v>
      </c>
      <c r="M103" s="668">
        <f t="shared" si="11"/>
        <v>9.37125</v>
      </c>
      <c r="N103" s="492"/>
      <c r="O103" s="492"/>
      <c r="P103" s="625"/>
      <c r="Q103" s="492"/>
      <c r="R103" s="492"/>
    </row>
    <row r="104" spans="2:18">
      <c r="B104" s="657"/>
      <c r="C104" s="492"/>
      <c r="D104" s="492"/>
      <c r="E104" s="492"/>
      <c r="F104" s="492"/>
      <c r="G104" s="492"/>
      <c r="H104" s="492"/>
      <c r="I104" s="492"/>
      <c r="J104" s="492"/>
      <c r="K104" s="492">
        <v>1100</v>
      </c>
      <c r="L104" s="492">
        <v>160</v>
      </c>
      <c r="M104" s="668">
        <f t="shared" si="11"/>
        <v>9.37125</v>
      </c>
      <c r="N104" s="492"/>
      <c r="O104" s="492"/>
      <c r="P104" s="625"/>
      <c r="Q104" s="492"/>
      <c r="R104" s="492"/>
    </row>
    <row r="105" spans="2:18">
      <c r="B105" s="657"/>
      <c r="C105" s="492"/>
      <c r="D105" s="492"/>
      <c r="E105" s="492"/>
      <c r="F105" s="492"/>
      <c r="G105" s="492"/>
      <c r="H105" s="492"/>
      <c r="I105" s="492"/>
      <c r="J105" s="492"/>
      <c r="K105" s="492">
        <v>1100</v>
      </c>
      <c r="L105" s="492">
        <v>160</v>
      </c>
      <c r="M105" s="668">
        <f t="shared" si="11"/>
        <v>9.37125</v>
      </c>
      <c r="N105" s="492"/>
      <c r="O105" s="492"/>
      <c r="P105" s="625"/>
      <c r="Q105" s="492"/>
      <c r="R105" s="492"/>
    </row>
    <row r="106" spans="2:18">
      <c r="B106" s="657"/>
      <c r="C106" s="492"/>
      <c r="D106" s="492"/>
      <c r="E106" s="492"/>
      <c r="F106" s="492"/>
      <c r="G106" s="492"/>
      <c r="H106" s="492"/>
      <c r="I106" s="492"/>
      <c r="J106" s="492"/>
      <c r="K106" s="492">
        <v>1100</v>
      </c>
      <c r="L106" s="492">
        <v>160</v>
      </c>
      <c r="M106" s="668">
        <f t="shared" si="11"/>
        <v>9.37125</v>
      </c>
      <c r="N106" s="492"/>
      <c r="O106" s="492"/>
      <c r="P106" s="625"/>
      <c r="Q106" s="492"/>
      <c r="R106" s="492"/>
    </row>
    <row r="107" spans="2:18">
      <c r="B107" s="657"/>
      <c r="C107" s="492"/>
      <c r="D107" s="492"/>
      <c r="E107" s="492"/>
      <c r="F107" s="492"/>
      <c r="G107" s="492"/>
      <c r="H107" s="492"/>
      <c r="I107" s="492"/>
      <c r="J107" s="492"/>
      <c r="K107" s="492">
        <v>1100</v>
      </c>
      <c r="L107" s="492">
        <v>160</v>
      </c>
      <c r="M107" s="668">
        <f t="shared" si="11"/>
        <v>9.37125</v>
      </c>
      <c r="N107" s="492"/>
      <c r="O107" s="492"/>
      <c r="P107" s="625"/>
      <c r="Q107" s="492"/>
      <c r="R107" s="492"/>
    </row>
    <row r="108" spans="2:18">
      <c r="B108" s="657"/>
      <c r="C108" s="492"/>
      <c r="D108" s="492"/>
      <c r="E108" s="492"/>
      <c r="F108" s="492"/>
      <c r="G108" s="492"/>
      <c r="H108" s="492"/>
      <c r="I108" s="492"/>
      <c r="J108" s="492"/>
      <c r="K108" s="492"/>
      <c r="L108" s="492"/>
      <c r="M108" s="492"/>
      <c r="N108" s="492"/>
      <c r="O108" s="492"/>
      <c r="P108" s="625"/>
      <c r="Q108" s="492"/>
      <c r="R108" s="492"/>
    </row>
    <row r="109" ht="14.25" spans="2:18">
      <c r="B109" s="660"/>
      <c r="C109" s="629"/>
      <c r="D109" s="629"/>
      <c r="E109" s="629"/>
      <c r="F109" s="629"/>
      <c r="G109" s="629"/>
      <c r="H109" s="629"/>
      <c r="I109" s="629"/>
      <c r="J109" s="629"/>
      <c r="K109" s="629"/>
      <c r="L109" s="629"/>
      <c r="M109" s="629"/>
      <c r="N109" s="629"/>
      <c r="O109" s="629"/>
      <c r="P109" s="630"/>
      <c r="Q109" s="492"/>
      <c r="R109" s="492"/>
    </row>
    <row r="111" ht="14.25"/>
    <row r="112" spans="2:16">
      <c r="B112" s="620"/>
      <c r="C112" s="621"/>
      <c r="D112" s="621"/>
      <c r="E112" s="621"/>
      <c r="F112" s="621"/>
      <c r="G112" s="621"/>
      <c r="H112" s="621"/>
      <c r="I112" s="621"/>
      <c r="J112" s="621"/>
      <c r="K112" s="621"/>
      <c r="L112" s="621"/>
      <c r="M112" s="621"/>
      <c r="N112" s="621"/>
      <c r="O112" s="621"/>
      <c r="P112" s="622"/>
    </row>
    <row r="113" spans="2:18">
      <c r="B113" s="657"/>
      <c r="C113" s="492"/>
      <c r="D113" s="492"/>
      <c r="E113" s="492"/>
      <c r="F113" s="492"/>
      <c r="G113" s="492" t="s">
        <v>1081</v>
      </c>
      <c r="H113" s="492"/>
      <c r="I113" s="492"/>
      <c r="J113" s="492"/>
      <c r="K113" s="492"/>
      <c r="L113" s="492"/>
      <c r="M113" s="492"/>
      <c r="N113" s="492"/>
      <c r="O113" s="492"/>
      <c r="P113" s="625"/>
      <c r="Q113" s="492"/>
      <c r="R113" s="492"/>
    </row>
    <row r="114" spans="2:18">
      <c r="B114" s="657"/>
      <c r="C114" s="492"/>
      <c r="D114" s="492"/>
      <c r="E114" s="492"/>
      <c r="F114" s="492"/>
      <c r="G114" s="661" t="s">
        <v>1045</v>
      </c>
      <c r="H114" s="661" t="s">
        <v>1082</v>
      </c>
      <c r="I114" s="661" t="s">
        <v>53</v>
      </c>
      <c r="J114" s="661" t="s">
        <v>1083</v>
      </c>
      <c r="K114" s="669"/>
      <c r="L114" s="669" t="s">
        <v>1084</v>
      </c>
      <c r="M114" s="669" t="s">
        <v>1085</v>
      </c>
      <c r="N114" s="669" t="s">
        <v>1086</v>
      </c>
      <c r="O114" s="492"/>
      <c r="P114" s="625"/>
      <c r="Q114" s="492"/>
      <c r="R114" s="492"/>
    </row>
    <row r="115" spans="2:18">
      <c r="B115" s="657"/>
      <c r="C115" s="492"/>
      <c r="D115" s="492"/>
      <c r="E115" s="492"/>
      <c r="F115" s="492"/>
      <c r="G115" s="492">
        <v>1</v>
      </c>
      <c r="H115" s="492">
        <v>5</v>
      </c>
      <c r="I115" s="492">
        <v>100</v>
      </c>
      <c r="J115" s="492">
        <v>1.8</v>
      </c>
      <c r="K115" s="492"/>
      <c r="L115" s="668">
        <f t="shared" ref="L115:L120" si="12">($H$115-$J$115)/I115</f>
        <v>0.032</v>
      </c>
      <c r="M115" s="668">
        <f t="shared" ref="M115:M120" si="13">L115^2*I115</f>
        <v>0.1024</v>
      </c>
      <c r="N115" s="668">
        <f t="shared" ref="N115:N120" si="14">L115*J115</f>
        <v>0.0576</v>
      </c>
      <c r="O115" s="492"/>
      <c r="P115" s="625"/>
      <c r="Q115" s="492"/>
      <c r="R115" s="492"/>
    </row>
    <row r="116" spans="2:18">
      <c r="B116" s="657"/>
      <c r="C116" s="492"/>
      <c r="D116" s="492"/>
      <c r="E116" s="492"/>
      <c r="F116" s="492"/>
      <c r="G116" s="492">
        <v>2</v>
      </c>
      <c r="H116" s="492">
        <v>5</v>
      </c>
      <c r="I116" s="492">
        <v>200</v>
      </c>
      <c r="J116" s="492">
        <v>1.8</v>
      </c>
      <c r="K116" s="492"/>
      <c r="L116" s="668">
        <f t="shared" si="12"/>
        <v>0.016</v>
      </c>
      <c r="M116" s="668">
        <f t="shared" si="13"/>
        <v>0.0512</v>
      </c>
      <c r="N116" s="668">
        <f t="shared" si="14"/>
        <v>0.0288</v>
      </c>
      <c r="O116" s="492"/>
      <c r="P116" s="625"/>
      <c r="Q116" s="492"/>
      <c r="R116" s="492"/>
    </row>
    <row r="117" spans="2:18">
      <c r="B117" s="657"/>
      <c r="C117" s="492"/>
      <c r="D117" s="492"/>
      <c r="E117" s="492"/>
      <c r="F117" s="492"/>
      <c r="G117" s="492">
        <v>3</v>
      </c>
      <c r="H117" s="492">
        <v>6</v>
      </c>
      <c r="I117" s="492">
        <v>200</v>
      </c>
      <c r="J117" s="492">
        <v>1.8</v>
      </c>
      <c r="K117" s="492"/>
      <c r="L117" s="668">
        <f t="shared" si="12"/>
        <v>0.016</v>
      </c>
      <c r="M117" s="668">
        <f t="shared" si="13"/>
        <v>0.0512</v>
      </c>
      <c r="N117" s="668">
        <f t="shared" si="14"/>
        <v>0.0288</v>
      </c>
      <c r="O117" s="492"/>
      <c r="P117" s="625"/>
      <c r="Q117" s="492"/>
      <c r="R117" s="492"/>
    </row>
    <row r="118" spans="2:18">
      <c r="B118" s="657"/>
      <c r="C118" s="492"/>
      <c r="D118" s="492"/>
      <c r="E118" s="492"/>
      <c r="F118" s="492"/>
      <c r="G118" s="492">
        <v>4</v>
      </c>
      <c r="H118" s="492">
        <v>5</v>
      </c>
      <c r="I118" s="492">
        <v>300</v>
      </c>
      <c r="J118" s="492">
        <v>3.3</v>
      </c>
      <c r="K118" s="492"/>
      <c r="L118" s="668">
        <f t="shared" si="12"/>
        <v>0.0106666666666667</v>
      </c>
      <c r="M118" s="668">
        <f t="shared" si="13"/>
        <v>0.0341333333333333</v>
      </c>
      <c r="N118" s="668">
        <f t="shared" si="14"/>
        <v>0.0352</v>
      </c>
      <c r="O118" s="492"/>
      <c r="P118" s="625"/>
      <c r="Q118" s="492"/>
      <c r="R118" s="492"/>
    </row>
    <row r="119" spans="2:18">
      <c r="B119" s="657"/>
      <c r="C119" s="492"/>
      <c r="D119" s="492"/>
      <c r="E119" s="492"/>
      <c r="F119" s="492"/>
      <c r="G119" s="492">
        <v>5</v>
      </c>
      <c r="H119" s="492">
        <v>8</v>
      </c>
      <c r="I119" s="492">
        <v>400</v>
      </c>
      <c r="J119" s="492">
        <v>1.8</v>
      </c>
      <c r="K119" s="492"/>
      <c r="L119" s="668">
        <f t="shared" si="12"/>
        <v>0.008</v>
      </c>
      <c r="M119" s="668">
        <f t="shared" si="13"/>
        <v>0.0256</v>
      </c>
      <c r="N119" s="668">
        <f t="shared" si="14"/>
        <v>0.0144</v>
      </c>
      <c r="O119" s="492"/>
      <c r="P119" s="625"/>
      <c r="Q119" s="492"/>
      <c r="R119" s="492"/>
    </row>
    <row r="120" spans="2:18">
      <c r="B120" s="657"/>
      <c r="C120" s="492"/>
      <c r="D120" s="492"/>
      <c r="E120" s="492"/>
      <c r="F120" s="492"/>
      <c r="G120" s="492">
        <v>6</v>
      </c>
      <c r="H120" s="492">
        <v>9</v>
      </c>
      <c r="I120" s="492">
        <v>100</v>
      </c>
      <c r="J120" s="492">
        <v>1.9</v>
      </c>
      <c r="K120" s="492"/>
      <c r="L120" s="668">
        <f t="shared" si="12"/>
        <v>0.032</v>
      </c>
      <c r="M120" s="668">
        <f t="shared" si="13"/>
        <v>0.1024</v>
      </c>
      <c r="N120" s="668">
        <f t="shared" si="14"/>
        <v>0.0608</v>
      </c>
      <c r="O120" s="492"/>
      <c r="P120" s="625"/>
      <c r="Q120" s="492"/>
      <c r="R120" s="492"/>
    </row>
    <row r="121" spans="2:18">
      <c r="B121" s="657"/>
      <c r="C121" s="492"/>
      <c r="D121" s="492"/>
      <c r="E121" s="492"/>
      <c r="F121" s="492"/>
      <c r="G121" s="492"/>
      <c r="H121" s="492"/>
      <c r="I121" s="492"/>
      <c r="J121" s="492"/>
      <c r="K121" s="492"/>
      <c r="L121" s="492"/>
      <c r="M121" s="492"/>
      <c r="N121" s="492"/>
      <c r="O121" s="492"/>
      <c r="P121" s="625"/>
      <c r="Q121" s="492"/>
      <c r="R121" s="492"/>
    </row>
    <row r="122" spans="2:18">
      <c r="B122" s="657"/>
      <c r="C122" s="492"/>
      <c r="D122" s="492"/>
      <c r="E122" s="492"/>
      <c r="F122" s="492"/>
      <c r="G122" s="492"/>
      <c r="H122" s="492"/>
      <c r="I122" s="492"/>
      <c r="J122" s="492"/>
      <c r="K122" s="492"/>
      <c r="L122" s="492"/>
      <c r="M122" s="492"/>
      <c r="N122" s="492"/>
      <c r="O122" s="492"/>
      <c r="P122" s="625"/>
      <c r="Q122" s="492"/>
      <c r="R122" s="492"/>
    </row>
    <row r="123" spans="2:18">
      <c r="B123" s="657"/>
      <c r="C123" s="492"/>
      <c r="D123" s="492"/>
      <c r="E123" s="492"/>
      <c r="F123" s="492"/>
      <c r="G123" s="492"/>
      <c r="H123" s="492"/>
      <c r="I123" s="492"/>
      <c r="J123" s="492"/>
      <c r="K123" s="492"/>
      <c r="L123" s="492"/>
      <c r="M123" s="492"/>
      <c r="N123" s="492"/>
      <c r="O123" s="492"/>
      <c r="P123" s="625"/>
      <c r="Q123" s="492"/>
      <c r="R123" s="492"/>
    </row>
    <row r="124" ht="14.25" spans="2:18">
      <c r="B124" s="660"/>
      <c r="C124" s="629"/>
      <c r="D124" s="629"/>
      <c r="E124" s="629"/>
      <c r="F124" s="629"/>
      <c r="G124" s="629"/>
      <c r="H124" s="629"/>
      <c r="I124" s="629"/>
      <c r="J124" s="629"/>
      <c r="K124" s="629"/>
      <c r="L124" s="629"/>
      <c r="M124" s="629"/>
      <c r="N124" s="629"/>
      <c r="O124" s="629"/>
      <c r="P124" s="630"/>
      <c r="Q124" s="492"/>
      <c r="R124" s="492"/>
    </row>
    <row r="126" ht="14.25"/>
    <row r="127" spans="2:18">
      <c r="B127" s="620"/>
      <c r="C127" s="621"/>
      <c r="D127" s="621"/>
      <c r="E127" s="621"/>
      <c r="F127" s="621"/>
      <c r="G127" s="621"/>
      <c r="H127" s="621"/>
      <c r="I127" s="621"/>
      <c r="J127" s="621"/>
      <c r="K127" s="621"/>
      <c r="L127" s="621"/>
      <c r="M127" s="621"/>
      <c r="N127" s="621"/>
      <c r="O127" s="621"/>
      <c r="P127" s="622"/>
      <c r="Q127" s="492"/>
      <c r="R127" s="492"/>
    </row>
    <row r="128" spans="2:18">
      <c r="B128" s="657"/>
      <c r="C128" s="492"/>
      <c r="D128" s="492"/>
      <c r="E128" s="492"/>
      <c r="F128" s="492"/>
      <c r="G128" s="492"/>
      <c r="H128" s="492"/>
      <c r="I128" s="492"/>
      <c r="J128" s="492"/>
      <c r="K128" s="492"/>
      <c r="L128" s="492"/>
      <c r="M128" s="492"/>
      <c r="N128" s="492"/>
      <c r="O128" s="492"/>
      <c r="P128" s="625"/>
      <c r="Q128" s="492"/>
      <c r="R128" s="492"/>
    </row>
    <row r="129" spans="2:18">
      <c r="B129" s="657"/>
      <c r="C129" s="492"/>
      <c r="D129" s="492"/>
      <c r="E129" s="492"/>
      <c r="F129" s="492"/>
      <c r="G129" s="492"/>
      <c r="H129" s="492"/>
      <c r="I129" s="492"/>
      <c r="J129" s="492"/>
      <c r="K129" s="492"/>
      <c r="L129" s="492"/>
      <c r="M129" s="492"/>
      <c r="N129" s="492"/>
      <c r="O129" s="492"/>
      <c r="P129" s="625"/>
      <c r="Q129" s="492"/>
      <c r="R129" s="492"/>
    </row>
    <row r="130" spans="2:18">
      <c r="B130" s="657"/>
      <c r="C130" s="492"/>
      <c r="D130" s="492"/>
      <c r="E130" s="492"/>
      <c r="F130" s="492"/>
      <c r="G130" s="492"/>
      <c r="H130" s="492"/>
      <c r="I130" s="492" t="s">
        <v>53</v>
      </c>
      <c r="J130" s="492" t="s">
        <v>54</v>
      </c>
      <c r="K130" s="492" t="s">
        <v>1080</v>
      </c>
      <c r="L130" s="492"/>
      <c r="M130" s="492"/>
      <c r="N130" s="492"/>
      <c r="O130" s="492"/>
      <c r="P130" s="625"/>
      <c r="Q130" s="492"/>
      <c r="R130" s="492"/>
    </row>
    <row r="131" spans="2:18">
      <c r="B131" s="657"/>
      <c r="C131" s="492"/>
      <c r="D131" s="492"/>
      <c r="E131" s="492"/>
      <c r="F131" s="492"/>
      <c r="G131" s="492"/>
      <c r="H131" s="492"/>
      <c r="I131" s="492">
        <v>4220</v>
      </c>
      <c r="J131" s="492">
        <v>20000</v>
      </c>
      <c r="K131" s="492">
        <f t="shared" ref="K131:K137" si="15">1.23*(1+J131/I131)</f>
        <v>7.05938388625592</v>
      </c>
      <c r="L131" s="670">
        <f t="shared" ref="L131:L137" si="16">(K131-M131)/M131</f>
        <v>0.00848341232227488</v>
      </c>
      <c r="M131" s="492">
        <v>7</v>
      </c>
      <c r="N131" s="492">
        <f t="shared" ref="N131:N137" si="17">$J$131/(M131/1.23-1)</f>
        <v>4263.431542461</v>
      </c>
      <c r="O131" s="492"/>
      <c r="P131" s="625"/>
      <c r="Q131" s="492"/>
      <c r="R131" s="492"/>
    </row>
    <row r="132" spans="2:18">
      <c r="B132" s="657"/>
      <c r="C132" s="492"/>
      <c r="D132" s="492"/>
      <c r="E132" s="492"/>
      <c r="F132" s="492"/>
      <c r="G132" s="492"/>
      <c r="H132" s="492"/>
      <c r="I132" s="492">
        <v>3160</v>
      </c>
      <c r="J132" s="492">
        <v>20000</v>
      </c>
      <c r="K132" s="492">
        <f t="shared" si="15"/>
        <v>9.01481012658228</v>
      </c>
      <c r="L132" s="670">
        <f t="shared" si="16"/>
        <v>0.00164556962025308</v>
      </c>
      <c r="M132" s="492">
        <v>9</v>
      </c>
      <c r="N132" s="492">
        <f t="shared" si="17"/>
        <v>3166.02316602317</v>
      </c>
      <c r="O132" s="492"/>
      <c r="P132" s="625"/>
      <c r="Q132" s="492"/>
      <c r="R132" s="492"/>
    </row>
    <row r="133" spans="2:18">
      <c r="B133" s="657"/>
      <c r="C133" s="492"/>
      <c r="D133" s="492"/>
      <c r="E133" s="492"/>
      <c r="F133" s="492"/>
      <c r="G133" s="492"/>
      <c r="H133" s="492"/>
      <c r="I133" s="492">
        <v>2550</v>
      </c>
      <c r="J133" s="492">
        <v>20000</v>
      </c>
      <c r="K133" s="492">
        <f t="shared" si="15"/>
        <v>10.8770588235294</v>
      </c>
      <c r="L133" s="670">
        <f t="shared" si="16"/>
        <v>0.00713507625272324</v>
      </c>
      <c r="M133" s="492">
        <v>10.8</v>
      </c>
      <c r="N133" s="492">
        <f t="shared" si="17"/>
        <v>2570.5329153605</v>
      </c>
      <c r="O133" s="492"/>
      <c r="P133" s="625"/>
      <c r="Q133" s="492"/>
      <c r="R133" s="492"/>
    </row>
    <row r="134" spans="2:18">
      <c r="B134" s="657"/>
      <c r="C134" s="492"/>
      <c r="D134" s="492"/>
      <c r="E134" s="492"/>
      <c r="F134" s="492"/>
      <c r="G134" s="492"/>
      <c r="H134" s="492"/>
      <c r="I134" s="492">
        <v>2000</v>
      </c>
      <c r="J134" s="492">
        <v>20000</v>
      </c>
      <c r="K134" s="492">
        <f t="shared" si="15"/>
        <v>13.53</v>
      </c>
      <c r="L134" s="670">
        <f t="shared" si="16"/>
        <v>0.00222222222222217</v>
      </c>
      <c r="M134" s="492">
        <v>13.5</v>
      </c>
      <c r="N134" s="492">
        <f t="shared" si="17"/>
        <v>2004.88997555012</v>
      </c>
      <c r="O134" s="492"/>
      <c r="P134" s="625"/>
      <c r="Q134" s="492"/>
      <c r="R134" s="492"/>
    </row>
    <row r="135" spans="2:18">
      <c r="B135" s="657"/>
      <c r="C135" s="492"/>
      <c r="D135" s="492"/>
      <c r="E135" s="492"/>
      <c r="F135" s="492"/>
      <c r="G135" s="492"/>
      <c r="H135" s="492"/>
      <c r="I135" s="492">
        <v>1650</v>
      </c>
      <c r="J135" s="492">
        <v>20000</v>
      </c>
      <c r="K135" s="492">
        <f t="shared" si="15"/>
        <v>16.1390909090909</v>
      </c>
      <c r="L135" s="670">
        <f t="shared" si="16"/>
        <v>0.00869318181818191</v>
      </c>
      <c r="M135" s="492">
        <v>16</v>
      </c>
      <c r="N135" s="492">
        <f t="shared" si="17"/>
        <v>1665.53825321598</v>
      </c>
      <c r="O135" s="492"/>
      <c r="P135" s="625"/>
      <c r="Q135" s="492"/>
      <c r="R135" s="492"/>
    </row>
    <row r="136" spans="2:18">
      <c r="B136" s="657"/>
      <c r="C136" s="492"/>
      <c r="D136" s="492"/>
      <c r="E136" s="492"/>
      <c r="F136" s="492"/>
      <c r="G136" s="492"/>
      <c r="H136" s="492"/>
      <c r="I136" s="492">
        <v>1410</v>
      </c>
      <c r="J136" s="492">
        <v>20000</v>
      </c>
      <c r="K136" s="492">
        <f t="shared" si="15"/>
        <v>18.6768085106383</v>
      </c>
      <c r="L136" s="670">
        <f t="shared" si="16"/>
        <v>0.00955721679125922</v>
      </c>
      <c r="M136" s="492">
        <v>18.5</v>
      </c>
      <c r="N136" s="492">
        <f t="shared" si="17"/>
        <v>1424.43543717429</v>
      </c>
      <c r="O136" s="492"/>
      <c r="P136" s="625"/>
      <c r="Q136" s="492"/>
      <c r="R136" s="492"/>
    </row>
    <row r="137" spans="2:18">
      <c r="B137" s="657"/>
      <c r="C137" s="492"/>
      <c r="D137" s="492"/>
      <c r="E137" s="492"/>
      <c r="F137" s="492"/>
      <c r="G137" s="492"/>
      <c r="H137" s="492"/>
      <c r="I137" s="492">
        <v>1220</v>
      </c>
      <c r="J137" s="492">
        <v>20000</v>
      </c>
      <c r="K137" s="492">
        <f t="shared" si="15"/>
        <v>21.3939344262295</v>
      </c>
      <c r="L137" s="670">
        <f t="shared" si="16"/>
        <v>-0.0275484351713861</v>
      </c>
      <c r="M137" s="492">
        <v>22</v>
      </c>
      <c r="N137" s="492">
        <f t="shared" si="17"/>
        <v>1184.40057775638</v>
      </c>
      <c r="O137" s="492"/>
      <c r="P137" s="625"/>
      <c r="Q137" s="492"/>
      <c r="R137" s="492"/>
    </row>
    <row r="138" spans="2:18">
      <c r="B138" s="657"/>
      <c r="C138" s="492"/>
      <c r="D138" s="492"/>
      <c r="E138" s="492"/>
      <c r="F138" s="492"/>
      <c r="G138" s="492"/>
      <c r="H138" s="492"/>
      <c r="I138" s="492"/>
      <c r="J138" s="492"/>
      <c r="K138" s="492"/>
      <c r="L138" s="492"/>
      <c r="M138" s="492"/>
      <c r="N138" s="492"/>
      <c r="O138" s="492"/>
      <c r="P138" s="625"/>
      <c r="Q138" s="492"/>
      <c r="R138" s="492"/>
    </row>
    <row r="139" spans="2:18">
      <c r="B139" s="657"/>
      <c r="C139" s="492"/>
      <c r="D139" s="492"/>
      <c r="E139" s="492"/>
      <c r="F139" s="492"/>
      <c r="G139" s="492"/>
      <c r="H139" s="492"/>
      <c r="I139" s="492"/>
      <c r="J139" s="492"/>
      <c r="K139" s="492"/>
      <c r="L139" s="492"/>
      <c r="M139" s="492"/>
      <c r="N139" s="492"/>
      <c r="O139" s="492"/>
      <c r="P139" s="625"/>
      <c r="Q139" s="492"/>
      <c r="R139" s="492"/>
    </row>
    <row r="140" spans="2:18">
      <c r="B140" s="657"/>
      <c r="C140" s="492"/>
      <c r="D140" s="492"/>
      <c r="E140" s="492"/>
      <c r="F140" s="492"/>
      <c r="G140" s="492"/>
      <c r="H140" s="492"/>
      <c r="I140" s="492"/>
      <c r="J140" s="492"/>
      <c r="K140" s="492"/>
      <c r="L140" s="492"/>
      <c r="M140" s="492"/>
      <c r="N140" s="492"/>
      <c r="O140" s="492"/>
      <c r="P140" s="625"/>
      <c r="Q140" s="492"/>
      <c r="R140" s="492"/>
    </row>
    <row r="141" spans="2:18">
      <c r="B141" s="657"/>
      <c r="C141" s="492"/>
      <c r="D141" s="492"/>
      <c r="E141" s="492"/>
      <c r="F141" s="492"/>
      <c r="G141" s="492"/>
      <c r="H141" s="492"/>
      <c r="I141" s="492"/>
      <c r="J141" s="492"/>
      <c r="K141" s="492"/>
      <c r="L141" s="492"/>
      <c r="M141" s="492"/>
      <c r="N141" s="492"/>
      <c r="O141" s="492"/>
      <c r="P141" s="625"/>
      <c r="Q141" s="492"/>
      <c r="R141" s="492"/>
    </row>
    <row r="142" spans="2:18">
      <c r="B142" s="657"/>
      <c r="C142" s="492"/>
      <c r="D142" s="492"/>
      <c r="E142" s="492"/>
      <c r="F142" s="492"/>
      <c r="G142" s="492"/>
      <c r="H142" s="492"/>
      <c r="I142" s="492"/>
      <c r="J142" s="492"/>
      <c r="K142" s="492"/>
      <c r="L142" s="492"/>
      <c r="M142" s="492"/>
      <c r="N142" s="492"/>
      <c r="O142" s="492"/>
      <c r="P142" s="625"/>
      <c r="Q142" s="492"/>
      <c r="R142" s="492"/>
    </row>
    <row r="143" spans="2:18">
      <c r="B143" s="657"/>
      <c r="C143" s="492"/>
      <c r="D143" s="492"/>
      <c r="E143" s="492"/>
      <c r="F143" s="492"/>
      <c r="G143" s="492"/>
      <c r="H143" s="492"/>
      <c r="I143" s="492"/>
      <c r="J143" s="492"/>
      <c r="K143" s="492"/>
      <c r="L143" s="492"/>
      <c r="M143" s="492"/>
      <c r="N143" s="492"/>
      <c r="O143" s="492"/>
      <c r="P143" s="625"/>
      <c r="Q143" s="492"/>
      <c r="R143" s="492"/>
    </row>
    <row r="144" spans="2:18">
      <c r="B144" s="657"/>
      <c r="C144" s="492"/>
      <c r="D144" s="492"/>
      <c r="E144" s="492"/>
      <c r="F144" s="492"/>
      <c r="G144" s="492"/>
      <c r="H144" s="492"/>
      <c r="I144" s="492"/>
      <c r="J144" s="492"/>
      <c r="K144" s="492"/>
      <c r="L144" s="492"/>
      <c r="M144" s="492"/>
      <c r="N144" s="492"/>
      <c r="O144" s="492"/>
      <c r="P144" s="625"/>
      <c r="Q144" s="492"/>
      <c r="R144" s="492"/>
    </row>
    <row r="145" ht="14.25" spans="2:18">
      <c r="B145" s="660"/>
      <c r="C145" s="629"/>
      <c r="D145" s="629"/>
      <c r="E145" s="629"/>
      <c r="F145" s="629"/>
      <c r="G145" s="629"/>
      <c r="H145" s="629"/>
      <c r="I145" s="629"/>
      <c r="J145" s="629"/>
      <c r="K145" s="629"/>
      <c r="L145" s="629"/>
      <c r="M145" s="629"/>
      <c r="N145" s="629"/>
      <c r="O145" s="629"/>
      <c r="P145" s="630"/>
      <c r="Q145" s="492"/>
      <c r="R145" s="492"/>
    </row>
    <row r="146" spans="2:18">
      <c r="B146" s="492"/>
      <c r="C146" s="492"/>
      <c r="D146" s="492"/>
      <c r="E146" s="492"/>
      <c r="F146" s="492"/>
      <c r="G146" s="492"/>
      <c r="H146" s="492"/>
      <c r="I146" s="492"/>
      <c r="J146" s="492"/>
      <c r="K146" s="492"/>
      <c r="L146" s="492"/>
      <c r="M146" s="492"/>
      <c r="N146" s="492"/>
      <c r="O146" s="492"/>
      <c r="P146" s="492"/>
      <c r="Q146" s="492"/>
      <c r="R146" s="492"/>
    </row>
    <row r="147" ht="14.25"/>
    <row r="148" spans="2:17">
      <c r="B148" s="620"/>
      <c r="C148" s="621"/>
      <c r="D148" s="621"/>
      <c r="E148" s="621"/>
      <c r="F148" s="621"/>
      <c r="G148" s="621"/>
      <c r="H148" s="621"/>
      <c r="I148" s="621"/>
      <c r="J148" s="621"/>
      <c r="K148" s="621"/>
      <c r="L148" s="621"/>
      <c r="M148" s="621"/>
      <c r="N148" s="621"/>
      <c r="O148" s="621"/>
      <c r="P148" s="622"/>
      <c r="Q148" s="492"/>
    </row>
    <row r="149" spans="2:17">
      <c r="B149" s="657"/>
      <c r="C149" s="492"/>
      <c r="D149" s="492"/>
      <c r="E149" s="492"/>
      <c r="F149" s="492"/>
      <c r="G149" s="492"/>
      <c r="H149" s="492"/>
      <c r="I149" s="492"/>
      <c r="J149" s="492"/>
      <c r="K149" s="492"/>
      <c r="L149" s="492"/>
      <c r="M149" s="492"/>
      <c r="N149" s="492"/>
      <c r="O149" s="492"/>
      <c r="P149" s="625"/>
      <c r="Q149" s="492"/>
    </row>
    <row r="150" spans="2:17">
      <c r="B150" s="657"/>
      <c r="C150" s="492"/>
      <c r="D150" s="492"/>
      <c r="E150" s="492"/>
      <c r="F150" s="492"/>
      <c r="G150" s="492"/>
      <c r="H150" s="492"/>
      <c r="I150" s="492"/>
      <c r="J150" s="492"/>
      <c r="K150" s="492"/>
      <c r="L150" s="492"/>
      <c r="M150" s="492"/>
      <c r="N150" s="492"/>
      <c r="O150" s="492"/>
      <c r="P150" s="625"/>
      <c r="Q150" s="492"/>
    </row>
    <row r="151" spans="2:17">
      <c r="B151" s="657"/>
      <c r="C151" s="492"/>
      <c r="D151" s="492"/>
      <c r="E151" s="492"/>
      <c r="F151" s="492"/>
      <c r="G151" s="492"/>
      <c r="H151" s="492"/>
      <c r="I151" s="492"/>
      <c r="J151" s="492"/>
      <c r="K151" s="492"/>
      <c r="L151" s="492"/>
      <c r="M151" s="492"/>
      <c r="N151" s="492"/>
      <c r="O151" s="492"/>
      <c r="P151" s="625"/>
      <c r="Q151" s="492"/>
    </row>
    <row r="152" spans="2:17">
      <c r="B152" s="657"/>
      <c r="C152" s="492"/>
      <c r="D152" s="492"/>
      <c r="E152" s="492"/>
      <c r="F152" s="492"/>
      <c r="G152" s="492"/>
      <c r="H152" s="492"/>
      <c r="I152" s="492"/>
      <c r="J152" s="492"/>
      <c r="K152" s="492"/>
      <c r="L152" s="624" t="s">
        <v>114</v>
      </c>
      <c r="M152" s="624" t="s">
        <v>53</v>
      </c>
      <c r="N152" s="624" t="s">
        <v>54</v>
      </c>
      <c r="O152" s="671" t="s">
        <v>1047</v>
      </c>
      <c r="P152" s="625"/>
      <c r="Q152" s="492"/>
    </row>
    <row r="153" spans="2:17">
      <c r="B153" s="657"/>
      <c r="C153" s="492"/>
      <c r="D153" s="492"/>
      <c r="E153" s="492"/>
      <c r="F153" s="492"/>
      <c r="G153" s="492"/>
      <c r="H153" s="492"/>
      <c r="I153" s="492"/>
      <c r="J153" s="492"/>
      <c r="K153" s="492"/>
      <c r="L153" s="624">
        <v>0.6</v>
      </c>
      <c r="M153" s="624">
        <v>68</v>
      </c>
      <c r="N153" s="624">
        <v>15</v>
      </c>
      <c r="O153" s="624">
        <f>L153*(1+(M153/N153))</f>
        <v>3.32</v>
      </c>
      <c r="P153" s="625"/>
      <c r="Q153" s="492"/>
    </row>
    <row r="154" spans="2:17">
      <c r="B154" s="657"/>
      <c r="C154" s="492"/>
      <c r="D154" s="492"/>
      <c r="E154" s="492"/>
      <c r="F154" s="492"/>
      <c r="G154" s="492"/>
      <c r="H154" s="492"/>
      <c r="I154" s="492"/>
      <c r="J154" s="492"/>
      <c r="K154" s="492"/>
      <c r="L154" s="624">
        <v>0.6</v>
      </c>
      <c r="M154" s="624">
        <v>115</v>
      </c>
      <c r="N154" s="624">
        <v>25.5</v>
      </c>
      <c r="O154" s="624">
        <f t="shared" ref="O154:O165" si="18">L154*(1+(M154/N154))</f>
        <v>3.30588235294118</v>
      </c>
      <c r="P154" s="625"/>
      <c r="Q154" s="492"/>
    </row>
    <row r="155" spans="2:17">
      <c r="B155" s="657"/>
      <c r="C155" s="492"/>
      <c r="D155" s="492"/>
      <c r="E155" s="492"/>
      <c r="F155" s="492"/>
      <c r="G155" s="492"/>
      <c r="H155" s="492"/>
      <c r="I155" s="492"/>
      <c r="J155" s="492"/>
      <c r="K155" s="492"/>
      <c r="L155" s="624">
        <v>0.6</v>
      </c>
      <c r="M155" s="624">
        <v>300</v>
      </c>
      <c r="N155" s="624">
        <v>62</v>
      </c>
      <c r="O155" s="624">
        <f t="shared" si="18"/>
        <v>3.50322580645161</v>
      </c>
      <c r="P155" s="625"/>
      <c r="Q155" s="492"/>
    </row>
    <row r="156" spans="2:17">
      <c r="B156" s="657"/>
      <c r="C156" s="492"/>
      <c r="D156" s="492"/>
      <c r="E156" s="492"/>
      <c r="F156" s="492"/>
      <c r="G156" s="492"/>
      <c r="H156" s="492"/>
      <c r="I156" s="492"/>
      <c r="J156" s="492"/>
      <c r="K156" s="492"/>
      <c r="L156" s="624">
        <v>0.6</v>
      </c>
      <c r="M156" s="624">
        <v>300</v>
      </c>
      <c r="N156" s="624">
        <v>63</v>
      </c>
      <c r="O156" s="624">
        <f t="shared" si="18"/>
        <v>3.45714285714286</v>
      </c>
      <c r="P156" s="625"/>
      <c r="Q156" s="492"/>
    </row>
    <row r="157" spans="2:17">
      <c r="B157" s="657"/>
      <c r="C157" s="492"/>
      <c r="D157" s="492"/>
      <c r="E157" s="492"/>
      <c r="F157" s="492"/>
      <c r="G157" s="492"/>
      <c r="H157" s="492"/>
      <c r="I157" s="492"/>
      <c r="J157" s="492"/>
      <c r="K157" s="492"/>
      <c r="L157" s="624">
        <v>0.6</v>
      </c>
      <c r="M157" s="624">
        <v>300</v>
      </c>
      <c r="N157" s="624">
        <v>64</v>
      </c>
      <c r="O157" s="624">
        <f t="shared" si="18"/>
        <v>3.4125</v>
      </c>
      <c r="P157" s="625"/>
      <c r="Q157" s="492"/>
    </row>
    <row r="158" spans="2:17">
      <c r="B158" s="657"/>
      <c r="C158" s="492"/>
      <c r="D158" s="492"/>
      <c r="E158" s="492"/>
      <c r="F158" s="492"/>
      <c r="G158" s="492"/>
      <c r="H158" s="492"/>
      <c r="I158" s="492"/>
      <c r="J158" s="492"/>
      <c r="K158" s="492"/>
      <c r="L158" s="624">
        <v>0.6</v>
      </c>
      <c r="M158" s="624">
        <v>300</v>
      </c>
      <c r="N158" s="624">
        <v>65</v>
      </c>
      <c r="O158" s="624">
        <f t="shared" si="18"/>
        <v>3.36923076923077</v>
      </c>
      <c r="P158" s="625"/>
      <c r="Q158" s="492"/>
    </row>
    <row r="159" spans="2:17">
      <c r="B159" s="657"/>
      <c r="C159" s="492"/>
      <c r="D159" s="492"/>
      <c r="E159" s="492"/>
      <c r="F159" s="492"/>
      <c r="G159" s="492"/>
      <c r="H159" s="492"/>
      <c r="I159" s="492"/>
      <c r="J159" s="492"/>
      <c r="K159" s="492"/>
      <c r="L159" s="624">
        <v>0.6</v>
      </c>
      <c r="M159" s="624">
        <v>300</v>
      </c>
      <c r="N159" s="624">
        <v>66</v>
      </c>
      <c r="O159" s="624">
        <f t="shared" si="18"/>
        <v>3.32727272727273</v>
      </c>
      <c r="P159" s="625"/>
      <c r="Q159" s="492"/>
    </row>
    <row r="160" spans="2:17">
      <c r="B160" s="657"/>
      <c r="C160" s="492"/>
      <c r="D160" s="492"/>
      <c r="E160" s="492"/>
      <c r="F160" s="492"/>
      <c r="G160" s="492"/>
      <c r="H160" s="492"/>
      <c r="I160" s="492"/>
      <c r="J160" s="492"/>
      <c r="K160" s="492"/>
      <c r="L160" s="624">
        <v>0.6</v>
      </c>
      <c r="M160" s="624">
        <v>300</v>
      </c>
      <c r="N160" s="624">
        <v>67</v>
      </c>
      <c r="O160" s="624">
        <f t="shared" si="18"/>
        <v>3.2865671641791</v>
      </c>
      <c r="P160" s="625"/>
      <c r="Q160" s="492"/>
    </row>
    <row r="161" spans="2:17">
      <c r="B161" s="657"/>
      <c r="C161" s="492"/>
      <c r="D161" s="492"/>
      <c r="E161" s="492"/>
      <c r="F161" s="492"/>
      <c r="G161" s="492"/>
      <c r="H161" s="492"/>
      <c r="I161" s="492"/>
      <c r="J161" s="492"/>
      <c r="K161" s="492"/>
      <c r="L161" s="624">
        <v>0.6</v>
      </c>
      <c r="M161" s="624">
        <v>300</v>
      </c>
      <c r="N161" s="624">
        <v>68</v>
      </c>
      <c r="O161" s="624">
        <f t="shared" si="18"/>
        <v>3.24705882352941</v>
      </c>
      <c r="P161" s="625"/>
      <c r="Q161" s="492"/>
    </row>
    <row r="162" spans="2:17">
      <c r="B162" s="657"/>
      <c r="C162" s="492"/>
      <c r="D162" s="492"/>
      <c r="E162" s="492"/>
      <c r="F162" s="492"/>
      <c r="G162" s="492"/>
      <c r="H162" s="492"/>
      <c r="I162" s="492"/>
      <c r="J162" s="492"/>
      <c r="K162" s="492"/>
      <c r="L162" s="624">
        <v>0.6</v>
      </c>
      <c r="M162" s="624">
        <v>300</v>
      </c>
      <c r="N162" s="624">
        <v>69</v>
      </c>
      <c r="O162" s="624">
        <f t="shared" si="18"/>
        <v>3.20869565217391</v>
      </c>
      <c r="P162" s="625"/>
      <c r="Q162" s="492"/>
    </row>
    <row r="163" spans="2:17">
      <c r="B163" s="657"/>
      <c r="C163" s="492"/>
      <c r="D163" s="492"/>
      <c r="E163" s="492"/>
      <c r="F163" s="492"/>
      <c r="G163" s="492"/>
      <c r="H163" s="492"/>
      <c r="I163" s="492"/>
      <c r="J163" s="492"/>
      <c r="K163" s="492"/>
      <c r="L163" s="624">
        <v>0.6</v>
      </c>
      <c r="M163" s="624">
        <v>300</v>
      </c>
      <c r="N163" s="624">
        <v>70</v>
      </c>
      <c r="O163" s="624">
        <f t="shared" si="18"/>
        <v>3.17142857142857</v>
      </c>
      <c r="P163" s="625"/>
      <c r="Q163" s="492"/>
    </row>
    <row r="164" spans="2:17">
      <c r="B164" s="657"/>
      <c r="C164" s="492"/>
      <c r="D164" s="492"/>
      <c r="E164" s="492"/>
      <c r="F164" s="492"/>
      <c r="G164" s="492"/>
      <c r="H164" s="492"/>
      <c r="I164" s="492"/>
      <c r="J164" s="492"/>
      <c r="K164" s="492"/>
      <c r="L164" s="624">
        <v>0.6</v>
      </c>
      <c r="M164" s="624">
        <v>300</v>
      </c>
      <c r="N164" s="624">
        <v>71</v>
      </c>
      <c r="O164" s="624">
        <f t="shared" si="18"/>
        <v>3.13521126760563</v>
      </c>
      <c r="P164" s="625"/>
      <c r="Q164" s="492"/>
    </row>
    <row r="165" spans="2:17">
      <c r="B165" s="657"/>
      <c r="C165" s="492"/>
      <c r="D165" s="492"/>
      <c r="E165" s="492"/>
      <c r="F165" s="492"/>
      <c r="G165" s="492"/>
      <c r="H165" s="492"/>
      <c r="I165" s="492"/>
      <c r="J165" s="492"/>
      <c r="K165" s="492"/>
      <c r="L165" s="624">
        <v>0.6</v>
      </c>
      <c r="M165" s="624">
        <v>300</v>
      </c>
      <c r="N165" s="624">
        <v>72</v>
      </c>
      <c r="O165" s="624">
        <f t="shared" si="18"/>
        <v>3.1</v>
      </c>
      <c r="P165" s="625"/>
      <c r="Q165" s="492"/>
    </row>
    <row r="166" spans="2:17">
      <c r="B166" s="657"/>
      <c r="C166" s="492"/>
      <c r="D166" s="492"/>
      <c r="E166" s="492"/>
      <c r="F166" s="492"/>
      <c r="G166" s="492"/>
      <c r="H166" s="492"/>
      <c r="I166" s="492"/>
      <c r="J166" s="492"/>
      <c r="K166" s="492"/>
      <c r="L166" s="624">
        <v>0.6</v>
      </c>
      <c r="M166" s="624">
        <v>11</v>
      </c>
      <c r="N166" s="624">
        <v>11</v>
      </c>
      <c r="O166" s="624">
        <f t="shared" ref="O166" si="19">L166*(1+(M166/N166))</f>
        <v>1.2</v>
      </c>
      <c r="P166" s="625"/>
      <c r="Q166" s="492"/>
    </row>
    <row r="167" spans="2:17">
      <c r="B167" s="657"/>
      <c r="C167" s="492"/>
      <c r="D167" s="492"/>
      <c r="E167" s="492"/>
      <c r="F167" s="492"/>
      <c r="G167" s="492"/>
      <c r="H167" s="492"/>
      <c r="I167" s="492"/>
      <c r="J167" s="492"/>
      <c r="K167" s="492"/>
      <c r="L167" s="492"/>
      <c r="M167" s="492"/>
      <c r="N167" s="492"/>
      <c r="O167" s="492"/>
      <c r="P167" s="625"/>
      <c r="Q167" s="492"/>
    </row>
    <row r="168" spans="2:17">
      <c r="B168" s="657"/>
      <c r="C168" s="492"/>
      <c r="D168" s="492"/>
      <c r="E168" s="492"/>
      <c r="F168" s="492"/>
      <c r="G168" s="492"/>
      <c r="H168" s="492"/>
      <c r="I168" s="492"/>
      <c r="J168" s="492"/>
      <c r="K168" s="492"/>
      <c r="L168" s="492"/>
      <c r="M168" s="492"/>
      <c r="N168" s="492"/>
      <c r="O168" s="492"/>
      <c r="P168" s="625"/>
      <c r="Q168" s="492"/>
    </row>
    <row r="169" ht="14.25" spans="2:17">
      <c r="B169" s="660"/>
      <c r="C169" s="629"/>
      <c r="D169" s="629"/>
      <c r="E169" s="629"/>
      <c r="F169" s="629"/>
      <c r="G169" s="629"/>
      <c r="H169" s="629"/>
      <c r="I169" s="629"/>
      <c r="J169" s="629"/>
      <c r="K169" s="629"/>
      <c r="L169" s="629"/>
      <c r="M169" s="629"/>
      <c r="N169" s="629"/>
      <c r="O169" s="629"/>
      <c r="P169" s="630"/>
      <c r="Q169" s="492"/>
    </row>
    <row r="170" spans="2:17">
      <c r="B170" s="492"/>
      <c r="C170" s="492"/>
      <c r="D170" s="492"/>
      <c r="E170" s="492"/>
      <c r="F170" s="492"/>
      <c r="G170" s="492"/>
      <c r="H170" s="492"/>
      <c r="I170" s="492"/>
      <c r="J170" s="492"/>
      <c r="K170" s="492"/>
      <c r="L170" s="492"/>
      <c r="M170" s="492"/>
      <c r="N170" s="492"/>
      <c r="O170" s="492"/>
      <c r="P170" s="492"/>
      <c r="Q170" s="492"/>
    </row>
    <row r="171" spans="2:17">
      <c r="B171" s="492"/>
      <c r="C171" s="492"/>
      <c r="D171" s="492"/>
      <c r="E171" s="492"/>
      <c r="F171" s="492"/>
      <c r="G171" s="492"/>
      <c r="H171" s="492"/>
      <c r="I171" s="492"/>
      <c r="J171" s="492"/>
      <c r="K171" s="492"/>
      <c r="L171" s="492"/>
      <c r="M171" s="492"/>
      <c r="N171" s="492"/>
      <c r="O171" s="492"/>
      <c r="P171" s="492"/>
      <c r="Q171" s="492"/>
    </row>
    <row r="172" spans="2:17">
      <c r="B172" s="492"/>
      <c r="C172" s="492"/>
      <c r="D172" s="492"/>
      <c r="E172" s="492"/>
      <c r="F172" s="492"/>
      <c r="G172" s="492"/>
      <c r="H172" s="492"/>
      <c r="I172" s="492"/>
      <c r="J172" s="492"/>
      <c r="K172" s="492"/>
      <c r="L172" s="492"/>
      <c r="M172" s="492"/>
      <c r="N172" s="492"/>
      <c r="O172" s="492"/>
      <c r="P172" s="492"/>
      <c r="Q172" s="492"/>
    </row>
    <row r="173" spans="2:17">
      <c r="B173" s="492"/>
      <c r="C173" s="492"/>
      <c r="D173" s="492"/>
      <c r="E173" s="492"/>
      <c r="F173" s="492"/>
      <c r="G173" s="492"/>
      <c r="H173" s="492"/>
      <c r="I173" s="492"/>
      <c r="J173" s="492"/>
      <c r="K173" s="492"/>
      <c r="L173" s="492"/>
      <c r="M173" s="492"/>
      <c r="N173" s="492"/>
      <c r="O173" s="492"/>
      <c r="P173" s="492"/>
      <c r="Q173" s="492"/>
    </row>
    <row r="174" spans="2:17">
      <c r="B174" s="492"/>
      <c r="C174" s="492"/>
      <c r="D174" s="492"/>
      <c r="E174" s="492"/>
      <c r="F174" s="492"/>
      <c r="G174" s="492"/>
      <c r="H174" s="492"/>
      <c r="I174" s="492"/>
      <c r="J174" s="492"/>
      <c r="K174" s="492"/>
      <c r="L174" s="492"/>
      <c r="M174" s="492"/>
      <c r="N174" s="492"/>
      <c r="O174" s="492"/>
      <c r="P174" s="492"/>
      <c r="Q174" s="492"/>
    </row>
    <row r="175" spans="2:17">
      <c r="B175" s="492"/>
      <c r="C175" s="492"/>
      <c r="D175" s="492"/>
      <c r="E175" s="492"/>
      <c r="F175" s="492"/>
      <c r="G175" s="492"/>
      <c r="H175" s="492"/>
      <c r="I175" s="492"/>
      <c r="J175" s="492"/>
      <c r="K175" s="492"/>
      <c r="L175" s="492"/>
      <c r="M175" s="492"/>
      <c r="N175" s="492"/>
      <c r="O175" s="492"/>
      <c r="P175" s="492"/>
      <c r="Q175" s="492"/>
    </row>
    <row r="176" spans="2:17">
      <c r="B176" s="492"/>
      <c r="C176" s="492"/>
      <c r="D176" s="492"/>
      <c r="E176" s="492"/>
      <c r="F176" s="492"/>
      <c r="G176" s="492"/>
      <c r="H176" s="492"/>
      <c r="I176" s="492"/>
      <c r="J176" s="492"/>
      <c r="K176" s="492"/>
      <c r="L176" s="492"/>
      <c r="M176" s="492"/>
      <c r="N176" s="492"/>
      <c r="O176" s="492"/>
      <c r="P176" s="492"/>
      <c r="Q176" s="492"/>
    </row>
    <row r="177" spans="2:17">
      <c r="B177" s="492"/>
      <c r="C177" s="492"/>
      <c r="D177" s="492"/>
      <c r="E177" s="492"/>
      <c r="F177" s="492"/>
      <c r="G177" s="492"/>
      <c r="H177" s="492"/>
      <c r="I177" s="492"/>
      <c r="J177" s="492"/>
      <c r="K177" s="492"/>
      <c r="L177" s="492"/>
      <c r="M177" s="492"/>
      <c r="N177" s="492"/>
      <c r="O177" s="492"/>
      <c r="P177" s="492"/>
      <c r="Q177" s="492"/>
    </row>
    <row r="178" spans="2:17">
      <c r="B178" s="492"/>
      <c r="C178" s="492"/>
      <c r="D178" s="492"/>
      <c r="E178" s="492"/>
      <c r="F178" s="492"/>
      <c r="G178" s="492"/>
      <c r="H178" s="492"/>
      <c r="I178" s="492"/>
      <c r="J178" s="492"/>
      <c r="K178" s="492"/>
      <c r="L178" s="492"/>
      <c r="M178" s="492"/>
      <c r="N178" s="492"/>
      <c r="O178" s="492"/>
      <c r="P178" s="492"/>
      <c r="Q178" s="492"/>
    </row>
    <row r="179" spans="2:17">
      <c r="B179" s="492"/>
      <c r="C179" s="492"/>
      <c r="D179" s="492"/>
      <c r="E179" s="492"/>
      <c r="F179" s="492"/>
      <c r="G179" s="492"/>
      <c r="H179" s="492"/>
      <c r="I179" s="492"/>
      <c r="J179" s="492"/>
      <c r="K179" s="492"/>
      <c r="L179" s="492"/>
      <c r="M179" s="492"/>
      <c r="N179" s="492"/>
      <c r="O179" s="492"/>
      <c r="P179" s="492"/>
      <c r="Q179" s="492"/>
    </row>
  </sheetData>
  <mergeCells count="5">
    <mergeCell ref="C9:J9"/>
    <mergeCell ref="C20:J20"/>
    <mergeCell ref="N26:O26"/>
    <mergeCell ref="N27:O27"/>
    <mergeCell ref="F32:J32"/>
  </mergeCells>
  <dataValidations count="1">
    <dataValidation allowBlank="1" showInputMessage="1" sqref="I131:J137"/>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8000"/>
  </sheetPr>
  <dimension ref="B8:D8"/>
  <sheetViews>
    <sheetView workbookViewId="0">
      <selection activeCell="B8" sqref="B8"/>
    </sheetView>
  </sheetViews>
  <sheetFormatPr defaultColWidth="9" defaultRowHeight="13.5" outlineLevelRow="7" outlineLevelCol="3"/>
  <sheetData>
    <row r="8" spans="2:4">
      <c r="B8" t="s">
        <v>1087</v>
      </c>
      <c r="D8" s="573" t="s">
        <v>1088</v>
      </c>
    </row>
  </sheetData>
  <hyperlinks>
    <hyperlink ref="D8" r:id="rId1" display="http://sim.okawa-denshi.jp/en/Fkeisan.htm"/>
  </hyperlinks>
  <pageMargins left="0.7" right="0.7"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8000"/>
  </sheetPr>
  <dimension ref="B8:D8"/>
  <sheetViews>
    <sheetView workbookViewId="0">
      <selection activeCell="K20" sqref="K20"/>
    </sheetView>
  </sheetViews>
  <sheetFormatPr defaultColWidth="9" defaultRowHeight="13.5" outlineLevelRow="7" outlineLevelCol="3"/>
  <sheetData>
    <row r="8" spans="2:4">
      <c r="B8" t="s">
        <v>1087</v>
      </c>
      <c r="D8" s="573" t="s">
        <v>1088</v>
      </c>
    </row>
  </sheetData>
  <hyperlinks>
    <hyperlink ref="D8" r:id="rId1" display="http://sim.okawa-denshi.jp/en/Fkeisan.htm"/>
  </hyperlinks>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tabColor rgb="FF008000"/>
  </sheetPr>
  <dimension ref="B4:J65"/>
  <sheetViews>
    <sheetView showGridLines="0" workbookViewId="0">
      <selection activeCell="B33" sqref="B33"/>
    </sheetView>
  </sheetViews>
  <sheetFormatPr defaultColWidth="9" defaultRowHeight="13.5"/>
  <cols>
    <col min="2" max="2" width="16.25" style="489" customWidth="1"/>
    <col min="3" max="3" width="9.5" style="490" customWidth="1"/>
    <col min="4" max="4" width="11.875" style="491" customWidth="1"/>
    <col min="5" max="5" width="44" customWidth="1"/>
    <col min="6" max="6" width="1.875" style="492" customWidth="1"/>
    <col min="7" max="7" width="16.375" style="493" customWidth="1"/>
    <col min="8" max="8" width="9.25" style="490" customWidth="1"/>
    <col min="9" max="9" width="8.75" style="491" customWidth="1"/>
    <col min="10" max="10" width="59.125" customWidth="1"/>
  </cols>
  <sheetData>
    <row r="4" ht="14.25"/>
    <row r="5" ht="25.15" customHeight="1" spans="2:10">
      <c r="B5" s="494" t="s">
        <v>1089</v>
      </c>
      <c r="C5" s="495"/>
      <c r="D5" s="495"/>
      <c r="E5" s="495"/>
      <c r="F5" s="495"/>
      <c r="G5" s="495"/>
      <c r="H5" s="495"/>
      <c r="I5" s="495"/>
      <c r="J5" s="552"/>
    </row>
    <row r="6" ht="15" spans="2:10">
      <c r="B6" s="496" t="s">
        <v>1090</v>
      </c>
      <c r="C6" s="497"/>
      <c r="D6" s="497"/>
      <c r="E6" s="497"/>
      <c r="F6" s="497"/>
      <c r="G6" s="497"/>
      <c r="H6" s="497"/>
      <c r="I6" s="497"/>
      <c r="J6" s="553"/>
    </row>
    <row r="7" ht="15" spans="2:10">
      <c r="B7" s="496" t="s">
        <v>1091</v>
      </c>
      <c r="C7" s="497"/>
      <c r="D7" s="497"/>
      <c r="E7" s="497"/>
      <c r="F7" s="497"/>
      <c r="G7" s="497"/>
      <c r="H7" s="497"/>
      <c r="I7" s="497"/>
      <c r="J7" s="553"/>
    </row>
    <row r="8" ht="15.75" spans="2:10">
      <c r="B8" s="498" t="s">
        <v>1092</v>
      </c>
      <c r="C8" s="499"/>
      <c r="D8" s="499"/>
      <c r="E8" s="499"/>
      <c r="F8" s="499"/>
      <c r="G8" s="499"/>
      <c r="H8" s="499"/>
      <c r="I8" s="499"/>
      <c r="J8" s="554"/>
    </row>
    <row r="9" ht="15" spans="2:10">
      <c r="B9" s="500" t="s">
        <v>1093</v>
      </c>
      <c r="C9" s="501" t="s">
        <v>1094</v>
      </c>
      <c r="D9" s="502" t="s">
        <v>1095</v>
      </c>
      <c r="E9" s="503" t="s">
        <v>414</v>
      </c>
      <c r="F9" s="504"/>
      <c r="G9" s="497"/>
      <c r="H9" s="497"/>
      <c r="I9" s="497"/>
      <c r="J9" s="553"/>
    </row>
    <row r="10" ht="15" spans="2:10">
      <c r="B10" s="505" t="s">
        <v>1096</v>
      </c>
      <c r="C10" s="506">
        <v>24</v>
      </c>
      <c r="D10" s="507" t="s">
        <v>220</v>
      </c>
      <c r="E10" s="508" t="s">
        <v>1097</v>
      </c>
      <c r="F10" s="504"/>
      <c r="G10" s="497"/>
      <c r="H10" s="497"/>
      <c r="I10" s="497"/>
      <c r="J10" s="553"/>
    </row>
    <row r="11" s="488" customFormat="1" ht="15" spans="2:10">
      <c r="B11" s="505" t="s">
        <v>1098</v>
      </c>
      <c r="C11" s="506">
        <v>3.8</v>
      </c>
      <c r="D11" s="507" t="s">
        <v>220</v>
      </c>
      <c r="E11" s="508" t="s">
        <v>1099</v>
      </c>
      <c r="F11" s="509"/>
      <c r="G11" s="497"/>
      <c r="H11" s="497"/>
      <c r="I11" s="497"/>
      <c r="J11" s="553"/>
    </row>
    <row r="12" ht="15" spans="2:10">
      <c r="B12" s="505" t="s">
        <v>1100</v>
      </c>
      <c r="C12" s="506">
        <v>3</v>
      </c>
      <c r="D12" s="507" t="s">
        <v>345</v>
      </c>
      <c r="E12" s="508" t="s">
        <v>1101</v>
      </c>
      <c r="F12" s="504"/>
      <c r="G12" s="497"/>
      <c r="H12" s="497"/>
      <c r="I12" s="497"/>
      <c r="J12" s="553"/>
    </row>
    <row r="13" ht="15" spans="2:10">
      <c r="B13" s="505" t="s">
        <v>1102</v>
      </c>
      <c r="C13" s="506">
        <v>1000</v>
      </c>
      <c r="D13" s="507" t="s">
        <v>1103</v>
      </c>
      <c r="E13" s="508" t="s">
        <v>1104</v>
      </c>
      <c r="F13" s="504"/>
      <c r="G13" s="497"/>
      <c r="H13" s="497"/>
      <c r="I13" s="497"/>
      <c r="J13" s="553"/>
    </row>
    <row r="14" ht="15" spans="2:10">
      <c r="B14" s="505" t="s">
        <v>1105</v>
      </c>
      <c r="C14" s="506">
        <v>20</v>
      </c>
      <c r="D14" s="507" t="s">
        <v>237</v>
      </c>
      <c r="E14" s="508" t="s">
        <v>1106</v>
      </c>
      <c r="F14" s="504"/>
      <c r="G14" s="497"/>
      <c r="H14" s="497"/>
      <c r="I14" s="497"/>
      <c r="J14" s="553"/>
    </row>
    <row r="15" ht="15" spans="2:10">
      <c r="B15" s="505" t="s">
        <v>1107</v>
      </c>
      <c r="C15" s="510">
        <f>C14*C12/1000</f>
        <v>0.06</v>
      </c>
      <c r="D15" s="507" t="s">
        <v>220</v>
      </c>
      <c r="E15" s="508" t="s">
        <v>1108</v>
      </c>
      <c r="F15" s="504"/>
      <c r="G15" s="497"/>
      <c r="H15" s="497"/>
      <c r="I15" s="497"/>
      <c r="J15" s="553"/>
    </row>
    <row r="16" ht="15" spans="2:10">
      <c r="B16" s="505" t="s">
        <v>1109</v>
      </c>
      <c r="C16" s="506">
        <v>30</v>
      </c>
      <c r="D16" s="507" t="s">
        <v>237</v>
      </c>
      <c r="E16" s="508" t="s">
        <v>1110</v>
      </c>
      <c r="F16" s="504"/>
      <c r="G16" s="497"/>
      <c r="H16" s="497"/>
      <c r="I16" s="497"/>
      <c r="J16" s="553"/>
    </row>
    <row r="17" ht="15" spans="2:10">
      <c r="B17" s="505" t="s">
        <v>1111</v>
      </c>
      <c r="C17" s="510">
        <f>C16*C12/1000</f>
        <v>0.09</v>
      </c>
      <c r="D17" s="507" t="s">
        <v>220</v>
      </c>
      <c r="E17" s="508" t="s">
        <v>1112</v>
      </c>
      <c r="F17" s="504"/>
      <c r="G17" s="497"/>
      <c r="H17" s="497"/>
      <c r="I17" s="497"/>
      <c r="J17" s="553"/>
    </row>
    <row r="18" ht="15" spans="2:10">
      <c r="B18" s="505" t="s">
        <v>747</v>
      </c>
      <c r="C18" s="510">
        <f>(C17+C11)/(C10-C15+C17)</f>
        <v>0.161880982105701</v>
      </c>
      <c r="D18" s="507" t="s">
        <v>1113</v>
      </c>
      <c r="E18" s="508" t="s">
        <v>1114</v>
      </c>
      <c r="F18" s="504"/>
      <c r="G18" s="497"/>
      <c r="H18" s="497"/>
      <c r="I18" s="497"/>
      <c r="J18" s="553"/>
    </row>
    <row r="19" ht="15" spans="2:10">
      <c r="B19" s="505" t="s">
        <v>916</v>
      </c>
      <c r="C19" s="510">
        <f>1/C13*1000</f>
        <v>1</v>
      </c>
      <c r="D19" s="507" t="s">
        <v>241</v>
      </c>
      <c r="E19" s="508" t="s">
        <v>1115</v>
      </c>
      <c r="F19" s="504"/>
      <c r="G19" s="497"/>
      <c r="H19" s="497"/>
      <c r="I19" s="497"/>
      <c r="J19" s="553"/>
    </row>
    <row r="20" ht="15" spans="2:10">
      <c r="B20" s="500" t="s">
        <v>1116</v>
      </c>
      <c r="C20" s="511">
        <f>C19*C18</f>
        <v>0.161880982105701</v>
      </c>
      <c r="D20" s="512" t="s">
        <v>241</v>
      </c>
      <c r="E20" s="513" t="s">
        <v>1117</v>
      </c>
      <c r="F20" s="504"/>
      <c r="G20" s="497"/>
      <c r="H20" s="497"/>
      <c r="I20" s="497"/>
      <c r="J20" s="553"/>
    </row>
    <row r="21" ht="15" spans="2:10">
      <c r="B21" s="505" t="s">
        <v>1118</v>
      </c>
      <c r="C21" s="510">
        <f>(C10-C15-C11)*(C17+C11)/(C10-C15+C17)/(C13*1000)/C22/C12*1000000</f>
        <v>3.6225366440098</v>
      </c>
      <c r="D21" s="507" t="s">
        <v>194</v>
      </c>
      <c r="E21" s="508" t="s">
        <v>1119</v>
      </c>
      <c r="F21" s="504"/>
      <c r="G21" s="497"/>
      <c r="H21" s="497"/>
      <c r="I21" s="497"/>
      <c r="J21" s="553"/>
    </row>
    <row r="22" ht="30" spans="2:10">
      <c r="B22" s="505" t="s">
        <v>902</v>
      </c>
      <c r="C22" s="506">
        <v>0.3</v>
      </c>
      <c r="D22" s="507" t="s">
        <v>1113</v>
      </c>
      <c r="E22" s="514" t="s">
        <v>1120</v>
      </c>
      <c r="F22" s="504"/>
      <c r="G22" s="515"/>
      <c r="H22" s="515"/>
      <c r="I22" s="515"/>
      <c r="J22" s="555"/>
    </row>
    <row r="23" ht="15" spans="2:10">
      <c r="B23" s="505" t="s">
        <v>1121</v>
      </c>
      <c r="C23" s="510">
        <f>C22*C12</f>
        <v>0.9</v>
      </c>
      <c r="D23" s="507" t="s">
        <v>345</v>
      </c>
      <c r="E23" s="508" t="s">
        <v>1122</v>
      </c>
      <c r="F23" s="504"/>
      <c r="G23" s="516" t="s">
        <v>1093</v>
      </c>
      <c r="H23" s="517" t="s">
        <v>1094</v>
      </c>
      <c r="I23" s="556" t="s">
        <v>1095</v>
      </c>
      <c r="J23" s="557" t="s">
        <v>414</v>
      </c>
    </row>
    <row r="24" ht="15" spans="2:10">
      <c r="B24" s="505" t="s">
        <v>1123</v>
      </c>
      <c r="C24" s="510">
        <f>C12+C22*C12/2</f>
        <v>3.45</v>
      </c>
      <c r="D24" s="507" t="s">
        <v>345</v>
      </c>
      <c r="E24" s="508" t="s">
        <v>1124</v>
      </c>
      <c r="F24" s="504"/>
      <c r="G24" s="518" t="s">
        <v>67</v>
      </c>
      <c r="H24" s="506">
        <v>4.7</v>
      </c>
      <c r="I24" s="507" t="s">
        <v>194</v>
      </c>
      <c r="J24" s="558" t="s">
        <v>1125</v>
      </c>
    </row>
    <row r="25" ht="30" spans="2:10">
      <c r="B25" s="505" t="s">
        <v>1126</v>
      </c>
      <c r="C25" s="510">
        <f>SQRT(C12^2+1/12*((C10-C15-C11)*(C17+C11)/(C10-C15+C17)/(C21*0.000001)/(C13*1000))^2)</f>
        <v>3.01122898498271</v>
      </c>
      <c r="D25" s="507" t="s">
        <v>345</v>
      </c>
      <c r="E25" s="508" t="s">
        <v>1127</v>
      </c>
      <c r="F25" s="504"/>
      <c r="G25" s="518" t="s">
        <v>902</v>
      </c>
      <c r="H25" s="510">
        <f>(C10-C15-C11)*(C17+C11)/(C10-C15+C17)/(C13*1000)/(H24*0.000001)/C12</f>
        <v>0.231225743234668</v>
      </c>
      <c r="I25" s="507" t="s">
        <v>1113</v>
      </c>
      <c r="J25" s="559" t="s">
        <v>1120</v>
      </c>
    </row>
    <row r="26" ht="15" spans="2:10">
      <c r="B26" s="519" t="s">
        <v>1128</v>
      </c>
      <c r="C26" s="520"/>
      <c r="D26" s="520"/>
      <c r="E26" s="514"/>
      <c r="F26" s="504"/>
      <c r="G26" s="518" t="s">
        <v>1121</v>
      </c>
      <c r="H26" s="510">
        <f>C12*H25</f>
        <v>0.693677229704005</v>
      </c>
      <c r="I26" s="507" t="s">
        <v>345</v>
      </c>
      <c r="J26" s="558" t="s">
        <v>1122</v>
      </c>
    </row>
    <row r="27" ht="15" spans="2:10">
      <c r="B27" s="521"/>
      <c r="C27" s="520"/>
      <c r="D27" s="520"/>
      <c r="E27" s="514"/>
      <c r="F27" s="504"/>
      <c r="G27" s="518" t="s">
        <v>1123</v>
      </c>
      <c r="H27" s="510">
        <f>C12+H25*C12/2</f>
        <v>3.346838614852</v>
      </c>
      <c r="I27" s="507" t="s">
        <v>345</v>
      </c>
      <c r="J27" s="558" t="s">
        <v>1124</v>
      </c>
    </row>
    <row r="28" ht="15" spans="2:10">
      <c r="B28" s="521"/>
      <c r="C28" s="520"/>
      <c r="D28" s="520"/>
      <c r="E28" s="514"/>
      <c r="F28" s="504"/>
      <c r="G28" s="518" t="s">
        <v>1126</v>
      </c>
      <c r="H28" s="510">
        <f>SQRT(C12^2+1/12*((C10-C15-C11)*(C17+C11)/(C10-C15+C17)/(H24*0.000001)/(C13*1000))^2)</f>
        <v>3.0066757404567</v>
      </c>
      <c r="I28" s="507" t="s">
        <v>345</v>
      </c>
      <c r="J28" s="558" t="s">
        <v>1127</v>
      </c>
    </row>
    <row r="29" ht="15" spans="2:10">
      <c r="B29" s="522" t="s">
        <v>1129</v>
      </c>
      <c r="C29" s="506">
        <v>7</v>
      </c>
      <c r="D29" s="507" t="s">
        <v>220</v>
      </c>
      <c r="E29" s="508" t="s">
        <v>1130</v>
      </c>
      <c r="F29" s="504"/>
      <c r="G29" s="523" t="s">
        <v>1131</v>
      </c>
      <c r="H29" s="524"/>
      <c r="I29" s="524"/>
      <c r="J29" s="558"/>
    </row>
    <row r="30" ht="15" spans="2:10">
      <c r="B30" s="522" t="s">
        <v>1132</v>
      </c>
      <c r="C30" s="506">
        <v>28</v>
      </c>
      <c r="D30" s="507" t="s">
        <v>220</v>
      </c>
      <c r="E30" s="508" t="s">
        <v>1133</v>
      </c>
      <c r="F30" s="504"/>
      <c r="G30" s="525"/>
      <c r="H30" s="524"/>
      <c r="I30" s="524"/>
      <c r="J30" s="558"/>
    </row>
    <row r="31" ht="15" spans="2:10">
      <c r="B31" s="505" t="s">
        <v>1134</v>
      </c>
      <c r="C31" s="506">
        <f>C11*0.01*1000</f>
        <v>38</v>
      </c>
      <c r="D31" s="507" t="s">
        <v>221</v>
      </c>
      <c r="E31" s="508" t="s">
        <v>1135</v>
      </c>
      <c r="F31" s="504"/>
      <c r="G31" s="526"/>
      <c r="H31" s="527"/>
      <c r="I31" s="527"/>
      <c r="J31" s="560"/>
    </row>
    <row r="32" ht="15" spans="2:10">
      <c r="B32" s="505" t="s">
        <v>1136</v>
      </c>
      <c r="C32" s="510">
        <f>1/SQRT(12)*C11*(C30-C11)/(H24*0.000001)/(C13*1000)/C30</f>
        <v>0.201721621408351</v>
      </c>
      <c r="D32" s="507" t="s">
        <v>345</v>
      </c>
      <c r="E32" s="508" t="s">
        <v>1137</v>
      </c>
      <c r="F32" s="504"/>
      <c r="G32" s="528"/>
      <c r="H32" s="529"/>
      <c r="I32" s="561"/>
      <c r="J32" s="562"/>
    </row>
    <row r="33" ht="15" spans="2:10">
      <c r="B33" s="505" t="s">
        <v>1138</v>
      </c>
      <c r="C33" s="510">
        <f>H26/(8*C31*0.001*C13*1000)*1000000</f>
        <v>2.28183299244738</v>
      </c>
      <c r="D33" s="507" t="s">
        <v>196</v>
      </c>
      <c r="E33" s="508" t="s">
        <v>1139</v>
      </c>
      <c r="F33" s="504"/>
      <c r="G33" s="530"/>
      <c r="H33" s="531"/>
      <c r="I33" s="563"/>
      <c r="J33" s="553"/>
    </row>
    <row r="34" ht="15" spans="2:10">
      <c r="B34" s="532" t="s">
        <v>1140</v>
      </c>
      <c r="C34" s="533"/>
      <c r="D34" s="533"/>
      <c r="E34" s="534"/>
      <c r="F34" s="504"/>
      <c r="G34" s="530"/>
      <c r="H34" s="531"/>
      <c r="I34" s="563"/>
      <c r="J34" s="553"/>
    </row>
    <row r="35" ht="15" spans="2:10">
      <c r="B35" s="535"/>
      <c r="C35" s="533"/>
      <c r="D35" s="533"/>
      <c r="E35" s="534"/>
      <c r="F35" s="504"/>
      <c r="G35" s="530"/>
      <c r="H35" s="531"/>
      <c r="I35" s="563"/>
      <c r="J35" s="553"/>
    </row>
    <row r="36" ht="13.9" customHeight="1" spans="2:10">
      <c r="B36" s="536"/>
      <c r="C36" s="533"/>
      <c r="D36" s="533"/>
      <c r="E36" s="534"/>
      <c r="F36" s="504"/>
      <c r="G36" s="530"/>
      <c r="H36" s="531"/>
      <c r="I36" s="563"/>
      <c r="J36" s="553"/>
    </row>
    <row r="37" ht="13.9" customHeight="1" spans="2:10">
      <c r="B37" s="505" t="s">
        <v>1141</v>
      </c>
      <c r="C37" s="506">
        <v>100</v>
      </c>
      <c r="D37" s="507" t="s">
        <v>221</v>
      </c>
      <c r="E37" s="508" t="s">
        <v>1142</v>
      </c>
      <c r="F37" s="504"/>
      <c r="G37" s="530"/>
      <c r="H37" s="531"/>
      <c r="I37" s="563"/>
      <c r="J37" s="553"/>
    </row>
    <row r="38" ht="15" spans="2:10">
      <c r="B38" s="505" t="s">
        <v>1143</v>
      </c>
      <c r="C38" s="510">
        <f>SQRT(C11/C29*(C12^2*(1-C11/C29)+H26^2/12))</f>
        <v>1.50174479216861</v>
      </c>
      <c r="D38" s="507" t="s">
        <v>345</v>
      </c>
      <c r="E38" s="508" t="s">
        <v>1144</v>
      </c>
      <c r="F38" s="504"/>
      <c r="G38" s="530"/>
      <c r="H38" s="531"/>
      <c r="I38" s="563"/>
      <c r="J38" s="553"/>
    </row>
    <row r="39" ht="15" spans="2:10">
      <c r="B39" s="505" t="s">
        <v>1145</v>
      </c>
      <c r="C39" s="510">
        <f>C12*0.25/(C37*0.001*C13*1000)*1000000</f>
        <v>7.5</v>
      </c>
      <c r="D39" s="507" t="s">
        <v>196</v>
      </c>
      <c r="E39" s="508" t="s">
        <v>1146</v>
      </c>
      <c r="F39" s="504"/>
      <c r="G39" s="530"/>
      <c r="H39" s="531"/>
      <c r="I39" s="563"/>
      <c r="J39" s="553"/>
    </row>
    <row r="40" ht="15" spans="2:10">
      <c r="B40" s="532" t="s">
        <v>1147</v>
      </c>
      <c r="C40" s="537"/>
      <c r="D40" s="537"/>
      <c r="E40" s="538"/>
      <c r="F40" s="504"/>
      <c r="G40" s="530"/>
      <c r="H40" s="531"/>
      <c r="I40" s="563"/>
      <c r="J40" s="553"/>
    </row>
    <row r="41" ht="15" spans="2:10">
      <c r="B41" s="539"/>
      <c r="C41" s="537"/>
      <c r="D41" s="537"/>
      <c r="E41" s="538"/>
      <c r="F41" s="504"/>
      <c r="G41" s="530"/>
      <c r="H41" s="531"/>
      <c r="I41" s="563"/>
      <c r="J41" s="553"/>
    </row>
    <row r="42" ht="15" spans="2:10">
      <c r="B42" s="540"/>
      <c r="C42" s="541"/>
      <c r="D42" s="541"/>
      <c r="E42" s="542"/>
      <c r="F42" s="504"/>
      <c r="G42" s="530"/>
      <c r="H42" s="531"/>
      <c r="I42" s="563"/>
      <c r="J42" s="553"/>
    </row>
    <row r="43" ht="15" spans="2:10">
      <c r="B43" s="543"/>
      <c r="C43" s="544"/>
      <c r="D43" s="544"/>
      <c r="E43" s="544"/>
      <c r="F43" s="504"/>
      <c r="G43" s="530"/>
      <c r="H43" s="531"/>
      <c r="I43" s="563"/>
      <c r="J43" s="553"/>
    </row>
    <row r="44" ht="15" spans="2:10">
      <c r="B44" s="545"/>
      <c r="C44" s="546"/>
      <c r="D44" s="546"/>
      <c r="E44" s="546"/>
      <c r="F44" s="504"/>
      <c r="G44" s="530"/>
      <c r="H44" s="531"/>
      <c r="I44" s="563"/>
      <c r="J44" s="553"/>
    </row>
    <row r="45" ht="15" spans="2:10">
      <c r="B45" s="545"/>
      <c r="C45" s="546"/>
      <c r="D45" s="546"/>
      <c r="E45" s="546"/>
      <c r="F45" s="504"/>
      <c r="G45" s="516" t="s">
        <v>1093</v>
      </c>
      <c r="H45" s="517" t="s">
        <v>1094</v>
      </c>
      <c r="I45" s="556" t="s">
        <v>1095</v>
      </c>
      <c r="J45" s="557" t="s">
        <v>414</v>
      </c>
    </row>
    <row r="46" ht="15" spans="2:10">
      <c r="B46" s="545"/>
      <c r="C46" s="546"/>
      <c r="D46" s="546"/>
      <c r="E46" s="546"/>
      <c r="F46" s="504"/>
      <c r="G46" s="518" t="s">
        <v>1148</v>
      </c>
      <c r="H46" s="506">
        <v>22</v>
      </c>
      <c r="I46" s="507" t="s">
        <v>196</v>
      </c>
      <c r="J46" s="558" t="s">
        <v>1149</v>
      </c>
    </row>
    <row r="47" ht="15" spans="2:10">
      <c r="B47" s="545"/>
      <c r="C47" s="546"/>
      <c r="D47" s="546"/>
      <c r="E47" s="546"/>
      <c r="F47" s="504"/>
      <c r="G47" s="518" t="s">
        <v>1150</v>
      </c>
      <c r="H47" s="547">
        <v>0.98</v>
      </c>
      <c r="I47" s="1257" t="s">
        <v>1113</v>
      </c>
      <c r="J47" s="558" t="s">
        <v>1151</v>
      </c>
    </row>
    <row r="48" ht="15" spans="2:10">
      <c r="B48" s="545"/>
      <c r="C48" s="546"/>
      <c r="D48" s="546"/>
      <c r="E48" s="546"/>
      <c r="F48" s="504"/>
      <c r="G48" s="518" t="s">
        <v>1152</v>
      </c>
      <c r="H48" s="506">
        <v>0.4</v>
      </c>
      <c r="I48" s="507" t="s">
        <v>1153</v>
      </c>
      <c r="J48" s="558" t="s">
        <v>1154</v>
      </c>
    </row>
    <row r="49" ht="15" spans="2:10">
      <c r="B49" s="545"/>
      <c r="C49" s="546"/>
      <c r="D49" s="546"/>
      <c r="E49" s="546"/>
      <c r="F49" s="504"/>
      <c r="G49" s="518" t="s">
        <v>1155</v>
      </c>
      <c r="H49" s="506">
        <v>2</v>
      </c>
      <c r="I49" s="507" t="s">
        <v>237</v>
      </c>
      <c r="J49" s="558" t="s">
        <v>1156</v>
      </c>
    </row>
    <row r="50" ht="15" spans="2:10">
      <c r="B50" s="545"/>
      <c r="C50" s="546"/>
      <c r="D50" s="546"/>
      <c r="E50" s="546"/>
      <c r="F50" s="504"/>
      <c r="G50" s="518" t="s">
        <v>1157</v>
      </c>
      <c r="H50" s="510">
        <f>H26/(8*H46*0.000001*H47*C13*1000)*1000</f>
        <v>4.02178356739335</v>
      </c>
      <c r="I50" s="507" t="s">
        <v>221</v>
      </c>
      <c r="J50" s="558" t="s">
        <v>1158</v>
      </c>
    </row>
    <row r="51" ht="15" spans="2:10">
      <c r="B51" s="545"/>
      <c r="C51" s="546"/>
      <c r="D51" s="546"/>
      <c r="E51" s="546"/>
      <c r="F51" s="504"/>
      <c r="G51" s="518" t="s">
        <v>1159</v>
      </c>
      <c r="H51" s="510">
        <f>H26*H49*0.001*1000</f>
        <v>1.38735445940801</v>
      </c>
      <c r="I51" s="507" t="s">
        <v>221</v>
      </c>
      <c r="J51" s="558" t="s">
        <v>1160</v>
      </c>
    </row>
    <row r="52" ht="14.45" customHeight="1" spans="2:10">
      <c r="B52" s="545"/>
      <c r="C52" s="546"/>
      <c r="D52" s="546"/>
      <c r="E52" s="546"/>
      <c r="F52" s="504"/>
      <c r="G52" s="548" t="s">
        <v>1161</v>
      </c>
      <c r="H52" s="510">
        <f>H48*0.000000001*C30/(H24*0.000001)*1000</f>
        <v>2.38297872340426</v>
      </c>
      <c r="I52" s="507" t="s">
        <v>221</v>
      </c>
      <c r="J52" s="558" t="s">
        <v>1162</v>
      </c>
    </row>
    <row r="53" ht="15" spans="2:10">
      <c r="B53" s="545"/>
      <c r="C53" s="546"/>
      <c r="D53" s="546"/>
      <c r="E53" s="546"/>
      <c r="F53" s="504"/>
      <c r="G53" s="518" t="s">
        <v>1163</v>
      </c>
      <c r="H53" s="510">
        <f>SQRT(H50^2+H51^2+H52^2)</f>
        <v>4.87627758184374</v>
      </c>
      <c r="I53" s="507" t="s">
        <v>221</v>
      </c>
      <c r="J53" s="558" t="s">
        <v>1164</v>
      </c>
    </row>
    <row r="54" ht="15" spans="2:10">
      <c r="B54" s="545"/>
      <c r="C54" s="546"/>
      <c r="D54" s="546"/>
      <c r="E54" s="546"/>
      <c r="F54" s="504"/>
      <c r="G54" s="549" t="s">
        <v>1165</v>
      </c>
      <c r="H54" s="549"/>
      <c r="I54" s="549"/>
      <c r="J54" s="564"/>
    </row>
    <row r="55" ht="15" spans="2:10">
      <c r="B55" s="545"/>
      <c r="C55" s="546"/>
      <c r="D55" s="546"/>
      <c r="E55" s="546"/>
      <c r="F55" s="504"/>
      <c r="G55" s="550"/>
      <c r="H55" s="550"/>
      <c r="I55" s="550"/>
      <c r="J55" s="565"/>
    </row>
    <row r="56" ht="15" spans="2:10">
      <c r="B56" s="545"/>
      <c r="C56" s="546"/>
      <c r="D56" s="546"/>
      <c r="E56" s="546"/>
      <c r="F56" s="504"/>
      <c r="G56" s="551"/>
      <c r="H56" s="551"/>
      <c r="I56" s="551"/>
      <c r="J56" s="566"/>
    </row>
    <row r="57" ht="15" spans="2:10">
      <c r="B57" s="545"/>
      <c r="C57" s="546"/>
      <c r="D57" s="546"/>
      <c r="E57" s="546"/>
      <c r="F57" s="504"/>
      <c r="G57" s="518" t="s">
        <v>1166</v>
      </c>
      <c r="H57" s="506">
        <v>10</v>
      </c>
      <c r="I57" s="507" t="s">
        <v>196</v>
      </c>
      <c r="J57" s="558" t="s">
        <v>1167</v>
      </c>
    </row>
    <row r="58" ht="15" spans="2:10">
      <c r="B58" s="545"/>
      <c r="C58" s="546"/>
      <c r="D58" s="546"/>
      <c r="E58" s="546"/>
      <c r="F58" s="504"/>
      <c r="G58" s="518" t="s">
        <v>1150</v>
      </c>
      <c r="H58" s="547">
        <v>0.98</v>
      </c>
      <c r="I58" s="1257" t="s">
        <v>1113</v>
      </c>
      <c r="J58" s="558" t="s">
        <v>1168</v>
      </c>
    </row>
    <row r="59" ht="15" spans="2:10">
      <c r="B59" s="545"/>
      <c r="C59" s="546"/>
      <c r="D59" s="546"/>
      <c r="E59" s="546"/>
      <c r="F59" s="504"/>
      <c r="G59" s="518" t="s">
        <v>1169</v>
      </c>
      <c r="H59" s="506">
        <v>2</v>
      </c>
      <c r="I59" s="507" t="s">
        <v>237</v>
      </c>
      <c r="J59" s="558" t="s">
        <v>1170</v>
      </c>
    </row>
    <row r="60" ht="15" spans="2:10">
      <c r="B60" s="545"/>
      <c r="C60" s="546"/>
      <c r="D60" s="546"/>
      <c r="E60" s="546"/>
      <c r="F60" s="504"/>
      <c r="G60" s="518" t="s">
        <v>1171</v>
      </c>
      <c r="H60" s="510">
        <f>C12*0.25/(H57*0.000001*H58*C13*1000)*1000</f>
        <v>76.530612244898</v>
      </c>
      <c r="I60" s="507" t="s">
        <v>221</v>
      </c>
      <c r="J60" s="558" t="s">
        <v>1172</v>
      </c>
    </row>
    <row r="61" ht="15" spans="2:10">
      <c r="B61" s="545"/>
      <c r="C61" s="546"/>
      <c r="D61" s="546"/>
      <c r="E61" s="546"/>
      <c r="F61" s="504"/>
      <c r="G61" s="518" t="s">
        <v>1173</v>
      </c>
      <c r="H61" s="510">
        <f>C12*H59*0.001*1000</f>
        <v>6</v>
      </c>
      <c r="I61" s="507" t="s">
        <v>221</v>
      </c>
      <c r="J61" s="558" t="s">
        <v>1174</v>
      </c>
    </row>
    <row r="62" ht="15" spans="2:10">
      <c r="B62" s="545"/>
      <c r="C62" s="546"/>
      <c r="D62" s="546"/>
      <c r="E62" s="546"/>
      <c r="F62" s="504"/>
      <c r="G62" s="518" t="s">
        <v>1175</v>
      </c>
      <c r="H62" s="510">
        <f>SQRT(H60^2+H61^2)</f>
        <v>76.7654519336591</v>
      </c>
      <c r="I62" s="507" t="s">
        <v>221</v>
      </c>
      <c r="J62" s="558" t="s">
        <v>1176</v>
      </c>
    </row>
    <row r="63" ht="15" spans="2:10">
      <c r="B63" s="545"/>
      <c r="C63" s="546"/>
      <c r="D63" s="546"/>
      <c r="E63" s="546"/>
      <c r="F63" s="504"/>
      <c r="G63" s="523" t="s">
        <v>1165</v>
      </c>
      <c r="H63" s="524"/>
      <c r="I63" s="524"/>
      <c r="J63" s="558"/>
    </row>
    <row r="64" ht="15" spans="2:10">
      <c r="B64" s="545"/>
      <c r="C64" s="546"/>
      <c r="D64" s="546"/>
      <c r="E64" s="546"/>
      <c r="F64" s="504"/>
      <c r="G64" s="525"/>
      <c r="H64" s="524"/>
      <c r="I64" s="524"/>
      <c r="J64" s="558"/>
    </row>
    <row r="65" ht="15.75" spans="2:10">
      <c r="B65" s="567"/>
      <c r="C65" s="568"/>
      <c r="D65" s="568"/>
      <c r="E65" s="568"/>
      <c r="F65" s="569"/>
      <c r="G65" s="570"/>
      <c r="H65" s="571"/>
      <c r="I65" s="571"/>
      <c r="J65" s="572"/>
    </row>
  </sheetData>
  <sheetProtection algorithmName="SHA-512" hashValue="Ola75UoGndgiTW49Luc3rGMHvkg1DiE67k3d6FQwcWNDndZtdXxTODQ2Yp2AHGr7PKZ86fPsCD2VUXyap1Dr1g==" saltValue="EoG0QC5Q69LrMfWCJpav8g==" spinCount="100000" sheet="1" selectLockedCells="1" objects="1" scenarios="1"/>
  <mergeCells count="9">
    <mergeCell ref="B5:J5"/>
    <mergeCell ref="B34:E36"/>
    <mergeCell ref="G54:J56"/>
    <mergeCell ref="B40:E42"/>
    <mergeCell ref="G63:J65"/>
    <mergeCell ref="G9:J22"/>
    <mergeCell ref="B43:E65"/>
    <mergeCell ref="B26:E28"/>
    <mergeCell ref="G29:J31"/>
  </mergeCells>
  <conditionalFormatting sqref="C11">
    <cfRule type="expression" dxfId="10" priority="1">
      <formula>$C$11&gt;$C$10</formula>
    </cfRule>
  </conditionalFormatting>
  <pageMargins left="0.7" right="0.7" top="0.75" bottom="0.75" header="0.3" footer="0.3"/>
  <pageSetup paperSize="256" orientation="portrait" horizontalDpi="300" verticalDpi="300"/>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
  <sheetViews>
    <sheetView workbookViewId="0">
      <selection activeCell="I18" sqref="I18"/>
    </sheetView>
  </sheetViews>
  <sheetFormatPr defaultColWidth="9" defaultRowHeight="13.5"/>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008000"/>
  </sheetPr>
  <dimension ref="F1:R39"/>
  <sheetViews>
    <sheetView zoomScale="85" zoomScaleNormal="85" workbookViewId="0">
      <selection activeCell="L4" sqref="L4"/>
    </sheetView>
  </sheetViews>
  <sheetFormatPr defaultColWidth="9" defaultRowHeight="13.5"/>
  <cols>
    <col min="1" max="1" width="5.375" style="324" customWidth="1"/>
    <col min="2" max="4" width="9" style="324"/>
    <col min="5" max="5" width="3.625" style="324" customWidth="1"/>
    <col min="6" max="8" width="9" style="324"/>
    <col min="9" max="9" width="9" style="324" customWidth="1"/>
    <col min="10" max="260" width="9" style="324"/>
    <col min="261" max="261" width="3.625" style="324" customWidth="1"/>
    <col min="262" max="264" width="9" style="324"/>
    <col min="265" max="265" width="2.875" style="324" customWidth="1"/>
    <col min="266" max="516" width="9" style="324"/>
    <col min="517" max="517" width="3.625" style="324" customWidth="1"/>
    <col min="518" max="520" width="9" style="324"/>
    <col min="521" max="521" width="2.875" style="324" customWidth="1"/>
    <col min="522" max="772" width="9" style="324"/>
    <col min="773" max="773" width="3.625" style="324" customWidth="1"/>
    <col min="774" max="776" width="9" style="324"/>
    <col min="777" max="777" width="2.875" style="324" customWidth="1"/>
    <col min="778" max="1028" width="9" style="324"/>
    <col min="1029" max="1029" width="3.625" style="324" customWidth="1"/>
    <col min="1030" max="1032" width="9" style="324"/>
    <col min="1033" max="1033" width="2.875" style="324" customWidth="1"/>
    <col min="1034" max="1284" width="9" style="324"/>
    <col min="1285" max="1285" width="3.625" style="324" customWidth="1"/>
    <col min="1286" max="1288" width="9" style="324"/>
    <col min="1289" max="1289" width="2.875" style="324" customWidth="1"/>
    <col min="1290" max="1540" width="9" style="324"/>
    <col min="1541" max="1541" width="3.625" style="324" customWidth="1"/>
    <col min="1542" max="1544" width="9" style="324"/>
    <col min="1545" max="1545" width="2.875" style="324" customWidth="1"/>
    <col min="1546" max="1796" width="9" style="324"/>
    <col min="1797" max="1797" width="3.625" style="324" customWidth="1"/>
    <col min="1798" max="1800" width="9" style="324"/>
    <col min="1801" max="1801" width="2.875" style="324" customWidth="1"/>
    <col min="1802" max="2052" width="9" style="324"/>
    <col min="2053" max="2053" width="3.625" style="324" customWidth="1"/>
    <col min="2054" max="2056" width="9" style="324"/>
    <col min="2057" max="2057" width="2.875" style="324" customWidth="1"/>
    <col min="2058" max="2308" width="9" style="324"/>
    <col min="2309" max="2309" width="3.625" style="324" customWidth="1"/>
    <col min="2310" max="2312" width="9" style="324"/>
    <col min="2313" max="2313" width="2.875" style="324" customWidth="1"/>
    <col min="2314" max="2564" width="9" style="324"/>
    <col min="2565" max="2565" width="3.625" style="324" customWidth="1"/>
    <col min="2566" max="2568" width="9" style="324"/>
    <col min="2569" max="2569" width="2.875" style="324" customWidth="1"/>
    <col min="2570" max="2820" width="9" style="324"/>
    <col min="2821" max="2821" width="3.625" style="324" customWidth="1"/>
    <col min="2822" max="2824" width="9" style="324"/>
    <col min="2825" max="2825" width="2.875" style="324" customWidth="1"/>
    <col min="2826" max="3076" width="9" style="324"/>
    <col min="3077" max="3077" width="3.625" style="324" customWidth="1"/>
    <col min="3078" max="3080" width="9" style="324"/>
    <col min="3081" max="3081" width="2.875" style="324" customWidth="1"/>
    <col min="3082" max="3332" width="9" style="324"/>
    <col min="3333" max="3333" width="3.625" style="324" customWidth="1"/>
    <col min="3334" max="3336" width="9" style="324"/>
    <col min="3337" max="3337" width="2.875" style="324" customWidth="1"/>
    <col min="3338" max="3588" width="9" style="324"/>
    <col min="3589" max="3589" width="3.625" style="324" customWidth="1"/>
    <col min="3590" max="3592" width="9" style="324"/>
    <col min="3593" max="3593" width="2.875" style="324" customWidth="1"/>
    <col min="3594" max="3844" width="9" style="324"/>
    <col min="3845" max="3845" width="3.625" style="324" customWidth="1"/>
    <col min="3846" max="3848" width="9" style="324"/>
    <col min="3849" max="3849" width="2.875" style="324" customWidth="1"/>
    <col min="3850" max="4100" width="9" style="324"/>
    <col min="4101" max="4101" width="3.625" style="324" customWidth="1"/>
    <col min="4102" max="4104" width="9" style="324"/>
    <col min="4105" max="4105" width="2.875" style="324" customWidth="1"/>
    <col min="4106" max="4356" width="9" style="324"/>
    <col min="4357" max="4357" width="3.625" style="324" customWidth="1"/>
    <col min="4358" max="4360" width="9" style="324"/>
    <col min="4361" max="4361" width="2.875" style="324" customWidth="1"/>
    <col min="4362" max="4612" width="9" style="324"/>
    <col min="4613" max="4613" width="3.625" style="324" customWidth="1"/>
    <col min="4614" max="4616" width="9" style="324"/>
    <col min="4617" max="4617" width="2.875" style="324" customWidth="1"/>
    <col min="4618" max="4868" width="9" style="324"/>
    <col min="4869" max="4869" width="3.625" style="324" customWidth="1"/>
    <col min="4870" max="4872" width="9" style="324"/>
    <col min="4873" max="4873" width="2.875" style="324" customWidth="1"/>
    <col min="4874" max="5124" width="9" style="324"/>
    <col min="5125" max="5125" width="3.625" style="324" customWidth="1"/>
    <col min="5126" max="5128" width="9" style="324"/>
    <col min="5129" max="5129" width="2.875" style="324" customWidth="1"/>
    <col min="5130" max="5380" width="9" style="324"/>
    <col min="5381" max="5381" width="3.625" style="324" customWidth="1"/>
    <col min="5382" max="5384" width="9" style="324"/>
    <col min="5385" max="5385" width="2.875" style="324" customWidth="1"/>
    <col min="5386" max="5636" width="9" style="324"/>
    <col min="5637" max="5637" width="3.625" style="324" customWidth="1"/>
    <col min="5638" max="5640" width="9" style="324"/>
    <col min="5641" max="5641" width="2.875" style="324" customWidth="1"/>
    <col min="5642" max="5892" width="9" style="324"/>
    <col min="5893" max="5893" width="3.625" style="324" customWidth="1"/>
    <col min="5894" max="5896" width="9" style="324"/>
    <col min="5897" max="5897" width="2.875" style="324" customWidth="1"/>
    <col min="5898" max="6148" width="9" style="324"/>
    <col min="6149" max="6149" width="3.625" style="324" customWidth="1"/>
    <col min="6150" max="6152" width="9" style="324"/>
    <col min="6153" max="6153" width="2.875" style="324" customWidth="1"/>
    <col min="6154" max="6404" width="9" style="324"/>
    <col min="6405" max="6405" width="3.625" style="324" customWidth="1"/>
    <col min="6406" max="6408" width="9" style="324"/>
    <col min="6409" max="6409" width="2.875" style="324" customWidth="1"/>
    <col min="6410" max="6660" width="9" style="324"/>
    <col min="6661" max="6661" width="3.625" style="324" customWidth="1"/>
    <col min="6662" max="6664" width="9" style="324"/>
    <col min="6665" max="6665" width="2.875" style="324" customWidth="1"/>
    <col min="6666" max="6916" width="9" style="324"/>
    <col min="6917" max="6917" width="3.625" style="324" customWidth="1"/>
    <col min="6918" max="6920" width="9" style="324"/>
    <col min="6921" max="6921" width="2.875" style="324" customWidth="1"/>
    <col min="6922" max="7172" width="9" style="324"/>
    <col min="7173" max="7173" width="3.625" style="324" customWidth="1"/>
    <col min="7174" max="7176" width="9" style="324"/>
    <col min="7177" max="7177" width="2.875" style="324" customWidth="1"/>
    <col min="7178" max="7428" width="9" style="324"/>
    <col min="7429" max="7429" width="3.625" style="324" customWidth="1"/>
    <col min="7430" max="7432" width="9" style="324"/>
    <col min="7433" max="7433" width="2.875" style="324" customWidth="1"/>
    <col min="7434" max="7684" width="9" style="324"/>
    <col min="7685" max="7685" width="3.625" style="324" customWidth="1"/>
    <col min="7686" max="7688" width="9" style="324"/>
    <col min="7689" max="7689" width="2.875" style="324" customWidth="1"/>
    <col min="7690" max="7940" width="9" style="324"/>
    <col min="7941" max="7941" width="3.625" style="324" customWidth="1"/>
    <col min="7942" max="7944" width="9" style="324"/>
    <col min="7945" max="7945" width="2.875" style="324" customWidth="1"/>
    <col min="7946" max="8196" width="9" style="324"/>
    <col min="8197" max="8197" width="3.625" style="324" customWidth="1"/>
    <col min="8198" max="8200" width="9" style="324"/>
    <col min="8201" max="8201" width="2.875" style="324" customWidth="1"/>
    <col min="8202" max="8452" width="9" style="324"/>
    <col min="8453" max="8453" width="3.625" style="324" customWidth="1"/>
    <col min="8454" max="8456" width="9" style="324"/>
    <col min="8457" max="8457" width="2.875" style="324" customWidth="1"/>
    <col min="8458" max="8708" width="9" style="324"/>
    <col min="8709" max="8709" width="3.625" style="324" customWidth="1"/>
    <col min="8710" max="8712" width="9" style="324"/>
    <col min="8713" max="8713" width="2.875" style="324" customWidth="1"/>
    <col min="8714" max="8964" width="9" style="324"/>
    <col min="8965" max="8965" width="3.625" style="324" customWidth="1"/>
    <col min="8966" max="8968" width="9" style="324"/>
    <col min="8969" max="8969" width="2.875" style="324" customWidth="1"/>
    <col min="8970" max="9220" width="9" style="324"/>
    <col min="9221" max="9221" width="3.625" style="324" customWidth="1"/>
    <col min="9222" max="9224" width="9" style="324"/>
    <col min="9225" max="9225" width="2.875" style="324" customWidth="1"/>
    <col min="9226" max="9476" width="9" style="324"/>
    <col min="9477" max="9477" width="3.625" style="324" customWidth="1"/>
    <col min="9478" max="9480" width="9" style="324"/>
    <col min="9481" max="9481" width="2.875" style="324" customWidth="1"/>
    <col min="9482" max="9732" width="9" style="324"/>
    <col min="9733" max="9733" width="3.625" style="324" customWidth="1"/>
    <col min="9734" max="9736" width="9" style="324"/>
    <col min="9737" max="9737" width="2.875" style="324" customWidth="1"/>
    <col min="9738" max="9988" width="9" style="324"/>
    <col min="9989" max="9989" width="3.625" style="324" customWidth="1"/>
    <col min="9990" max="9992" width="9" style="324"/>
    <col min="9993" max="9993" width="2.875" style="324" customWidth="1"/>
    <col min="9994" max="10244" width="9" style="324"/>
    <col min="10245" max="10245" width="3.625" style="324" customWidth="1"/>
    <col min="10246" max="10248" width="9" style="324"/>
    <col min="10249" max="10249" width="2.875" style="324" customWidth="1"/>
    <col min="10250" max="10500" width="9" style="324"/>
    <col min="10501" max="10501" width="3.625" style="324" customWidth="1"/>
    <col min="10502" max="10504" width="9" style="324"/>
    <col min="10505" max="10505" width="2.875" style="324" customWidth="1"/>
    <col min="10506" max="10756" width="9" style="324"/>
    <col min="10757" max="10757" width="3.625" style="324" customWidth="1"/>
    <col min="10758" max="10760" width="9" style="324"/>
    <col min="10761" max="10761" width="2.875" style="324" customWidth="1"/>
    <col min="10762" max="11012" width="9" style="324"/>
    <col min="11013" max="11013" width="3.625" style="324" customWidth="1"/>
    <col min="11014" max="11016" width="9" style="324"/>
    <col min="11017" max="11017" width="2.875" style="324" customWidth="1"/>
    <col min="11018" max="11268" width="9" style="324"/>
    <col min="11269" max="11269" width="3.625" style="324" customWidth="1"/>
    <col min="11270" max="11272" width="9" style="324"/>
    <col min="11273" max="11273" width="2.875" style="324" customWidth="1"/>
    <col min="11274" max="11524" width="9" style="324"/>
    <col min="11525" max="11525" width="3.625" style="324" customWidth="1"/>
    <col min="11526" max="11528" width="9" style="324"/>
    <col min="11529" max="11529" width="2.875" style="324" customWidth="1"/>
    <col min="11530" max="11780" width="9" style="324"/>
    <col min="11781" max="11781" width="3.625" style="324" customWidth="1"/>
    <col min="11782" max="11784" width="9" style="324"/>
    <col min="11785" max="11785" width="2.875" style="324" customWidth="1"/>
    <col min="11786" max="12036" width="9" style="324"/>
    <col min="12037" max="12037" width="3.625" style="324" customWidth="1"/>
    <col min="12038" max="12040" width="9" style="324"/>
    <col min="12041" max="12041" width="2.875" style="324" customWidth="1"/>
    <col min="12042" max="12292" width="9" style="324"/>
    <col min="12293" max="12293" width="3.625" style="324" customWidth="1"/>
    <col min="12294" max="12296" width="9" style="324"/>
    <col min="12297" max="12297" width="2.875" style="324" customWidth="1"/>
    <col min="12298" max="12548" width="9" style="324"/>
    <col min="12549" max="12549" width="3.625" style="324" customWidth="1"/>
    <col min="12550" max="12552" width="9" style="324"/>
    <col min="12553" max="12553" width="2.875" style="324" customWidth="1"/>
    <col min="12554" max="12804" width="9" style="324"/>
    <col min="12805" max="12805" width="3.625" style="324" customWidth="1"/>
    <col min="12806" max="12808" width="9" style="324"/>
    <col min="12809" max="12809" width="2.875" style="324" customWidth="1"/>
    <col min="12810" max="13060" width="9" style="324"/>
    <col min="13061" max="13061" width="3.625" style="324" customWidth="1"/>
    <col min="13062" max="13064" width="9" style="324"/>
    <col min="13065" max="13065" width="2.875" style="324" customWidth="1"/>
    <col min="13066" max="13316" width="9" style="324"/>
    <col min="13317" max="13317" width="3.625" style="324" customWidth="1"/>
    <col min="13318" max="13320" width="9" style="324"/>
    <col min="13321" max="13321" width="2.875" style="324" customWidth="1"/>
    <col min="13322" max="13572" width="9" style="324"/>
    <col min="13573" max="13573" width="3.625" style="324" customWidth="1"/>
    <col min="13574" max="13576" width="9" style="324"/>
    <col min="13577" max="13577" width="2.875" style="324" customWidth="1"/>
    <col min="13578" max="13828" width="9" style="324"/>
    <col min="13829" max="13829" width="3.625" style="324" customWidth="1"/>
    <col min="13830" max="13832" width="9" style="324"/>
    <col min="13833" max="13833" width="2.875" style="324" customWidth="1"/>
    <col min="13834" max="14084" width="9" style="324"/>
    <col min="14085" max="14085" width="3.625" style="324" customWidth="1"/>
    <col min="14086" max="14088" width="9" style="324"/>
    <col min="14089" max="14089" width="2.875" style="324" customWidth="1"/>
    <col min="14090" max="14340" width="9" style="324"/>
    <col min="14341" max="14341" width="3.625" style="324" customWidth="1"/>
    <col min="14342" max="14344" width="9" style="324"/>
    <col min="14345" max="14345" width="2.875" style="324" customWidth="1"/>
    <col min="14346" max="14596" width="9" style="324"/>
    <col min="14597" max="14597" width="3.625" style="324" customWidth="1"/>
    <col min="14598" max="14600" width="9" style="324"/>
    <col min="14601" max="14601" width="2.875" style="324" customWidth="1"/>
    <col min="14602" max="14852" width="9" style="324"/>
    <col min="14853" max="14853" width="3.625" style="324" customWidth="1"/>
    <col min="14854" max="14856" width="9" style="324"/>
    <col min="14857" max="14857" width="2.875" style="324" customWidth="1"/>
    <col min="14858" max="15108" width="9" style="324"/>
    <col min="15109" max="15109" width="3.625" style="324" customWidth="1"/>
    <col min="15110" max="15112" width="9" style="324"/>
    <col min="15113" max="15113" width="2.875" style="324" customWidth="1"/>
    <col min="15114" max="15364" width="9" style="324"/>
    <col min="15365" max="15365" width="3.625" style="324" customWidth="1"/>
    <col min="15366" max="15368" width="9" style="324"/>
    <col min="15369" max="15369" width="2.875" style="324" customWidth="1"/>
    <col min="15370" max="15620" width="9" style="324"/>
    <col min="15621" max="15621" width="3.625" style="324" customWidth="1"/>
    <col min="15622" max="15624" width="9" style="324"/>
    <col min="15625" max="15625" width="2.875" style="324" customWidth="1"/>
    <col min="15626" max="15876" width="9" style="324"/>
    <col min="15877" max="15877" width="3.625" style="324" customWidth="1"/>
    <col min="15878" max="15880" width="9" style="324"/>
    <col min="15881" max="15881" width="2.875" style="324" customWidth="1"/>
    <col min="15882" max="16132" width="9" style="324"/>
    <col min="16133" max="16133" width="3.625" style="324" customWidth="1"/>
    <col min="16134" max="16136" width="9" style="324"/>
    <col min="16137" max="16137" width="2.875" style="324" customWidth="1"/>
    <col min="16138" max="16384" width="9" style="324"/>
  </cols>
  <sheetData>
    <row r="1" ht="14.25"/>
    <row r="2" spans="6:9">
      <c r="F2" s="1211" t="s">
        <v>52</v>
      </c>
      <c r="G2" s="1212"/>
      <c r="H2" s="1213"/>
      <c r="I2" s="1129"/>
    </row>
    <row r="3" spans="6:9">
      <c r="F3" s="584" t="s">
        <v>53</v>
      </c>
      <c r="G3" s="1214" t="s">
        <v>54</v>
      </c>
      <c r="H3" s="1215" t="s">
        <v>55</v>
      </c>
      <c r="I3" s="609"/>
    </row>
    <row r="4" ht="14.25" spans="6:9">
      <c r="F4" s="588">
        <v>1.82</v>
      </c>
      <c r="G4" s="1216">
        <v>2.8</v>
      </c>
      <c r="H4" s="1217">
        <f>($F$4*$G$4)/($F$4+$G$4)</f>
        <v>1.1030303030303</v>
      </c>
      <c r="I4" s="609"/>
    </row>
    <row r="5" ht="14.25" spans="6:9">
      <c r="F5" s="491"/>
      <c r="G5" s="491"/>
      <c r="H5" s="491"/>
      <c r="I5" s="491"/>
    </row>
    <row r="6" spans="6:9">
      <c r="F6" s="1211" t="s">
        <v>56</v>
      </c>
      <c r="G6" s="1212"/>
      <c r="H6" s="1213"/>
      <c r="I6" s="1129"/>
    </row>
    <row r="7" spans="6:9">
      <c r="F7" s="584" t="s">
        <v>57</v>
      </c>
      <c r="G7" s="1214" t="s">
        <v>53</v>
      </c>
      <c r="H7" s="1218" t="s">
        <v>54</v>
      </c>
      <c r="I7" s="1129"/>
    </row>
    <row r="8" ht="14.25" spans="6:9">
      <c r="F8" s="588">
        <v>0.3</v>
      </c>
      <c r="G8" s="1216">
        <v>0.33</v>
      </c>
      <c r="H8" s="1219">
        <f>IF($G$8&gt;$F$8,$F$8*$G$8/($G$8-$F$8),"R1必须大于Rz!")</f>
        <v>3.3</v>
      </c>
      <c r="I8" s="609"/>
    </row>
    <row r="9" ht="14.25" spans="6:9">
      <c r="F9" s="491"/>
      <c r="G9" s="491"/>
      <c r="H9" s="491"/>
      <c r="I9" s="491"/>
    </row>
    <row r="10" spans="6:18">
      <c r="F10" s="1211" t="s">
        <v>58</v>
      </c>
      <c r="G10" s="1212"/>
      <c r="H10" s="1213"/>
      <c r="R10" s="1129"/>
    </row>
    <row r="11" spans="6:18">
      <c r="F11" s="584" t="s">
        <v>59</v>
      </c>
      <c r="G11" s="1214" t="s">
        <v>60</v>
      </c>
      <c r="H11" s="1220" t="s">
        <v>61</v>
      </c>
      <c r="R11" s="1195"/>
    </row>
    <row r="12" ht="14.25" spans="6:18">
      <c r="F12" s="588">
        <v>470</v>
      </c>
      <c r="G12" s="1216">
        <v>2200</v>
      </c>
      <c r="H12" s="1219">
        <f>$F$12*$G$12/($F$12+$G$12)</f>
        <v>387.265917602996</v>
      </c>
      <c r="R12" s="1195"/>
    </row>
    <row r="13" ht="14.25" spans="6:18">
      <c r="F13" s="491"/>
      <c r="G13" s="491"/>
      <c r="H13" s="491"/>
      <c r="R13" s="1195"/>
    </row>
    <row r="14" spans="6:18">
      <c r="F14" s="1211" t="s">
        <v>56</v>
      </c>
      <c r="G14" s="1212"/>
      <c r="H14" s="1213"/>
      <c r="R14" s="1195"/>
    </row>
    <row r="15" spans="6:18">
      <c r="F15" s="584" t="s">
        <v>59</v>
      </c>
      <c r="G15" s="1214" t="s">
        <v>60</v>
      </c>
      <c r="H15" s="1220" t="s">
        <v>61</v>
      </c>
      <c r="R15" s="1195"/>
    </row>
    <row r="16" ht="14.25" spans="6:9">
      <c r="F16" s="588">
        <v>38</v>
      </c>
      <c r="G16" s="1216">
        <v>39</v>
      </c>
      <c r="H16" s="1219">
        <f>IF($G$16&gt;$F$16,$F$16*$G$16/($G$16-$F$16),"R1必须大于Rz!")</f>
        <v>1482</v>
      </c>
      <c r="I16" s="609"/>
    </row>
    <row r="17" ht="14.25" spans="6:9">
      <c r="F17" s="491"/>
      <c r="G17" s="491"/>
      <c r="H17" s="491"/>
      <c r="I17" s="491"/>
    </row>
    <row r="18" spans="6:9">
      <c r="F18" s="1221" t="s">
        <v>62</v>
      </c>
      <c r="G18" s="1222"/>
      <c r="H18" s="1223"/>
      <c r="I18" s="491"/>
    </row>
    <row r="19" spans="6:9">
      <c r="F19" s="584" t="s">
        <v>59</v>
      </c>
      <c r="G19" s="658" t="s">
        <v>63</v>
      </c>
      <c r="H19" s="1224" t="s">
        <v>64</v>
      </c>
      <c r="I19" s="491"/>
    </row>
    <row r="20" ht="14.25" spans="6:8">
      <c r="F20" s="1225">
        <v>1</v>
      </c>
      <c r="G20" s="1226">
        <v>50</v>
      </c>
      <c r="H20" s="1227">
        <f>1/(2*PI()*G20*(F20/1000000))</f>
        <v>3183.09886183791</v>
      </c>
    </row>
    <row r="21" ht="14.25"/>
    <row r="22" spans="6:8">
      <c r="F22" s="1228" t="s">
        <v>65</v>
      </c>
      <c r="G22" s="1229" t="s">
        <v>66</v>
      </c>
      <c r="H22" s="1230"/>
    </row>
    <row r="23" spans="6:8">
      <c r="F23" s="1231" t="s">
        <v>67</v>
      </c>
      <c r="G23" s="1232" t="s">
        <v>68</v>
      </c>
      <c r="H23" s="1233" t="s">
        <v>69</v>
      </c>
    </row>
    <row r="24" ht="14.25" spans="6:8">
      <c r="F24" s="1234">
        <v>100</v>
      </c>
      <c r="G24" s="1235">
        <v>10000</v>
      </c>
      <c r="H24" s="1236">
        <f>2*PI()*G24*(F24/1000000)</f>
        <v>6.28318530717959</v>
      </c>
    </row>
    <row r="26" ht="14.25"/>
    <row r="27" spans="6:9">
      <c r="F27" s="1237" t="s">
        <v>70</v>
      </c>
      <c r="G27" s="1238"/>
      <c r="H27" s="1238"/>
      <c r="I27" s="1243"/>
    </row>
    <row r="28" spans="6:9">
      <c r="F28" s="1231" t="s">
        <v>71</v>
      </c>
      <c r="G28" s="1232" t="s">
        <v>72</v>
      </c>
      <c r="H28" s="1232" t="s">
        <v>73</v>
      </c>
      <c r="I28" s="1233" t="s">
        <v>74</v>
      </c>
    </row>
    <row r="29" ht="14.25" spans="6:9">
      <c r="F29" s="1239">
        <v>100</v>
      </c>
      <c r="G29" s="1240">
        <v>100</v>
      </c>
      <c r="H29" s="1240">
        <v>2000</v>
      </c>
      <c r="I29" s="1244">
        <f>SQRT(F29^2+(2*PI()*H29*(G29/1000000))^2)</f>
        <v>100.007895371836</v>
      </c>
    </row>
    <row r="30" spans="6:9">
      <c r="F30" s="1241" t="s">
        <v>75</v>
      </c>
      <c r="G30" s="1242"/>
      <c r="H30" s="1242"/>
      <c r="I30" s="1245"/>
    </row>
    <row r="31" spans="6:9">
      <c r="F31" s="1231" t="s">
        <v>71</v>
      </c>
      <c r="G31" s="1232" t="s">
        <v>76</v>
      </c>
      <c r="H31" s="1232" t="s">
        <v>73</v>
      </c>
      <c r="I31" s="1233" t="s">
        <v>74</v>
      </c>
    </row>
    <row r="32" ht="14.25" spans="6:9">
      <c r="F32" s="1239">
        <v>100</v>
      </c>
      <c r="G32" s="1240">
        <v>100</v>
      </c>
      <c r="H32" s="1240">
        <v>50</v>
      </c>
      <c r="I32" s="1244">
        <f>SQRT(F32^2+(1/(2*PI()*H32*(G32/1000000)))^2)</f>
        <v>104.943850874758</v>
      </c>
    </row>
    <row r="33" spans="6:11">
      <c r="F33" s="1241" t="s">
        <v>77</v>
      </c>
      <c r="G33" s="1242"/>
      <c r="H33" s="1242"/>
      <c r="I33" s="1242"/>
      <c r="J33" s="1242"/>
      <c r="K33" s="1245"/>
    </row>
    <row r="34" spans="6:11">
      <c r="F34" s="1231" t="s">
        <v>76</v>
      </c>
      <c r="G34" s="1232" t="s">
        <v>72</v>
      </c>
      <c r="H34" s="1232" t="s">
        <v>73</v>
      </c>
      <c r="I34" s="1246" t="s">
        <v>74</v>
      </c>
      <c r="J34" s="1246" t="s">
        <v>78</v>
      </c>
      <c r="K34" s="1233" t="s">
        <v>79</v>
      </c>
    </row>
    <row r="35" ht="14.25" spans="6:11">
      <c r="F35" s="588">
        <v>100</v>
      </c>
      <c r="G35" s="1216">
        <v>100</v>
      </c>
      <c r="H35" s="1216">
        <v>100</v>
      </c>
      <c r="I35" s="1247">
        <f>J35-K35</f>
        <v>-15.8526624561177</v>
      </c>
      <c r="J35" s="1247">
        <f>2*PI()*H35*(G35/1000000)</f>
        <v>0.0628318530717959</v>
      </c>
      <c r="K35" s="1227">
        <f>1/(2*PI()*H35*(F35/1000000))</f>
        <v>15.9154943091895</v>
      </c>
    </row>
    <row r="36" ht="14.25"/>
    <row r="37" spans="6:12">
      <c r="F37" s="1237" t="s">
        <v>80</v>
      </c>
      <c r="G37" s="1238"/>
      <c r="H37" s="1238"/>
      <c r="I37" s="1238"/>
      <c r="J37" s="1238"/>
      <c r="K37" s="1238"/>
      <c r="L37" s="1243"/>
    </row>
    <row r="38" spans="6:12">
      <c r="F38" s="1231" t="s">
        <v>71</v>
      </c>
      <c r="G38" s="1232" t="s">
        <v>72</v>
      </c>
      <c r="H38" s="1232" t="s">
        <v>76</v>
      </c>
      <c r="I38" s="1246" t="s">
        <v>73</v>
      </c>
      <c r="J38" s="1246" t="s">
        <v>74</v>
      </c>
      <c r="K38" s="1246" t="s">
        <v>78</v>
      </c>
      <c r="L38" s="1233" t="s">
        <v>81</v>
      </c>
    </row>
    <row r="39" ht="14.25" spans="6:12">
      <c r="F39" s="1225">
        <v>100</v>
      </c>
      <c r="G39" s="1226">
        <v>100</v>
      </c>
      <c r="H39" s="1226">
        <v>100</v>
      </c>
      <c r="I39" s="1247">
        <v>100000</v>
      </c>
      <c r="J39" s="1247">
        <f>SQRT(F39^2+(K39-L39)^2)</f>
        <v>118.0925146389</v>
      </c>
      <c r="K39" s="1247">
        <f>2*PI()*I39*(G39/1000000)</f>
        <v>62.8318530717959</v>
      </c>
      <c r="L39" s="1227">
        <f>1/(2*PI()*I39*(H39/1000000))</f>
        <v>0.0159154943091895</v>
      </c>
    </row>
  </sheetData>
  <protectedRanges>
    <protectedRange algorithmName="SHA-512" hashValue="jo3oDLcEdiI2w0BkIlvKDrFEM/znoubQFVt+49EAObCBbW6hnpN0APAtxKRaQF+QZDJbI26vyhujm14zzCTR0w==" saltValue="FiMdMtlRKmCRNj5H+T5Dcw==" spinCount="100000" sqref="F4:G4" name="区域1"/>
  </protectedRanges>
  <mergeCells count="9">
    <mergeCell ref="F2:H2"/>
    <mergeCell ref="F6:H6"/>
    <mergeCell ref="F10:H10"/>
    <mergeCell ref="F14:H14"/>
    <mergeCell ref="F18:H18"/>
    <mergeCell ref="F27:I27"/>
    <mergeCell ref="F30:I30"/>
    <mergeCell ref="F33:K33"/>
    <mergeCell ref="F37:L37"/>
  </mergeCells>
  <pageMargins left="0.7" right="0.7" top="0.75" bottom="0.75" header="0.3" footer="0.3"/>
  <pageSetup paperSize="9" orientation="portrait"/>
  <headerFooter/>
  <drawing r:id="rId2"/>
  <legacyDrawing r:id="rId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rgb="FF008000"/>
  </sheetPr>
  <dimension ref="A1:L185"/>
  <sheetViews>
    <sheetView topLeftCell="A16" workbookViewId="0">
      <selection activeCell="G24" sqref="G24"/>
    </sheetView>
  </sheetViews>
  <sheetFormatPr defaultColWidth="12.5" defaultRowHeight="12.75"/>
  <cols>
    <col min="1" max="1" width="4.5" style="380" customWidth="1"/>
    <col min="2" max="2" width="25.5" style="380" customWidth="1"/>
    <col min="3" max="3" width="8.875" style="381" customWidth="1"/>
    <col min="4" max="4" width="9.25" style="381" customWidth="1"/>
    <col min="5" max="5" width="8.5" style="381" customWidth="1"/>
    <col min="6" max="6" width="8.625" style="381" customWidth="1"/>
    <col min="7" max="7" width="8.375" style="381" customWidth="1"/>
    <col min="8" max="8" width="8.375" style="380" customWidth="1"/>
    <col min="9" max="9" width="63.375" style="380" customWidth="1"/>
    <col min="10" max="10" width="21.5" style="382" customWidth="1"/>
    <col min="11" max="11" width="8.5" style="380" customWidth="1"/>
    <col min="12" max="12" width="8.625" style="380" customWidth="1"/>
    <col min="13" max="13" width="9.375" style="380" customWidth="1"/>
    <col min="14" max="14" width="10.125" style="380" customWidth="1"/>
    <col min="15" max="15" width="9.375" style="380" customWidth="1"/>
    <col min="16" max="16" width="7.375" style="380" customWidth="1"/>
    <col min="17" max="20" width="11.125" style="380" customWidth="1"/>
    <col min="21" max="21" width="11.375" style="380" customWidth="1"/>
    <col min="22" max="22" width="11.125" style="380" customWidth="1"/>
    <col min="23" max="31" width="11.375" style="380" customWidth="1"/>
    <col min="32" max="32" width="11.125" style="380" customWidth="1"/>
    <col min="33" max="41" width="11.375" style="380" customWidth="1"/>
    <col min="42" max="42" width="11.125" style="380" customWidth="1"/>
    <col min="43" max="51" width="11.375" style="380" customWidth="1"/>
    <col min="52" max="52" width="11.125" style="380" customWidth="1"/>
    <col min="53" max="61" width="11.375" style="380" customWidth="1"/>
    <col min="62" max="62" width="11.125" style="380" customWidth="1"/>
    <col min="63" max="71" width="11.375" style="380" customWidth="1"/>
    <col min="72" max="72" width="11.125" style="380" customWidth="1"/>
    <col min="73" max="81" width="11.375" style="380" customWidth="1"/>
    <col min="82" max="82" width="11.125" style="380" customWidth="1"/>
    <col min="83" max="91" width="11.375" style="380" customWidth="1"/>
    <col min="92" max="92" width="11.125" style="380" customWidth="1"/>
    <col min="93" max="100" width="11.375" style="380" customWidth="1"/>
    <col min="101" max="101" width="12.125" style="380" customWidth="1"/>
    <col min="102" max="102" width="11.75" style="380" customWidth="1"/>
    <col min="103" max="110" width="12.125" style="380" customWidth="1"/>
    <col min="111" max="111" width="11.75" style="380" customWidth="1"/>
    <col min="112" max="112" width="11.375" style="380" customWidth="1"/>
    <col min="113" max="120" width="11.75" style="380" customWidth="1"/>
    <col min="121" max="121" width="12.125" style="380" customWidth="1"/>
    <col min="122" max="122" width="11.75" style="380" customWidth="1"/>
    <col min="123" max="131" width="12.125" style="380" customWidth="1"/>
    <col min="132" max="132" width="11.75" style="380" customWidth="1"/>
    <col min="133" max="141" width="12.125" style="380" customWidth="1"/>
    <col min="142" max="142" width="11.75" style="380" customWidth="1"/>
    <col min="143" max="151" width="12.125" style="380" customWidth="1"/>
    <col min="152" max="152" width="11.75" style="380" customWidth="1"/>
    <col min="153" max="161" width="12.125" style="380" customWidth="1"/>
    <col min="162" max="162" width="11.75" style="380" customWidth="1"/>
    <col min="163" max="171" width="12.125" style="380" customWidth="1"/>
    <col min="172" max="172" width="11.75" style="380" customWidth="1"/>
    <col min="173" max="181" width="12.125" style="380" customWidth="1"/>
    <col min="182" max="182" width="11.75" style="380" customWidth="1"/>
    <col min="183" max="191" width="12.125" style="380" customWidth="1"/>
    <col min="192" max="192" width="11.75" style="380" customWidth="1"/>
    <col min="193" max="200" width="12.125" style="380" customWidth="1"/>
    <col min="201" max="201" width="12.5" style="380" customWidth="1"/>
    <col min="202" max="202" width="12.125" style="380" customWidth="1"/>
    <col min="203" max="210" width="12.5" style="380" customWidth="1"/>
    <col min="211" max="211" width="12.125" style="380" customWidth="1"/>
    <col min="212" max="212" width="11.75" style="380" customWidth="1"/>
    <col min="213" max="220" width="12.125" style="380" customWidth="1"/>
    <col min="221" max="221" width="12.5" style="380" customWidth="1"/>
    <col min="222" max="222" width="12.125" style="380" customWidth="1"/>
    <col min="223" max="231" width="12.5" style="380" customWidth="1"/>
    <col min="232" max="232" width="12.125" style="380" customWidth="1"/>
    <col min="233" max="241" width="12.5" style="380" customWidth="1"/>
    <col min="242" max="242" width="12.125" style="380" customWidth="1"/>
    <col min="243" max="251" width="12.5" style="380" customWidth="1"/>
    <col min="252" max="252" width="12.125" style="380" customWidth="1"/>
    <col min="253" max="16384" width="12.5" style="380"/>
  </cols>
  <sheetData>
    <row r="1" s="378" customFormat="1" ht="57.75" customHeight="1" spans="1:10">
      <c r="A1" s="383" t="s">
        <v>1177</v>
      </c>
      <c r="B1" s="384"/>
      <c r="C1" s="384"/>
      <c r="D1" s="384"/>
      <c r="E1" s="384"/>
      <c r="F1" s="384"/>
      <c r="G1" s="384"/>
      <c r="H1" s="384"/>
      <c r="I1" s="384"/>
      <c r="J1" s="439"/>
    </row>
    <row r="2" s="379" customFormat="1" ht="22.5" customHeight="1" spans="1:10">
      <c r="A2" s="385" t="s">
        <v>1178</v>
      </c>
      <c r="B2" s="386" t="s">
        <v>1179</v>
      </c>
      <c r="C2" s="386"/>
      <c r="D2" s="386"/>
      <c r="E2" s="387" t="s">
        <v>1180</v>
      </c>
      <c r="F2" s="388" t="s">
        <v>1181</v>
      </c>
      <c r="G2" s="387"/>
      <c r="H2" s="389" t="s">
        <v>1182</v>
      </c>
      <c r="I2" s="440">
        <v>20150615</v>
      </c>
      <c r="J2" s="441"/>
    </row>
    <row r="3" s="378" customFormat="1" ht="27" customHeight="1" spans="1:10">
      <c r="A3" s="390" t="s">
        <v>3</v>
      </c>
      <c r="B3" s="391" t="s">
        <v>214</v>
      </c>
      <c r="C3" s="391" t="s">
        <v>1183</v>
      </c>
      <c r="D3" s="392"/>
      <c r="E3" s="392"/>
      <c r="F3" s="392"/>
      <c r="G3" s="392"/>
      <c r="H3" s="391" t="s">
        <v>216</v>
      </c>
      <c r="I3" s="391" t="s">
        <v>1184</v>
      </c>
      <c r="J3" s="442" t="s">
        <v>1185</v>
      </c>
    </row>
    <row r="4" ht="29.25" customHeight="1" spans="1:10">
      <c r="A4" s="393" t="s">
        <v>1186</v>
      </c>
      <c r="B4" s="394"/>
      <c r="C4" s="394"/>
      <c r="D4" s="394"/>
      <c r="E4" s="394"/>
      <c r="F4" s="394"/>
      <c r="G4" s="394"/>
      <c r="H4" s="394"/>
      <c r="I4" s="394"/>
      <c r="J4" s="443"/>
    </row>
    <row r="5" ht="18" customHeight="1" spans="1:10">
      <c r="A5" s="395">
        <v>1</v>
      </c>
      <c r="B5" s="396" t="s">
        <v>1187</v>
      </c>
      <c r="C5" s="397">
        <v>195</v>
      </c>
      <c r="D5" s="398"/>
      <c r="E5" s="398"/>
      <c r="F5" s="398"/>
      <c r="G5" s="398"/>
      <c r="H5" s="399" t="s">
        <v>220</v>
      </c>
      <c r="I5" s="444" t="s">
        <v>1188</v>
      </c>
      <c r="J5" s="443"/>
    </row>
    <row r="6" ht="18" customHeight="1" spans="1:10">
      <c r="A6" s="395">
        <f>A5+1</f>
        <v>2</v>
      </c>
      <c r="B6" s="396" t="s">
        <v>1189</v>
      </c>
      <c r="C6" s="397">
        <v>265</v>
      </c>
      <c r="D6" s="398"/>
      <c r="E6" s="398"/>
      <c r="F6" s="398"/>
      <c r="G6" s="398"/>
      <c r="H6" s="399" t="s">
        <v>220</v>
      </c>
      <c r="I6" s="444" t="s">
        <v>1190</v>
      </c>
      <c r="J6" s="443"/>
    </row>
    <row r="7" ht="18" customHeight="1" spans="1:10">
      <c r="A7" s="395">
        <v>3</v>
      </c>
      <c r="B7" s="400" t="s">
        <v>1191</v>
      </c>
      <c r="C7" s="397">
        <v>50</v>
      </c>
      <c r="D7" s="398"/>
      <c r="E7" s="398"/>
      <c r="F7" s="398"/>
      <c r="G7" s="398"/>
      <c r="H7" s="399" t="s">
        <v>86</v>
      </c>
      <c r="I7" s="444" t="s">
        <v>1192</v>
      </c>
      <c r="J7" s="443"/>
    </row>
    <row r="8" ht="18" customHeight="1" spans="1:10">
      <c r="A8" s="395">
        <v>4</v>
      </c>
      <c r="B8" s="400" t="s">
        <v>1193</v>
      </c>
      <c r="C8" s="397">
        <v>132</v>
      </c>
      <c r="D8" s="398"/>
      <c r="E8" s="398"/>
      <c r="F8" s="398"/>
      <c r="G8" s="398"/>
      <c r="H8" s="399" t="s">
        <v>190</v>
      </c>
      <c r="I8" s="444" t="s">
        <v>1194</v>
      </c>
      <c r="J8" s="443"/>
    </row>
    <row r="9" ht="18" customHeight="1" spans="1:10">
      <c r="A9" s="395">
        <v>5</v>
      </c>
      <c r="B9" s="401"/>
      <c r="C9" s="402"/>
      <c r="D9" s="402" t="s">
        <v>1195</v>
      </c>
      <c r="E9" s="402" t="s">
        <v>1196</v>
      </c>
      <c r="F9" s="402" t="s">
        <v>1197</v>
      </c>
      <c r="G9" s="402" t="s">
        <v>1198</v>
      </c>
      <c r="H9" s="399"/>
      <c r="I9" s="444"/>
      <c r="J9" s="443"/>
    </row>
    <row r="10" ht="18" customHeight="1" spans="1:10">
      <c r="A10" s="395"/>
      <c r="B10" s="403" t="s">
        <v>1199</v>
      </c>
      <c r="C10" s="403"/>
      <c r="D10" s="397">
        <v>32</v>
      </c>
      <c r="E10" s="397">
        <v>0</v>
      </c>
      <c r="F10" s="397">
        <v>0</v>
      </c>
      <c r="G10" s="397">
        <v>0</v>
      </c>
      <c r="H10" s="399" t="s">
        <v>220</v>
      </c>
      <c r="I10" s="444" t="s">
        <v>1200</v>
      </c>
      <c r="J10" s="443"/>
    </row>
    <row r="11" ht="18" customHeight="1" spans="1:10">
      <c r="A11" s="395"/>
      <c r="B11" s="403" t="s">
        <v>1201</v>
      </c>
      <c r="C11" s="403"/>
      <c r="D11" s="397">
        <v>1.9</v>
      </c>
      <c r="E11" s="397">
        <v>0</v>
      </c>
      <c r="F11" s="397">
        <v>0</v>
      </c>
      <c r="G11" s="397">
        <v>0</v>
      </c>
      <c r="H11" s="399" t="s">
        <v>345</v>
      </c>
      <c r="I11" s="444" t="s">
        <v>1202</v>
      </c>
      <c r="J11" s="443"/>
    </row>
    <row r="12" ht="18" customHeight="1" spans="1:10">
      <c r="A12" s="395"/>
      <c r="B12" s="404" t="s">
        <v>1203</v>
      </c>
      <c r="C12" s="405">
        <f>D12+E12+F12+G12</f>
        <v>60.8</v>
      </c>
      <c r="D12" s="406">
        <f>ABS(D10*D11)</f>
        <v>60.8</v>
      </c>
      <c r="E12" s="406">
        <f>ABS(E10*E11)</f>
        <v>0</v>
      </c>
      <c r="F12" s="406">
        <f>ABS(F10*F11)</f>
        <v>0</v>
      </c>
      <c r="G12" s="406">
        <f>ABS(G10*G11)</f>
        <v>0</v>
      </c>
      <c r="H12" s="399" t="s">
        <v>377</v>
      </c>
      <c r="I12" s="444" t="s">
        <v>1204</v>
      </c>
      <c r="J12" s="443"/>
    </row>
    <row r="13" ht="18" customHeight="1" spans="1:10">
      <c r="A13" s="395">
        <v>6</v>
      </c>
      <c r="B13" s="407" t="s">
        <v>1205</v>
      </c>
      <c r="C13" s="397">
        <v>85</v>
      </c>
      <c r="D13" s="398"/>
      <c r="E13" s="398"/>
      <c r="F13" s="398"/>
      <c r="G13" s="398"/>
      <c r="H13" s="399" t="s">
        <v>754</v>
      </c>
      <c r="I13" s="444" t="s">
        <v>1206</v>
      </c>
      <c r="J13" s="443"/>
    </row>
    <row r="14" ht="18" customHeight="1" spans="1:10">
      <c r="A14" s="395">
        <f>A13+1</f>
        <v>7</v>
      </c>
      <c r="B14" s="407" t="s">
        <v>968</v>
      </c>
      <c r="C14" s="397">
        <v>0.5</v>
      </c>
      <c r="D14" s="398"/>
      <c r="E14" s="398"/>
      <c r="F14" s="398"/>
      <c r="G14" s="398"/>
      <c r="H14" s="399"/>
      <c r="I14" s="444" t="s">
        <v>1207</v>
      </c>
      <c r="J14" s="443"/>
    </row>
    <row r="15" ht="18" customHeight="1" spans="1:10">
      <c r="A15" s="395">
        <v>8</v>
      </c>
      <c r="B15" s="407" t="s">
        <v>1208</v>
      </c>
      <c r="C15" s="397">
        <v>12</v>
      </c>
      <c r="D15" s="398"/>
      <c r="E15" s="398"/>
      <c r="F15" s="398"/>
      <c r="G15" s="398"/>
      <c r="H15" s="399" t="s">
        <v>220</v>
      </c>
      <c r="I15" s="444" t="s">
        <v>1209</v>
      </c>
      <c r="J15" s="443"/>
    </row>
    <row r="16" ht="18" customHeight="1" spans="1:10">
      <c r="A16" s="395">
        <v>9</v>
      </c>
      <c r="B16" s="403" t="s">
        <v>865</v>
      </c>
      <c r="C16" s="403"/>
      <c r="D16" s="408">
        <v>0.2</v>
      </c>
      <c r="E16" s="409"/>
      <c r="F16" s="409"/>
      <c r="G16" s="409"/>
      <c r="H16" s="399" t="s">
        <v>1210</v>
      </c>
      <c r="I16" s="445" t="s">
        <v>1211</v>
      </c>
      <c r="J16" s="443"/>
    </row>
    <row r="17" ht="23.25" customHeight="1" spans="1:10">
      <c r="A17" s="395"/>
      <c r="B17" s="403" t="s">
        <v>1212</v>
      </c>
      <c r="C17" s="403"/>
      <c r="D17" s="405" t="str">
        <f>IF(D16=10,"初级/基本",IF(D16=2.5,"初级/增强",IF(D16=1,"光耦/稳压管",IF(D16=0.2,"光耦/TL431"))))</f>
        <v>光耦/TL431</v>
      </c>
      <c r="E17" s="409"/>
      <c r="F17" s="409"/>
      <c r="G17" s="409"/>
      <c r="H17" s="399"/>
      <c r="I17" s="445" t="s">
        <v>1213</v>
      </c>
      <c r="J17" s="443"/>
    </row>
    <row r="18" ht="42" customHeight="1" spans="1:10">
      <c r="A18" s="395">
        <v>10</v>
      </c>
      <c r="B18" s="407" t="s">
        <v>1214</v>
      </c>
      <c r="C18" s="406">
        <f>IF(C5&lt;120,C12*2.5,IF(C5&gt;=190,C12*1))</f>
        <v>60.8</v>
      </c>
      <c r="D18" s="410"/>
      <c r="E18" s="410"/>
      <c r="F18" s="410"/>
      <c r="G18" s="410"/>
      <c r="H18" s="399" t="s">
        <v>1215</v>
      </c>
      <c r="I18" s="444" t="s">
        <v>1216</v>
      </c>
      <c r="J18" s="443"/>
    </row>
    <row r="19" ht="32.25" customHeight="1" spans="1:10">
      <c r="A19" s="395">
        <v>11</v>
      </c>
      <c r="B19" s="411" t="s">
        <v>1217</v>
      </c>
      <c r="C19" s="397">
        <v>100</v>
      </c>
      <c r="D19" s="412"/>
      <c r="E19" s="412"/>
      <c r="F19" s="412"/>
      <c r="G19" s="412"/>
      <c r="H19" s="399" t="s">
        <v>1215</v>
      </c>
      <c r="I19" s="445" t="s">
        <v>1218</v>
      </c>
      <c r="J19" s="443" t="str">
        <f>IF(C19&lt;C18,"Warning:CIN选择太小","")</f>
        <v/>
      </c>
    </row>
    <row r="20" ht="44.25" customHeight="1" spans="1:10">
      <c r="A20" s="395">
        <v>12</v>
      </c>
      <c r="B20" s="407" t="s">
        <v>1219</v>
      </c>
      <c r="C20" s="405">
        <f>IF(C5&lt;120,SQRT((2*C5*C5)-(2*C12*100*(1/(C7*2)-0.00198))/(C13*2.5*C12*0.000001)),IF(C5&gt;=190,SQRT((2*C5*C5)-(2*C12*100*(1/(C7*2)-0.00198))/(C13*C19*0.000001))))</f>
        <v>254.119425375041</v>
      </c>
      <c r="D20" s="398" t="s">
        <v>1220</v>
      </c>
      <c r="E20" s="398"/>
      <c r="F20" s="398"/>
      <c r="G20" s="398"/>
      <c r="H20" s="399" t="s">
        <v>220</v>
      </c>
      <c r="I20" s="445" t="s">
        <v>1221</v>
      </c>
      <c r="J20" s="443"/>
    </row>
    <row r="21" ht="40.5" customHeight="1" spans="1:10">
      <c r="A21" s="395">
        <v>13</v>
      </c>
      <c r="B21" s="407" t="s">
        <v>1222</v>
      </c>
      <c r="C21" s="413">
        <f>C6*SQRT(2)</f>
        <v>374.76659402887</v>
      </c>
      <c r="D21" s="398"/>
      <c r="E21" s="398"/>
      <c r="F21" s="398"/>
      <c r="G21" s="398"/>
      <c r="H21" s="399" t="s">
        <v>220</v>
      </c>
      <c r="I21" s="444" t="s">
        <v>1223</v>
      </c>
      <c r="J21" s="443"/>
    </row>
    <row r="22" ht="28.5" customHeight="1" spans="1:10">
      <c r="A22" s="395">
        <v>14</v>
      </c>
      <c r="B22" s="407" t="s">
        <v>1224</v>
      </c>
      <c r="C22" s="397">
        <v>110</v>
      </c>
      <c r="D22" s="398"/>
      <c r="E22" s="398"/>
      <c r="F22" s="398"/>
      <c r="G22" s="398"/>
      <c r="H22" s="399" t="s">
        <v>220</v>
      </c>
      <c r="I22" s="445" t="s">
        <v>1225</v>
      </c>
      <c r="J22" s="443" t="str">
        <f>IF(C22&lt;80,"Warning:输出反射电压VOR选择太小",IF(C22&gt;135,"Warning:输出反射电压VOR选择太大",""))</f>
        <v/>
      </c>
    </row>
    <row r="23" ht="36" customHeight="1" spans="1:10">
      <c r="A23" s="395">
        <v>15</v>
      </c>
      <c r="B23" s="407" t="s">
        <v>1226</v>
      </c>
      <c r="C23" s="397">
        <v>1</v>
      </c>
      <c r="D23" s="398"/>
      <c r="E23" s="398"/>
      <c r="F23" s="398"/>
      <c r="G23" s="398"/>
      <c r="H23" s="399"/>
      <c r="I23" s="444" t="s">
        <v>1227</v>
      </c>
      <c r="J23" s="443"/>
    </row>
    <row r="24" ht="52.5" customHeight="1" spans="1:10">
      <c r="A24" s="395">
        <v>16</v>
      </c>
      <c r="B24" s="399" t="s">
        <v>1228</v>
      </c>
      <c r="C24" s="405">
        <f>(C22/(C23*(C20-C39)+C22))*100</f>
        <v>30.7340327471775</v>
      </c>
      <c r="D24" s="414"/>
      <c r="E24" s="414"/>
      <c r="F24" s="414"/>
      <c r="G24" s="414"/>
      <c r="H24" s="399" t="s">
        <v>754</v>
      </c>
      <c r="I24" s="444" t="s">
        <v>1229</v>
      </c>
      <c r="J24" s="443"/>
    </row>
    <row r="25" ht="32.25" customHeight="1" spans="1:10">
      <c r="A25" s="395">
        <v>17</v>
      </c>
      <c r="B25" s="399" t="s">
        <v>1230</v>
      </c>
      <c r="C25" s="415">
        <f>C26/((1-0.5*C23)*(C24/100))</f>
        <v>1.83171218695786</v>
      </c>
      <c r="D25" s="414"/>
      <c r="E25" s="414"/>
      <c r="F25" s="414"/>
      <c r="G25" s="414"/>
      <c r="H25" s="399" t="s">
        <v>345</v>
      </c>
      <c r="I25" s="445" t="s">
        <v>1231</v>
      </c>
      <c r="J25" s="443"/>
    </row>
    <row r="26" ht="33" customHeight="1" spans="1:10">
      <c r="A26" s="395">
        <v>18</v>
      </c>
      <c r="B26" s="399" t="s">
        <v>1232</v>
      </c>
      <c r="C26" s="415">
        <f>C12/((C13/100)*C20)</f>
        <v>0.281479511686836</v>
      </c>
      <c r="D26" s="414"/>
      <c r="E26" s="414"/>
      <c r="F26" s="414"/>
      <c r="G26" s="414"/>
      <c r="H26" s="399" t="s">
        <v>345</v>
      </c>
      <c r="I26" s="445" t="s">
        <v>1233</v>
      </c>
      <c r="J26" s="443"/>
    </row>
    <row r="27" ht="39" customHeight="1" spans="1:10">
      <c r="A27" s="395">
        <v>19</v>
      </c>
      <c r="B27" s="399" t="s">
        <v>1234</v>
      </c>
      <c r="C27" s="415">
        <f>C25*SQRT((C24/100)*((C23*C23)/3-C23+1))</f>
        <v>0.586281759302201</v>
      </c>
      <c r="D27" s="414"/>
      <c r="E27" s="414"/>
      <c r="F27" s="414"/>
      <c r="G27" s="414"/>
      <c r="H27" s="399" t="s">
        <v>345</v>
      </c>
      <c r="I27" s="445" t="s">
        <v>1235</v>
      </c>
      <c r="J27" s="443"/>
    </row>
    <row r="28" ht="24.75" customHeight="1" spans="1:10">
      <c r="A28" s="395">
        <v>20</v>
      </c>
      <c r="B28" s="399" t="s">
        <v>1236</v>
      </c>
      <c r="C28" s="415">
        <f>C25*C23</f>
        <v>1.83171218695786</v>
      </c>
      <c r="D28" s="414"/>
      <c r="E28" s="414"/>
      <c r="F28" s="414"/>
      <c r="G28" s="414"/>
      <c r="H28" s="399" t="s">
        <v>345</v>
      </c>
      <c r="I28" s="444" t="s">
        <v>1237</v>
      </c>
      <c r="J28" s="443"/>
    </row>
    <row r="29" ht="34.5" customHeight="1" spans="1:10">
      <c r="A29" s="395">
        <v>21</v>
      </c>
      <c r="B29" s="399" t="s">
        <v>1238</v>
      </c>
      <c r="C29" s="405">
        <f>C12*1000*(C14*(1-C13/100)+C13/100)/(C25*C25*C23*(1-0.5*C23)*C8*(C13/100))</f>
        <v>298.791322751461</v>
      </c>
      <c r="D29" s="414"/>
      <c r="E29" s="414"/>
      <c r="F29" s="414"/>
      <c r="G29" s="414"/>
      <c r="H29" s="399" t="s">
        <v>1239</v>
      </c>
      <c r="I29" s="445" t="s">
        <v>1240</v>
      </c>
      <c r="J29" s="443"/>
    </row>
    <row r="30" ht="29.25" customHeight="1" spans="1:10">
      <c r="A30" s="395">
        <v>22</v>
      </c>
      <c r="B30" s="399" t="s">
        <v>1241</v>
      </c>
      <c r="C30" s="405">
        <f>(C20-C39)*C24*1000000/C25/C8/100/1000</f>
        <v>315.123957728409</v>
      </c>
      <c r="D30" s="414"/>
      <c r="E30" s="414"/>
      <c r="F30" s="414"/>
      <c r="G30" s="414"/>
      <c r="H30" s="399" t="s">
        <v>1239</v>
      </c>
      <c r="I30" s="445" t="s">
        <v>1242</v>
      </c>
      <c r="J30" s="443"/>
    </row>
    <row r="31" ht="41.25" customHeight="1" spans="1:10">
      <c r="A31" s="395">
        <v>23</v>
      </c>
      <c r="B31" s="416" t="s">
        <v>1243</v>
      </c>
      <c r="C31" s="397">
        <v>299</v>
      </c>
      <c r="D31" s="417"/>
      <c r="E31" s="414"/>
      <c r="F31" s="414"/>
      <c r="G31" s="414"/>
      <c r="H31" s="399" t="s">
        <v>1239</v>
      </c>
      <c r="I31" s="446" t="s">
        <v>1244</v>
      </c>
      <c r="J31" s="443"/>
    </row>
    <row r="32" ht="31.5" customHeight="1" spans="1:10">
      <c r="A32" s="395">
        <v>24</v>
      </c>
      <c r="B32" s="416" t="s">
        <v>1245</v>
      </c>
      <c r="C32" s="418">
        <f>C31*0.025</f>
        <v>7.475</v>
      </c>
      <c r="D32" s="414"/>
      <c r="E32" s="414"/>
      <c r="F32" s="414"/>
      <c r="G32" s="414"/>
      <c r="H32" s="399" t="s">
        <v>1239</v>
      </c>
      <c r="I32" s="445" t="s">
        <v>1246</v>
      </c>
      <c r="J32" s="443"/>
    </row>
    <row r="33" ht="27.75" customHeight="1" spans="1:10">
      <c r="A33" s="393" t="s">
        <v>1247</v>
      </c>
      <c r="B33" s="394"/>
      <c r="C33" s="394"/>
      <c r="D33" s="394"/>
      <c r="E33" s="394"/>
      <c r="F33" s="394"/>
      <c r="G33" s="394"/>
      <c r="H33" s="394"/>
      <c r="I33" s="394"/>
      <c r="J33" s="447"/>
    </row>
    <row r="34" ht="25.5" customHeight="1" spans="1:10">
      <c r="A34" s="419"/>
      <c r="B34" s="420" t="s">
        <v>1248</v>
      </c>
      <c r="C34" s="420"/>
      <c r="D34" s="420"/>
      <c r="E34" s="420"/>
      <c r="F34" s="420"/>
      <c r="G34" s="420"/>
      <c r="H34" s="421"/>
      <c r="I34" s="421"/>
      <c r="J34" s="447"/>
    </row>
    <row r="35" ht="20.25" customHeight="1" spans="1:10">
      <c r="A35" s="422">
        <v>25</v>
      </c>
      <c r="B35" s="423" t="s">
        <v>1249</v>
      </c>
      <c r="C35" s="424">
        <f>C21+(1.4*1.5*C22)+20+22</f>
        <v>647.76659402887</v>
      </c>
      <c r="D35" s="425"/>
      <c r="E35" s="425"/>
      <c r="F35" s="425"/>
      <c r="G35" s="425"/>
      <c r="H35" s="423" t="s">
        <v>220</v>
      </c>
      <c r="I35" s="445" t="s">
        <v>1250</v>
      </c>
      <c r="J35" s="443"/>
    </row>
    <row r="36" ht="20.25" customHeight="1" spans="1:10">
      <c r="A36" s="422">
        <v>26</v>
      </c>
      <c r="B36" s="407" t="s">
        <v>1251</v>
      </c>
      <c r="C36" s="424">
        <f>C12/0.8</f>
        <v>76</v>
      </c>
      <c r="D36" s="425"/>
      <c r="E36" s="425"/>
      <c r="F36" s="425"/>
      <c r="G36" s="425"/>
      <c r="H36" s="423" t="s">
        <v>377</v>
      </c>
      <c r="I36" s="445" t="s">
        <v>1252</v>
      </c>
      <c r="J36" s="443"/>
    </row>
    <row r="37" ht="25.5" customHeight="1" spans="1:10">
      <c r="A37" s="422">
        <v>27</v>
      </c>
      <c r="B37" s="407" t="s">
        <v>1253</v>
      </c>
      <c r="C37" s="397">
        <v>700</v>
      </c>
      <c r="D37" s="425"/>
      <c r="E37" s="425"/>
      <c r="F37" s="425"/>
      <c r="G37" s="425"/>
      <c r="H37" s="423" t="s">
        <v>220</v>
      </c>
      <c r="I37" s="445" t="s">
        <v>1254</v>
      </c>
      <c r="J37" s="443" t="str">
        <f>IF(C37&lt;C35,"Warning:MOS管芯片BVDSS选择太小","")</f>
        <v/>
      </c>
    </row>
    <row r="38" ht="20.25" customHeight="1" spans="1:10">
      <c r="A38" s="422">
        <v>28</v>
      </c>
      <c r="B38" s="407" t="s">
        <v>1255</v>
      </c>
      <c r="C38" s="397">
        <v>125</v>
      </c>
      <c r="D38" s="425"/>
      <c r="E38" s="425"/>
      <c r="F38" s="425"/>
      <c r="G38" s="425"/>
      <c r="H38" s="423" t="s">
        <v>377</v>
      </c>
      <c r="I38" s="445" t="s">
        <v>1256</v>
      </c>
      <c r="J38" s="443" t="str">
        <f>IF(C38&lt;C36,"Warning:MOS管芯片设计功率选择太小","")</f>
        <v/>
      </c>
    </row>
    <row r="39" ht="18" customHeight="1" spans="1:10">
      <c r="A39" s="422">
        <v>29</v>
      </c>
      <c r="B39" s="407" t="s">
        <v>1257</v>
      </c>
      <c r="C39" s="397">
        <v>6.21</v>
      </c>
      <c r="D39" s="398"/>
      <c r="E39" s="398"/>
      <c r="F39" s="398"/>
      <c r="G39" s="398"/>
      <c r="H39" s="399" t="s">
        <v>220</v>
      </c>
      <c r="I39" s="445" t="s">
        <v>1258</v>
      </c>
      <c r="J39" s="443"/>
    </row>
    <row r="40" ht="20.25" customHeight="1" spans="1:10">
      <c r="A40" s="422">
        <v>30</v>
      </c>
      <c r="B40" s="407" t="s">
        <v>1259</v>
      </c>
      <c r="C40" s="397">
        <v>5</v>
      </c>
      <c r="D40" s="425"/>
      <c r="E40" s="425"/>
      <c r="F40" s="425"/>
      <c r="G40" s="425"/>
      <c r="H40" s="423" t="s">
        <v>208</v>
      </c>
      <c r="I40" s="445" t="s">
        <v>1260</v>
      </c>
      <c r="J40" s="443"/>
    </row>
    <row r="41" ht="20.25" customHeight="1" spans="1:10">
      <c r="A41" s="422">
        <v>31</v>
      </c>
      <c r="B41" s="407" t="s">
        <v>1261</v>
      </c>
      <c r="C41" s="426">
        <v>2.7</v>
      </c>
      <c r="D41" s="425"/>
      <c r="E41" s="425"/>
      <c r="F41" s="425"/>
      <c r="G41" s="425"/>
      <c r="H41" s="423" t="s">
        <v>345</v>
      </c>
      <c r="I41" s="445" t="s">
        <v>1262</v>
      </c>
      <c r="J41" s="443"/>
    </row>
    <row r="42" ht="20.25" customHeight="1" spans="1:10">
      <c r="A42" s="422">
        <v>32</v>
      </c>
      <c r="B42" s="407" t="s">
        <v>1263</v>
      </c>
      <c r="C42" s="426">
        <v>0.42</v>
      </c>
      <c r="D42" s="425"/>
      <c r="E42" s="425"/>
      <c r="F42" s="425"/>
      <c r="G42" s="425"/>
      <c r="H42" s="423" t="s">
        <v>916</v>
      </c>
      <c r="I42" s="445" t="s">
        <v>1264</v>
      </c>
      <c r="J42" s="443"/>
    </row>
    <row r="43" ht="20.25" customHeight="1" spans="1:10">
      <c r="A43" s="422">
        <v>33</v>
      </c>
      <c r="B43" s="407" t="s">
        <v>1265</v>
      </c>
      <c r="C43" s="426">
        <v>10</v>
      </c>
      <c r="D43" s="425"/>
      <c r="E43" s="425"/>
      <c r="F43" s="425"/>
      <c r="G43" s="425"/>
      <c r="H43" s="423" t="s">
        <v>242</v>
      </c>
      <c r="I43" s="445" t="s">
        <v>1266</v>
      </c>
      <c r="J43" s="443"/>
    </row>
    <row r="44" ht="20.25" customHeight="1" spans="1:10">
      <c r="A44" s="422">
        <v>34</v>
      </c>
      <c r="B44" s="407" t="s">
        <v>1267</v>
      </c>
      <c r="C44" s="427">
        <v>125</v>
      </c>
      <c r="D44" s="425"/>
      <c r="E44" s="425"/>
      <c r="F44" s="425"/>
      <c r="G44" s="425"/>
      <c r="H44" s="423" t="s">
        <v>1268</v>
      </c>
      <c r="I44" s="445" t="s">
        <v>1269</v>
      </c>
      <c r="J44" s="443"/>
    </row>
    <row r="45" ht="20.25" customHeight="1" spans="1:10">
      <c r="A45" s="422">
        <v>35</v>
      </c>
      <c r="B45" s="407" t="s">
        <v>1270</v>
      </c>
      <c r="C45" s="426">
        <v>2</v>
      </c>
      <c r="D45" s="425"/>
      <c r="E45" s="425"/>
      <c r="F45" s="425"/>
      <c r="G45" s="425"/>
      <c r="H45" s="423" t="s">
        <v>1271</v>
      </c>
      <c r="I45" s="445" t="s">
        <v>1272</v>
      </c>
      <c r="J45" s="443"/>
    </row>
    <row r="46" ht="20.25" customHeight="1" spans="1:10">
      <c r="A46" s="422">
        <v>36</v>
      </c>
      <c r="B46" s="407" t="s">
        <v>1273</v>
      </c>
      <c r="C46" s="426">
        <v>80</v>
      </c>
      <c r="D46" s="425"/>
      <c r="E46" s="425"/>
      <c r="F46" s="425"/>
      <c r="G46" s="425"/>
      <c r="H46" s="423" t="s">
        <v>1271</v>
      </c>
      <c r="I46" s="445" t="s">
        <v>1274</v>
      </c>
      <c r="J46" s="443"/>
    </row>
    <row r="47" ht="20.25" customHeight="1" spans="1:10">
      <c r="A47" s="422">
        <v>37</v>
      </c>
      <c r="B47" s="407" t="s">
        <v>1275</v>
      </c>
      <c r="C47" s="428">
        <v>2.511</v>
      </c>
      <c r="D47" s="425"/>
      <c r="E47" s="425"/>
      <c r="F47" s="425"/>
      <c r="G47" s="425"/>
      <c r="H47" s="423" t="s">
        <v>345</v>
      </c>
      <c r="I47" s="445" t="s">
        <v>1276</v>
      </c>
      <c r="J47" s="443"/>
    </row>
    <row r="48" ht="20.25" customHeight="1" spans="1:10">
      <c r="A48" s="422">
        <v>38</v>
      </c>
      <c r="B48" s="407" t="s">
        <v>1277</v>
      </c>
      <c r="C48" s="428">
        <v>2.889</v>
      </c>
      <c r="D48" s="425"/>
      <c r="E48" s="425"/>
      <c r="F48" s="425"/>
      <c r="G48" s="425"/>
      <c r="H48" s="423" t="s">
        <v>345</v>
      </c>
      <c r="I48" s="445" t="s">
        <v>1278</v>
      </c>
      <c r="J48" s="443"/>
    </row>
    <row r="49" ht="26.25" customHeight="1" spans="1:10">
      <c r="A49" s="422"/>
      <c r="B49" s="429" t="str">
        <f>IF(AND(C37&gt;=C35,C38&gt;=C36,C25&lt;=(C47*0.9)),"MOS选择正确",IF(OR(C37&lt;C35,C38&lt;C36,C25&gt;(C47*0.9)),"MOS管选择不合理"))</f>
        <v>MOS选择正确</v>
      </c>
      <c r="C49" s="429"/>
      <c r="D49" s="429"/>
      <c r="E49" s="429"/>
      <c r="F49" s="429"/>
      <c r="G49" s="429"/>
      <c r="H49" s="429"/>
      <c r="I49" s="445" t="s">
        <v>1279</v>
      </c>
      <c r="J49" s="443"/>
    </row>
    <row r="50" ht="23.25" customHeight="1" spans="1:10">
      <c r="A50" s="430"/>
      <c r="B50" s="420" t="s">
        <v>1280</v>
      </c>
      <c r="C50" s="420"/>
      <c r="D50" s="420"/>
      <c r="E50" s="420"/>
      <c r="F50" s="420"/>
      <c r="G50" s="420"/>
      <c r="H50" s="421"/>
      <c r="I50" s="421"/>
      <c r="J50" s="448"/>
    </row>
    <row r="51" ht="20.25" customHeight="1" spans="1:10">
      <c r="A51" s="431" t="s">
        <v>1281</v>
      </c>
      <c r="B51" s="432"/>
      <c r="C51" s="432"/>
      <c r="D51" s="432"/>
      <c r="E51" s="432"/>
      <c r="F51" s="432"/>
      <c r="G51" s="432"/>
      <c r="H51" s="432"/>
      <c r="I51" s="445"/>
      <c r="J51" s="443"/>
    </row>
    <row r="52" ht="20.25" customHeight="1" spans="1:10">
      <c r="A52" s="422">
        <v>39</v>
      </c>
      <c r="B52" s="433" t="s">
        <v>1282</v>
      </c>
      <c r="C52" s="397">
        <v>85</v>
      </c>
      <c r="D52" s="432"/>
      <c r="E52" s="432"/>
      <c r="F52" s="432"/>
      <c r="G52" s="432"/>
      <c r="H52" s="423" t="s">
        <v>1268</v>
      </c>
      <c r="I52" s="445" t="s">
        <v>1283</v>
      </c>
      <c r="J52" s="443"/>
    </row>
    <row r="53" ht="20.25" customHeight="1" spans="1:10">
      <c r="A53" s="422">
        <v>40</v>
      </c>
      <c r="B53" s="407" t="s">
        <v>1284</v>
      </c>
      <c r="C53" s="434">
        <f>C27*C27*C40</f>
        <v>1.71863150645242</v>
      </c>
      <c r="D53" s="425"/>
      <c r="E53" s="425"/>
      <c r="F53" s="425"/>
      <c r="G53" s="425"/>
      <c r="H53" s="423" t="s">
        <v>377</v>
      </c>
      <c r="I53" s="445" t="s">
        <v>1285</v>
      </c>
      <c r="J53" s="443"/>
    </row>
    <row r="54" ht="20.25" customHeight="1" spans="1:10">
      <c r="A54" s="422">
        <v>41</v>
      </c>
      <c r="B54" s="407" t="s">
        <v>1286</v>
      </c>
      <c r="C54" s="434">
        <f>0.5*C43*C8*(C21+C22)*(C21+C22)*0.000000001</f>
        <v>0.155099109452992</v>
      </c>
      <c r="D54" s="425"/>
      <c r="E54" s="425"/>
      <c r="F54" s="425"/>
      <c r="G54" s="425"/>
      <c r="H54" s="423" t="s">
        <v>377</v>
      </c>
      <c r="I54" s="445" t="s">
        <v>1287</v>
      </c>
      <c r="J54" s="443"/>
    </row>
    <row r="55" ht="20.25" customHeight="1" spans="1:10">
      <c r="A55" s="422">
        <v>42</v>
      </c>
      <c r="B55" s="423" t="s">
        <v>1288</v>
      </c>
      <c r="C55" s="434">
        <f>C53+C54+0.4</f>
        <v>2.27373061590541</v>
      </c>
      <c r="D55" s="425"/>
      <c r="E55" s="425"/>
      <c r="F55" s="425"/>
      <c r="G55" s="425"/>
      <c r="H55" s="423" t="s">
        <v>377</v>
      </c>
      <c r="I55" s="445" t="s">
        <v>1289</v>
      </c>
      <c r="J55" s="443"/>
    </row>
    <row r="56" ht="20.25" customHeight="1" spans="1:10">
      <c r="A56" s="422">
        <v>43</v>
      </c>
      <c r="B56" s="423" t="s">
        <v>1290</v>
      </c>
      <c r="C56" s="434">
        <f>(C44-C52)/C55</f>
        <v>17.5922335390958</v>
      </c>
      <c r="D56" s="425"/>
      <c r="E56" s="425"/>
      <c r="F56" s="425"/>
      <c r="G56" s="425"/>
      <c r="H56" s="423" t="s">
        <v>1271</v>
      </c>
      <c r="I56" s="445" t="s">
        <v>1291</v>
      </c>
      <c r="J56" s="443"/>
    </row>
    <row r="57" ht="30.75" customHeight="1" spans="1:10">
      <c r="A57" s="422"/>
      <c r="B57" s="429" t="str">
        <f>IF((C56&gt;=C46),"不需要外加散热片",IF((C56&lt;C46),"需要外加散热片"))</f>
        <v>需要外加散热片</v>
      </c>
      <c r="C57" s="429"/>
      <c r="D57" s="429"/>
      <c r="E57" s="429"/>
      <c r="F57" s="429"/>
      <c r="G57" s="429"/>
      <c r="H57" s="429"/>
      <c r="I57" s="445" t="s">
        <v>1292</v>
      </c>
      <c r="J57" s="443"/>
    </row>
    <row r="58" ht="20.25" customHeight="1" spans="1:10">
      <c r="A58" s="422">
        <v>44</v>
      </c>
      <c r="B58" s="423" t="s">
        <v>1293</v>
      </c>
      <c r="C58" s="397">
        <v>0.2</v>
      </c>
      <c r="D58" s="425"/>
      <c r="E58" s="425"/>
      <c r="F58" s="425"/>
      <c r="G58" s="425"/>
      <c r="H58" s="423" t="s">
        <v>1271</v>
      </c>
      <c r="I58" s="445" t="s">
        <v>1294</v>
      </c>
      <c r="J58" s="443"/>
    </row>
    <row r="59" ht="20.25" customHeight="1" spans="1:10">
      <c r="A59" s="422">
        <v>45</v>
      </c>
      <c r="B59" s="423" t="s">
        <v>1295</v>
      </c>
      <c r="C59" s="418">
        <f>C56-C45-C58</f>
        <v>15.3922335390958</v>
      </c>
      <c r="D59" s="425"/>
      <c r="E59" s="425"/>
      <c r="F59" s="425"/>
      <c r="G59" s="425"/>
      <c r="H59" s="423" t="s">
        <v>1271</v>
      </c>
      <c r="I59" s="445" t="s">
        <v>1296</v>
      </c>
      <c r="J59" s="443"/>
    </row>
    <row r="60" ht="25.5" customHeight="1" spans="1:10">
      <c r="A60" s="422"/>
      <c r="B60" s="435" t="s">
        <v>1297</v>
      </c>
      <c r="C60" s="436" t="s">
        <v>1298</v>
      </c>
      <c r="D60" s="436"/>
      <c r="E60" s="436"/>
      <c r="F60" s="436"/>
      <c r="G60" s="436"/>
      <c r="H60" s="436"/>
      <c r="I60" s="449"/>
      <c r="J60" s="443"/>
    </row>
    <row r="61" ht="30" customHeight="1" spans="1:10">
      <c r="A61" s="393" t="s">
        <v>1299</v>
      </c>
      <c r="B61" s="437"/>
      <c r="C61" s="437"/>
      <c r="D61" s="437"/>
      <c r="E61" s="437"/>
      <c r="F61" s="437"/>
      <c r="G61" s="437"/>
      <c r="H61" s="437"/>
      <c r="I61" s="437"/>
      <c r="J61" s="448"/>
    </row>
    <row r="62" ht="26.25" customHeight="1" spans="1:10">
      <c r="A62" s="422">
        <v>46</v>
      </c>
      <c r="B62" s="411" t="s">
        <v>1300</v>
      </c>
      <c r="C62" s="397" t="s">
        <v>1301</v>
      </c>
      <c r="D62" s="412"/>
      <c r="E62" s="412"/>
      <c r="F62" s="412"/>
      <c r="G62" s="412"/>
      <c r="H62" s="411" t="s">
        <v>870</v>
      </c>
      <c r="I62" s="445"/>
      <c r="J62" s="443"/>
    </row>
    <row r="63" ht="26.25" customHeight="1" spans="1:10">
      <c r="A63" s="422">
        <v>47</v>
      </c>
      <c r="B63" s="411" t="s">
        <v>1302</v>
      </c>
      <c r="C63" s="438">
        <v>2400</v>
      </c>
      <c r="D63" s="412"/>
      <c r="E63" s="412"/>
      <c r="F63" s="412"/>
      <c r="G63" s="412"/>
      <c r="H63" s="399" t="s">
        <v>1303</v>
      </c>
      <c r="I63" s="445" t="s">
        <v>1304</v>
      </c>
      <c r="J63" s="443"/>
    </row>
    <row r="64" ht="26.25" customHeight="1" spans="1:10">
      <c r="A64" s="422">
        <v>48</v>
      </c>
      <c r="B64" s="411" t="s">
        <v>1305</v>
      </c>
      <c r="C64" s="438">
        <v>300</v>
      </c>
      <c r="D64" s="412"/>
      <c r="E64" s="412"/>
      <c r="F64" s="412"/>
      <c r="G64" s="412"/>
      <c r="H64" s="411" t="s">
        <v>1306</v>
      </c>
      <c r="I64" s="445" t="s">
        <v>1307</v>
      </c>
      <c r="J64" s="443"/>
    </row>
    <row r="65" ht="26.25" customHeight="1" spans="1:10">
      <c r="A65" s="422">
        <v>49</v>
      </c>
      <c r="B65" s="411" t="s">
        <v>1308</v>
      </c>
      <c r="C65" s="438">
        <v>390</v>
      </c>
      <c r="D65" s="412"/>
      <c r="E65" s="412"/>
      <c r="F65" s="412"/>
      <c r="G65" s="412"/>
      <c r="H65" s="411" t="s">
        <v>1309</v>
      </c>
      <c r="I65" s="445" t="s">
        <v>1310</v>
      </c>
      <c r="J65" s="443"/>
    </row>
    <row r="66" ht="26.25" customHeight="1" spans="1:10">
      <c r="A66" s="422">
        <v>50</v>
      </c>
      <c r="B66" s="411" t="s">
        <v>1311</v>
      </c>
      <c r="C66" s="438">
        <v>60</v>
      </c>
      <c r="D66" s="412"/>
      <c r="E66" s="412"/>
      <c r="F66" s="412"/>
      <c r="G66" s="412"/>
      <c r="H66" s="411" t="s">
        <v>1309</v>
      </c>
      <c r="I66" s="445" t="s">
        <v>1312</v>
      </c>
      <c r="J66" s="443"/>
    </row>
    <row r="67" ht="26.25" customHeight="1" spans="1:10">
      <c r="A67" s="422">
        <v>51</v>
      </c>
      <c r="B67" s="411" t="s">
        <v>1313</v>
      </c>
      <c r="C67" s="434">
        <f>(C65-C66)*0.001</f>
        <v>0.33</v>
      </c>
      <c r="D67" s="412"/>
      <c r="E67" s="412"/>
      <c r="F67" s="412"/>
      <c r="G67" s="412"/>
      <c r="H67" s="411" t="s">
        <v>916</v>
      </c>
      <c r="I67" s="445" t="s">
        <v>1314</v>
      </c>
      <c r="J67" s="443"/>
    </row>
    <row r="68" ht="26.25" customHeight="1" spans="1:10">
      <c r="A68" s="422">
        <v>52</v>
      </c>
      <c r="B68" s="433" t="s">
        <v>1315</v>
      </c>
      <c r="C68" s="434">
        <f>C67*0.7</f>
        <v>0.231</v>
      </c>
      <c r="D68" s="432"/>
      <c r="E68" s="432"/>
      <c r="F68" s="432"/>
      <c r="G68" s="432"/>
      <c r="H68" s="399" t="s">
        <v>916</v>
      </c>
      <c r="I68" s="445" t="s">
        <v>1316</v>
      </c>
      <c r="J68" s="443"/>
    </row>
    <row r="69" ht="24" customHeight="1" spans="1:10">
      <c r="A69" s="422">
        <v>53</v>
      </c>
      <c r="B69" s="399" t="s">
        <v>1317</v>
      </c>
      <c r="C69" s="434">
        <f>C68*C23*C14</f>
        <v>0.1155</v>
      </c>
      <c r="D69" s="414"/>
      <c r="E69" s="414"/>
      <c r="F69" s="414"/>
      <c r="G69" s="414"/>
      <c r="H69" s="399" t="s">
        <v>916</v>
      </c>
      <c r="I69" s="445" t="s">
        <v>1318</v>
      </c>
      <c r="J69" s="443"/>
    </row>
    <row r="70" ht="26.25" customHeight="1" spans="1:10">
      <c r="A70" s="422">
        <v>54</v>
      </c>
      <c r="B70" s="433" t="s">
        <v>1319</v>
      </c>
      <c r="C70" s="397">
        <v>0.35</v>
      </c>
      <c r="D70" s="432"/>
      <c r="E70" s="432"/>
      <c r="F70" s="432"/>
      <c r="G70" s="432"/>
      <c r="H70" s="411" t="s">
        <v>870</v>
      </c>
      <c r="I70" s="445" t="s">
        <v>1320</v>
      </c>
      <c r="J70" s="443" t="str">
        <f>IF(C70&lt;0.2,"Warning:磁芯窗口面积利用系数选择太小",IF(C70&gt;0.5,"Warning:磁芯窗口面积利用系数选择太大",""))</f>
        <v/>
      </c>
    </row>
    <row r="71" ht="26.25" customHeight="1" spans="1:10">
      <c r="A71" s="422">
        <v>55</v>
      </c>
      <c r="B71" s="433" t="s">
        <v>804</v>
      </c>
      <c r="C71" s="397">
        <v>400</v>
      </c>
      <c r="D71" s="432"/>
      <c r="E71" s="432"/>
      <c r="F71" s="432"/>
      <c r="G71" s="432"/>
      <c r="H71" s="399" t="s">
        <v>1321</v>
      </c>
      <c r="I71" s="445" t="s">
        <v>1322</v>
      </c>
      <c r="J71" s="443" t="str">
        <f>IF(C71&lt;200,"Warning:绕组导线电流密度选择太大",IF(C71&gt;600,"Warning:绕组导线电流密度选择太小",""))</f>
        <v/>
      </c>
    </row>
    <row r="72" ht="32.25" customHeight="1" spans="1:10">
      <c r="A72" s="422">
        <v>56</v>
      </c>
      <c r="B72" s="411" t="s">
        <v>1323</v>
      </c>
      <c r="C72" s="434">
        <f>(0.216*(1+C13/100)*C12*10000)/((C13/100)*C70*C71*C68*C23*C14*(C24/100)*C8*1000)</f>
        <v>0.435719134530641</v>
      </c>
      <c r="D72" s="425"/>
      <c r="E72" s="425"/>
      <c r="F72" s="425"/>
      <c r="G72" s="425"/>
      <c r="H72" s="399" t="s">
        <v>1324</v>
      </c>
      <c r="I72" s="445" t="s">
        <v>1325</v>
      </c>
      <c r="J72" s="443"/>
    </row>
    <row r="73" ht="26.25" customHeight="1" spans="1:10">
      <c r="A73" s="422">
        <v>57</v>
      </c>
      <c r="B73" s="423" t="s">
        <v>1326</v>
      </c>
      <c r="C73" s="434">
        <f>75*SQRT(C12/C13)</f>
        <v>63.4312967845109</v>
      </c>
      <c r="D73" s="450"/>
      <c r="E73" s="425"/>
      <c r="F73" s="425"/>
      <c r="G73" s="425"/>
      <c r="H73" s="399" t="s">
        <v>1327</v>
      </c>
      <c r="I73" s="445" t="s">
        <v>1328</v>
      </c>
      <c r="J73" s="443"/>
    </row>
    <row r="74" ht="23.25" customHeight="1" spans="1:10">
      <c r="A74" s="422">
        <v>58</v>
      </c>
      <c r="B74" s="416" t="s">
        <v>1329</v>
      </c>
      <c r="C74" s="397" t="s">
        <v>1330</v>
      </c>
      <c r="D74" s="398"/>
      <c r="E74" s="398"/>
      <c r="F74" s="398"/>
      <c r="G74" s="398"/>
      <c r="H74" s="411" t="s">
        <v>870</v>
      </c>
      <c r="I74" s="445" t="s">
        <v>1331</v>
      </c>
      <c r="J74" s="443"/>
    </row>
    <row r="75" ht="23.25" customHeight="1" spans="1:10">
      <c r="A75" s="422">
        <v>59</v>
      </c>
      <c r="B75" s="399" t="s">
        <v>1332</v>
      </c>
      <c r="C75" s="451">
        <v>1.2047</v>
      </c>
      <c r="D75" s="398"/>
      <c r="E75" s="398"/>
      <c r="F75" s="398"/>
      <c r="G75" s="398"/>
      <c r="H75" s="399" t="s">
        <v>1324</v>
      </c>
      <c r="I75" s="445" t="s">
        <v>1333</v>
      </c>
      <c r="J75" s="443"/>
    </row>
    <row r="76" ht="24.75" customHeight="1" spans="1:10">
      <c r="A76" s="422">
        <v>60</v>
      </c>
      <c r="B76" s="399" t="s">
        <v>1334</v>
      </c>
      <c r="C76" s="426">
        <v>81.4</v>
      </c>
      <c r="D76" s="398"/>
      <c r="E76" s="398"/>
      <c r="F76" s="398"/>
      <c r="G76" s="398"/>
      <c r="H76" s="399" t="s">
        <v>1327</v>
      </c>
      <c r="I76" s="445" t="s">
        <v>1335</v>
      </c>
      <c r="J76" s="443"/>
    </row>
    <row r="77" ht="24.75" customHeight="1" spans="1:10">
      <c r="A77" s="422">
        <v>61</v>
      </c>
      <c r="B77" s="399" t="s">
        <v>1336</v>
      </c>
      <c r="C77" s="426">
        <v>148</v>
      </c>
      <c r="D77" s="398"/>
      <c r="E77" s="398"/>
      <c r="F77" s="398"/>
      <c r="G77" s="398"/>
      <c r="H77" s="399" t="s">
        <v>1327</v>
      </c>
      <c r="I77" s="445" t="s">
        <v>1337</v>
      </c>
      <c r="J77" s="443"/>
    </row>
    <row r="78" ht="24.75" customHeight="1" spans="1:10">
      <c r="A78" s="422">
        <v>62</v>
      </c>
      <c r="B78" s="399" t="s">
        <v>1338</v>
      </c>
      <c r="C78" s="426">
        <v>2520</v>
      </c>
      <c r="D78" s="398"/>
      <c r="E78" s="398"/>
      <c r="F78" s="398"/>
      <c r="G78" s="398"/>
      <c r="H78" s="399" t="s">
        <v>1339</v>
      </c>
      <c r="I78" s="445" t="s">
        <v>1340</v>
      </c>
      <c r="J78" s="443"/>
    </row>
    <row r="79" ht="18" customHeight="1" spans="1:10">
      <c r="A79" s="422">
        <v>63</v>
      </c>
      <c r="B79" s="399" t="s">
        <v>1341</v>
      </c>
      <c r="C79" s="426">
        <v>75.5</v>
      </c>
      <c r="D79" s="398"/>
      <c r="E79" s="398"/>
      <c r="F79" s="398"/>
      <c r="G79" s="398"/>
      <c r="H79" s="399" t="s">
        <v>1342</v>
      </c>
      <c r="I79" s="445" t="s">
        <v>1343</v>
      </c>
      <c r="J79" s="443"/>
    </row>
    <row r="80" ht="24.75" customHeight="1" spans="1:10">
      <c r="A80" s="422">
        <v>64</v>
      </c>
      <c r="B80" s="399" t="s">
        <v>1344</v>
      </c>
      <c r="C80" s="426">
        <v>6143</v>
      </c>
      <c r="D80" s="398"/>
      <c r="E80" s="398"/>
      <c r="F80" s="398"/>
      <c r="G80" s="398"/>
      <c r="H80" s="399" t="s">
        <v>1345</v>
      </c>
      <c r="I80" s="445" t="s">
        <v>1346</v>
      </c>
      <c r="J80" s="443"/>
    </row>
    <row r="81" ht="24.75" customHeight="1" spans="1:10">
      <c r="A81" s="422">
        <v>65</v>
      </c>
      <c r="B81" s="399" t="s">
        <v>1347</v>
      </c>
      <c r="C81" s="452">
        <v>228</v>
      </c>
      <c r="D81" s="398"/>
      <c r="E81" s="398"/>
      <c r="F81" s="398"/>
      <c r="G81" s="398"/>
      <c r="H81" s="399" t="s">
        <v>377</v>
      </c>
      <c r="I81" s="445" t="s">
        <v>1348</v>
      </c>
      <c r="J81" s="443"/>
    </row>
    <row r="82" ht="24.75" customHeight="1" spans="1:10">
      <c r="A82" s="422">
        <v>66</v>
      </c>
      <c r="B82" s="399" t="s">
        <v>747</v>
      </c>
      <c r="C82" s="452">
        <v>9.9</v>
      </c>
      <c r="D82" s="398"/>
      <c r="E82" s="398"/>
      <c r="F82" s="398"/>
      <c r="G82" s="398"/>
      <c r="H82" s="399" t="s">
        <v>1342</v>
      </c>
      <c r="I82" s="445" t="s">
        <v>1349</v>
      </c>
      <c r="J82" s="443"/>
    </row>
    <row r="83" ht="20.1" customHeight="1" spans="1:10">
      <c r="A83" s="422">
        <v>67</v>
      </c>
      <c r="B83" s="399" t="s">
        <v>1350</v>
      </c>
      <c r="C83" s="397">
        <v>21.8</v>
      </c>
      <c r="D83" s="398"/>
      <c r="E83" s="398"/>
      <c r="F83" s="398"/>
      <c r="G83" s="398"/>
      <c r="H83" s="399" t="s">
        <v>1342</v>
      </c>
      <c r="I83" s="445" t="s">
        <v>1351</v>
      </c>
      <c r="J83" s="443"/>
    </row>
    <row r="84" ht="20.1" customHeight="1" spans="1:10">
      <c r="A84" s="422">
        <v>68</v>
      </c>
      <c r="B84" s="399" t="s">
        <v>783</v>
      </c>
      <c r="C84" s="397">
        <v>4.5</v>
      </c>
      <c r="D84" s="398"/>
      <c r="E84" s="398"/>
      <c r="F84" s="398"/>
      <c r="G84" s="398"/>
      <c r="H84" s="453" t="s">
        <v>1342</v>
      </c>
      <c r="I84" s="445" t="s">
        <v>1352</v>
      </c>
      <c r="J84" s="469"/>
    </row>
    <row r="85" ht="27.75" customHeight="1" spans="1:10">
      <c r="A85" s="422"/>
      <c r="B85" s="429" t="str">
        <f>IF(AND(C75&gt;=C72,C81&gt;=((C12*(100+C13))/C13)),"磁芯选择正确",IF(OR(C76&lt;C73,C75&lt;C72,C81&lt;((C12*(100+C13))/C13)),"磁芯选择不合理"))</f>
        <v>磁芯选择正确</v>
      </c>
      <c r="C85" s="429"/>
      <c r="D85" s="429"/>
      <c r="E85" s="429"/>
      <c r="F85" s="429"/>
      <c r="G85" s="429"/>
      <c r="H85" s="429"/>
      <c r="I85" s="445"/>
      <c r="J85" s="443" t="str">
        <f>IF(AND(C75&gt;=C72,C81&gt;=((C12*(100+C13))/C13)),"",IF(OR(C76&lt;C73,C75&lt;C72,C81&lt;((C12*(100+C13))/C13)),"Wariing:磁芯选择不合理，请磁芯设计"))</f>
        <v/>
      </c>
    </row>
    <row r="86" ht="20.25" customHeight="1" spans="1:10">
      <c r="A86" s="393" t="s">
        <v>1353</v>
      </c>
      <c r="B86" s="437"/>
      <c r="C86" s="437"/>
      <c r="D86" s="437"/>
      <c r="E86" s="437"/>
      <c r="F86" s="437"/>
      <c r="G86" s="437"/>
      <c r="H86" s="437"/>
      <c r="I86" s="437"/>
      <c r="J86" s="448"/>
    </row>
    <row r="87" ht="18" customHeight="1" spans="1:10">
      <c r="A87" s="395">
        <v>69</v>
      </c>
      <c r="B87" s="407" t="s">
        <v>1354</v>
      </c>
      <c r="C87" s="398"/>
      <c r="D87" s="397">
        <v>0.5</v>
      </c>
      <c r="E87" s="397">
        <v>0</v>
      </c>
      <c r="F87" s="397">
        <v>0</v>
      </c>
      <c r="G87" s="397">
        <v>0</v>
      </c>
      <c r="H87" s="399" t="s">
        <v>220</v>
      </c>
      <c r="I87" s="444" t="s">
        <v>1355</v>
      </c>
      <c r="J87" s="443"/>
    </row>
    <row r="88" ht="18" customHeight="1" spans="1:10">
      <c r="A88" s="395">
        <v>70</v>
      </c>
      <c r="B88" s="407" t="s">
        <v>1356</v>
      </c>
      <c r="C88" s="397">
        <v>0.7</v>
      </c>
      <c r="D88" s="398"/>
      <c r="E88" s="398"/>
      <c r="F88" s="398"/>
      <c r="G88" s="398"/>
      <c r="H88" s="399" t="s">
        <v>220</v>
      </c>
      <c r="I88" s="444" t="s">
        <v>1357</v>
      </c>
      <c r="J88" s="443"/>
    </row>
    <row r="89" ht="27" customHeight="1" spans="1:10">
      <c r="A89" s="395">
        <v>71</v>
      </c>
      <c r="B89" s="454" t="s">
        <v>862</v>
      </c>
      <c r="C89" s="454" t="s">
        <v>1183</v>
      </c>
      <c r="D89" s="455">
        <f>IF(ABS(ABS(D10)+D87)&lt;1.5,,C22/(ABS(D10)+D87))</f>
        <v>3.38461538461538</v>
      </c>
      <c r="E89" s="455">
        <f>IF(ABS(ABS(E10)+E87)&lt;1.5,,C22/(ABS(E10)+E87))</f>
        <v>0</v>
      </c>
      <c r="F89" s="455">
        <f>IF(ABS(ABS(F10)+F87)&lt;1.5,,C22/(ABS(F10)+F87))</f>
        <v>0</v>
      </c>
      <c r="G89" s="455">
        <f>IF(ABS(ABS(G10)+G87)&lt;1.5,,C22/(ABS(G10)+G87))</f>
        <v>0</v>
      </c>
      <c r="H89" s="444"/>
      <c r="I89" s="446" t="s">
        <v>1358</v>
      </c>
      <c r="J89" s="443"/>
    </row>
    <row r="90" ht="22.5" customHeight="1" spans="1:10">
      <c r="A90" s="395">
        <v>72</v>
      </c>
      <c r="B90" s="399" t="s">
        <v>1359</v>
      </c>
      <c r="C90" s="405">
        <f>(C20-D39)*C24*10/C68/C8/C76</f>
        <v>31.4664028409532</v>
      </c>
      <c r="D90" s="456"/>
      <c r="E90" s="456"/>
      <c r="F90" s="456"/>
      <c r="G90" s="456"/>
      <c r="H90" s="399" t="s">
        <v>1360</v>
      </c>
      <c r="I90" s="446" t="s">
        <v>1361</v>
      </c>
      <c r="J90" s="443"/>
    </row>
    <row r="91" ht="24" customHeight="1" spans="1:10">
      <c r="A91" s="395"/>
      <c r="B91" s="399" t="s">
        <v>1362</v>
      </c>
      <c r="C91" s="427">
        <v>32</v>
      </c>
      <c r="D91" s="456"/>
      <c r="E91" s="456"/>
      <c r="F91" s="456"/>
      <c r="G91" s="456"/>
      <c r="H91" s="399"/>
      <c r="I91" s="446"/>
      <c r="J91" s="443"/>
    </row>
    <row r="92" ht="24.75" customHeight="1" spans="1:10">
      <c r="A92" s="395">
        <v>73</v>
      </c>
      <c r="B92" s="399" t="s">
        <v>1363</v>
      </c>
      <c r="C92" s="456" t="s">
        <v>1183</v>
      </c>
      <c r="D92" s="405">
        <f>IF(D89=0,,C91/D89)</f>
        <v>9.45454545454546</v>
      </c>
      <c r="E92" s="457">
        <f>IF(E89=0,,D92*(ABS(E10)+E87)/(ABS(D10)+D87))</f>
        <v>0</v>
      </c>
      <c r="F92" s="457">
        <f>IF(F89=0,,D92*(ABS(F10)+F87)/(ABS(D10)+D87))</f>
        <v>0</v>
      </c>
      <c r="G92" s="457">
        <f>IF(G89=0,,D92*(ABS(G10)+G87)/(ABS(D10)+D87))</f>
        <v>0</v>
      </c>
      <c r="H92" s="399" t="s">
        <v>1360</v>
      </c>
      <c r="I92" s="446" t="s">
        <v>1364</v>
      </c>
      <c r="J92" s="443"/>
    </row>
    <row r="93" ht="24" customHeight="1" spans="1:10">
      <c r="A93" s="395"/>
      <c r="B93" s="399"/>
      <c r="C93" s="456" t="s">
        <v>1365</v>
      </c>
      <c r="D93" s="458">
        <v>9</v>
      </c>
      <c r="E93" s="458">
        <v>0</v>
      </c>
      <c r="F93" s="458">
        <f>IF(F89=0,,D93*(ABS(F10)+F87)/(ABS(D10)+D87))</f>
        <v>0</v>
      </c>
      <c r="G93" s="458">
        <f>IF(G89=0,,D93*(ABS(G10)+G87)/(ABS(D10)+D87))</f>
        <v>0</v>
      </c>
      <c r="H93" s="399"/>
      <c r="I93" s="446"/>
      <c r="J93" s="443"/>
    </row>
    <row r="94" ht="29.25" customHeight="1" spans="1:10">
      <c r="A94" s="395">
        <v>74</v>
      </c>
      <c r="B94" s="399" t="s">
        <v>1366</v>
      </c>
      <c r="C94" s="459">
        <f>D93*((C15+C88)/(ABS(D10)+D87))</f>
        <v>3.51692307692308</v>
      </c>
      <c r="D94" s="456"/>
      <c r="E94" s="456"/>
      <c r="F94" s="456"/>
      <c r="G94" s="456"/>
      <c r="H94" s="399" t="s">
        <v>1360</v>
      </c>
      <c r="I94" s="446" t="s">
        <v>1367</v>
      </c>
      <c r="J94" s="443"/>
    </row>
    <row r="95" ht="23.25" customHeight="1" spans="1:10">
      <c r="A95" s="395"/>
      <c r="B95" s="399" t="s">
        <v>1368</v>
      </c>
      <c r="C95" s="458">
        <v>4</v>
      </c>
      <c r="D95" s="456"/>
      <c r="E95" s="456"/>
      <c r="F95" s="456"/>
      <c r="G95" s="456"/>
      <c r="H95" s="399"/>
      <c r="I95" s="446"/>
      <c r="J95" s="443"/>
    </row>
    <row r="96" ht="33" customHeight="1" spans="1:10">
      <c r="A96" s="460" t="s">
        <v>1369</v>
      </c>
      <c r="B96" s="394"/>
      <c r="C96" s="394"/>
      <c r="D96" s="394"/>
      <c r="E96" s="394"/>
      <c r="F96" s="394"/>
      <c r="G96" s="394"/>
      <c r="H96" s="394"/>
      <c r="I96" s="394"/>
      <c r="J96" s="448"/>
    </row>
    <row r="97" ht="20.25" customHeight="1" spans="1:10">
      <c r="A97" s="422">
        <v>75</v>
      </c>
      <c r="B97" s="433" t="s">
        <v>1370</v>
      </c>
      <c r="C97" s="452">
        <v>1</v>
      </c>
      <c r="D97" s="432"/>
      <c r="E97" s="432"/>
      <c r="F97" s="432"/>
      <c r="G97" s="432"/>
      <c r="H97" s="432"/>
      <c r="I97" s="445" t="s">
        <v>1371</v>
      </c>
      <c r="J97" s="443"/>
    </row>
    <row r="98" ht="18" customHeight="1" spans="1:10">
      <c r="A98" s="422">
        <v>76</v>
      </c>
      <c r="B98" s="399" t="s">
        <v>1372</v>
      </c>
      <c r="C98" s="461" t="s">
        <v>1373</v>
      </c>
      <c r="D98" s="398"/>
      <c r="E98" s="398"/>
      <c r="F98" s="398"/>
      <c r="G98" s="398"/>
      <c r="H98" s="399" t="s">
        <v>1374</v>
      </c>
      <c r="I98" s="444" t="s">
        <v>1375</v>
      </c>
      <c r="J98" s="443"/>
    </row>
    <row r="99" ht="39" customHeight="1" spans="1:10">
      <c r="A99" s="422">
        <v>77</v>
      </c>
      <c r="B99" s="399" t="s">
        <v>1376</v>
      </c>
      <c r="C99" s="462">
        <f>(C78*C79)/((0.4*PI()*C76))</f>
        <v>1860.00119610958</v>
      </c>
      <c r="D99" s="463"/>
      <c r="E99" s="463"/>
      <c r="F99" s="398"/>
      <c r="G99" s="398"/>
      <c r="H99" s="399" t="s">
        <v>1303</v>
      </c>
      <c r="I99" s="444" t="s">
        <v>1377</v>
      </c>
      <c r="J99" s="443"/>
    </row>
    <row r="100" ht="37.5" customHeight="1" spans="1:10">
      <c r="A100" s="422">
        <v>78</v>
      </c>
      <c r="B100" s="399" t="s">
        <v>1378</v>
      </c>
      <c r="C100" s="464">
        <f>C31/C91/C91</f>
        <v>0.2919921875</v>
      </c>
      <c r="D100" s="398"/>
      <c r="E100" s="398"/>
      <c r="F100" s="398"/>
      <c r="G100" s="398"/>
      <c r="H100" s="399" t="s">
        <v>1339</v>
      </c>
      <c r="I100" s="444" t="s">
        <v>1379</v>
      </c>
      <c r="J100" s="443"/>
    </row>
    <row r="101" ht="39.75" customHeight="1" spans="1:10">
      <c r="A101" s="422">
        <v>79</v>
      </c>
      <c r="B101" s="399" t="s">
        <v>1380</v>
      </c>
      <c r="C101" s="455">
        <f>40*PI()*C76*(C91*C91/1000/C31-1/C78)/100</f>
        <v>0.309727099705473</v>
      </c>
      <c r="D101" s="465"/>
      <c r="E101" s="398"/>
      <c r="F101" s="398"/>
      <c r="G101" s="398"/>
      <c r="H101" s="399" t="s">
        <v>1342</v>
      </c>
      <c r="I101" s="444" t="s">
        <v>1381</v>
      </c>
      <c r="J101" s="443" t="str">
        <f>IF(C101&lt;0.1,"Warning:磁芯气隙太小，无法满足变压器工艺要求",IF(C101&gt;(C82*0.091),"Warning:变压器气隙太大，边缘效应影响效率",""))</f>
        <v/>
      </c>
    </row>
    <row r="102" ht="35.25" customHeight="1" spans="1:10">
      <c r="A102" s="422">
        <v>80</v>
      </c>
      <c r="B102" s="399" t="s">
        <v>1382</v>
      </c>
      <c r="C102" s="455">
        <f>(C31*C25)/(C91*C76)</f>
        <v>0.210258731534245</v>
      </c>
      <c r="D102" s="398"/>
      <c r="E102" s="398"/>
      <c r="F102" s="398"/>
      <c r="G102" s="398"/>
      <c r="H102" s="399" t="s">
        <v>916</v>
      </c>
      <c r="I102" s="445" t="s">
        <v>1383</v>
      </c>
      <c r="J102" s="443"/>
    </row>
    <row r="103" ht="35.25" customHeight="1" spans="1:10">
      <c r="A103" s="422">
        <v>81</v>
      </c>
      <c r="B103" s="399" t="s">
        <v>1384</v>
      </c>
      <c r="C103" s="455">
        <f>C48*C102/C25</f>
        <v>0.331622773341523</v>
      </c>
      <c r="D103" s="398"/>
      <c r="E103" s="398"/>
      <c r="F103" s="398"/>
      <c r="G103" s="398"/>
      <c r="H103" s="399" t="s">
        <v>916</v>
      </c>
      <c r="I103" s="444" t="s">
        <v>1385</v>
      </c>
      <c r="J103" s="443" t="str">
        <f>IF(C103&lt;0.1,"Warning:峰值磁通密度太小，变压器不是最佳设计",IF(C103&gt;C42,"Warning:峰值磁通密度太大，已超过推荐的最大峰值磁通密度",""))</f>
        <v/>
      </c>
    </row>
    <row r="104" ht="36.75" customHeight="1" spans="1:10">
      <c r="A104" s="460" t="s">
        <v>1386</v>
      </c>
      <c r="B104" s="394"/>
      <c r="C104" s="394"/>
      <c r="D104" s="394"/>
      <c r="E104" s="394"/>
      <c r="F104" s="394"/>
      <c r="G104" s="394"/>
      <c r="H104" s="394"/>
      <c r="I104" s="394"/>
      <c r="J104" s="448"/>
    </row>
    <row r="105" ht="27" customHeight="1" spans="1:10">
      <c r="A105" s="395">
        <f>A103+1</f>
        <v>82</v>
      </c>
      <c r="B105" s="399" t="s">
        <v>1387</v>
      </c>
      <c r="C105" s="464">
        <f>66.1/SQRT(C8*1000)</f>
        <v>0.181934262187131</v>
      </c>
      <c r="D105" s="398"/>
      <c r="E105" s="398"/>
      <c r="F105" s="398"/>
      <c r="G105" s="398"/>
      <c r="H105" s="399" t="s">
        <v>1342</v>
      </c>
      <c r="I105" s="444" t="s">
        <v>1388</v>
      </c>
      <c r="J105" s="443"/>
    </row>
    <row r="106" ht="20.1" customHeight="1" spans="1:10">
      <c r="A106" s="395">
        <f t="shared" ref="A106:A119" si="0">A105+1</f>
        <v>83</v>
      </c>
      <c r="B106" s="399" t="s">
        <v>1389</v>
      </c>
      <c r="C106" s="464">
        <f>C105*2</f>
        <v>0.363868524374262</v>
      </c>
      <c r="D106" s="398"/>
      <c r="E106" s="398"/>
      <c r="F106" s="398"/>
      <c r="G106" s="398"/>
      <c r="H106" s="399" t="s">
        <v>1342</v>
      </c>
      <c r="I106" s="444" t="s">
        <v>1390</v>
      </c>
      <c r="J106" s="443"/>
    </row>
    <row r="107" ht="18" customHeight="1" spans="1:12">
      <c r="A107" s="395">
        <f t="shared" si="0"/>
        <v>84</v>
      </c>
      <c r="B107" s="399" t="s">
        <v>845</v>
      </c>
      <c r="C107" s="397">
        <v>3.2</v>
      </c>
      <c r="D107" s="398"/>
      <c r="E107" s="398"/>
      <c r="F107" s="398"/>
      <c r="G107" s="398"/>
      <c r="H107" s="399" t="s">
        <v>1342</v>
      </c>
      <c r="I107" s="445" t="s">
        <v>1391</v>
      </c>
      <c r="J107" s="443"/>
      <c r="K107" s="470"/>
      <c r="L107" s="470"/>
    </row>
    <row r="108" ht="34.5" customHeight="1" spans="1:10">
      <c r="A108" s="395">
        <f t="shared" si="0"/>
        <v>85</v>
      </c>
      <c r="B108" s="399" t="s">
        <v>1392</v>
      </c>
      <c r="C108" s="464">
        <f>SQRT((4*200*C27)/(1.27*PI()))*0.0254</f>
        <v>0.275394399766094</v>
      </c>
      <c r="D108" s="398"/>
      <c r="E108" s="398"/>
      <c r="F108" s="398"/>
      <c r="G108" s="398"/>
      <c r="H108" s="399" t="s">
        <v>1342</v>
      </c>
      <c r="I108" s="445" t="s">
        <v>1393</v>
      </c>
      <c r="J108" s="443"/>
    </row>
    <row r="109" ht="34.5" customHeight="1" spans="1:10">
      <c r="A109" s="395">
        <f t="shared" si="0"/>
        <v>86</v>
      </c>
      <c r="B109" s="399" t="s">
        <v>1394</v>
      </c>
      <c r="C109" s="464">
        <f>SQRT((4*600*C27)/(1.27*PI()))*0.0254</f>
        <v>0.476997092514809</v>
      </c>
      <c r="D109" s="398"/>
      <c r="E109" s="398"/>
      <c r="F109" s="398"/>
      <c r="G109" s="398"/>
      <c r="H109" s="399" t="s">
        <v>1342</v>
      </c>
      <c r="I109" s="445" t="s">
        <v>1395</v>
      </c>
      <c r="J109" s="443"/>
    </row>
    <row r="110" ht="25.5" customHeight="1" spans="1:10">
      <c r="A110" s="395">
        <f t="shared" si="0"/>
        <v>87</v>
      </c>
      <c r="B110" s="466" t="s">
        <v>1396</v>
      </c>
      <c r="C110" s="424">
        <f>IF(C108&lt;C106,1,IF((C108*C108/C106/C106)&gt;INT(C108*C108/C106/C106),INT(C108*C108/C106/C106)+1,INT(C108*C108/C106/C106)))</f>
        <v>1</v>
      </c>
      <c r="D110" s="398"/>
      <c r="E110" s="398"/>
      <c r="F110" s="398"/>
      <c r="G110" s="398"/>
      <c r="H110" s="399" t="s">
        <v>1397</v>
      </c>
      <c r="I110" s="445" t="s">
        <v>1398</v>
      </c>
      <c r="J110" s="443"/>
    </row>
    <row r="111" ht="25.5" customHeight="1" spans="1:10">
      <c r="A111" s="395">
        <f t="shared" si="0"/>
        <v>88</v>
      </c>
      <c r="B111" s="466" t="s">
        <v>1399</v>
      </c>
      <c r="C111" s="424">
        <f>IF(C109&lt;C106,1,IF((C109*C109/C106/C106)&gt;INT(C109*C109/C106/C106),INT(C109*C109/C106/C106)+1,INT(C109*C109/C106/C106)))</f>
        <v>2</v>
      </c>
      <c r="D111" s="398"/>
      <c r="E111" s="398"/>
      <c r="F111" s="398"/>
      <c r="G111" s="398"/>
      <c r="H111" s="399" t="s">
        <v>1397</v>
      </c>
      <c r="I111" s="445" t="s">
        <v>1400</v>
      </c>
      <c r="J111" s="443"/>
    </row>
    <row r="112" ht="25.5" customHeight="1" spans="1:10">
      <c r="A112" s="395">
        <f t="shared" si="0"/>
        <v>89</v>
      </c>
      <c r="B112" s="466" t="s">
        <v>1401</v>
      </c>
      <c r="C112" s="397">
        <v>1</v>
      </c>
      <c r="D112" s="398"/>
      <c r="E112" s="398"/>
      <c r="F112" s="398"/>
      <c r="G112" s="398"/>
      <c r="H112" s="399" t="s">
        <v>1397</v>
      </c>
      <c r="I112" s="445" t="s">
        <v>1402</v>
      </c>
      <c r="J112" s="443"/>
    </row>
    <row r="113" ht="25.5" customHeight="1" spans="1:10">
      <c r="A113" s="395">
        <f t="shared" si="0"/>
        <v>90</v>
      </c>
      <c r="B113" s="466" t="s">
        <v>1403</v>
      </c>
      <c r="C113" s="464">
        <f>C108/SQRT(C112)</f>
        <v>0.275394399766094</v>
      </c>
      <c r="D113" s="398"/>
      <c r="E113" s="398"/>
      <c r="F113" s="398"/>
      <c r="G113" s="398"/>
      <c r="H113" s="399" t="s">
        <v>1342</v>
      </c>
      <c r="I113" s="445" t="s">
        <v>1404</v>
      </c>
      <c r="J113" s="443"/>
    </row>
    <row r="114" ht="25.5" customHeight="1" spans="1:10">
      <c r="A114" s="395">
        <f t="shared" si="0"/>
        <v>91</v>
      </c>
      <c r="B114" s="466" t="s">
        <v>1405</v>
      </c>
      <c r="C114" s="464">
        <f>C106</f>
        <v>0.363868524374262</v>
      </c>
      <c r="D114" s="398"/>
      <c r="E114" s="398"/>
      <c r="F114" s="398"/>
      <c r="G114" s="398"/>
      <c r="H114" s="399" t="s">
        <v>1342</v>
      </c>
      <c r="I114" s="445" t="s">
        <v>1406</v>
      </c>
      <c r="J114" s="443"/>
    </row>
    <row r="115" ht="34.5" customHeight="1" spans="1:10">
      <c r="A115" s="395">
        <f t="shared" si="0"/>
        <v>92</v>
      </c>
      <c r="B115" s="399" t="s">
        <v>1407</v>
      </c>
      <c r="C115" s="397">
        <v>0.35</v>
      </c>
      <c r="D115" s="398"/>
      <c r="E115" s="398"/>
      <c r="F115" s="398"/>
      <c r="G115" s="398"/>
      <c r="H115" s="399" t="s">
        <v>1342</v>
      </c>
      <c r="I115" s="445" t="s">
        <v>1408</v>
      </c>
      <c r="J115" s="443"/>
    </row>
    <row r="116" ht="34.5" customHeight="1" spans="1:10">
      <c r="A116" s="395">
        <f t="shared" si="0"/>
        <v>93</v>
      </c>
      <c r="B116" s="399" t="s">
        <v>1409</v>
      </c>
      <c r="C116" s="397">
        <v>0.377</v>
      </c>
      <c r="D116" s="398"/>
      <c r="E116" s="398"/>
      <c r="F116" s="398"/>
      <c r="G116" s="398"/>
      <c r="H116" s="399" t="s">
        <v>1342</v>
      </c>
      <c r="I116" s="445" t="s">
        <v>1410</v>
      </c>
      <c r="J116" s="443"/>
    </row>
    <row r="117" ht="28.5" customHeight="1" spans="1:10">
      <c r="A117" s="395">
        <f t="shared" si="0"/>
        <v>94</v>
      </c>
      <c r="B117" s="399" t="s">
        <v>1411</v>
      </c>
      <c r="C117" s="405">
        <f>IF((C116*C112*C91/(C83-2*C107-3))&gt;INT(C116*C112*C91/(C83-2*C107-3)),INT(C116*C112*C91/(C83-2*C107-3))+1,INT(C116*C112*C91/(C83-2*C107-3)))</f>
        <v>1</v>
      </c>
      <c r="D117" s="467"/>
      <c r="E117" s="467"/>
      <c r="F117" s="467"/>
      <c r="G117" s="467"/>
      <c r="H117" s="399" t="s">
        <v>1412</v>
      </c>
      <c r="I117" s="445" t="s">
        <v>1413</v>
      </c>
      <c r="J117" s="443"/>
    </row>
    <row r="118" ht="28.5" customHeight="1" spans="1:10">
      <c r="A118" s="395">
        <f t="shared" si="0"/>
        <v>95</v>
      </c>
      <c r="B118" s="399" t="s">
        <v>1414</v>
      </c>
      <c r="C118" s="397">
        <v>2</v>
      </c>
      <c r="D118" s="467"/>
      <c r="E118" s="467"/>
      <c r="F118" s="467"/>
      <c r="G118" s="467"/>
      <c r="H118" s="399" t="s">
        <v>1412</v>
      </c>
      <c r="I118" s="445" t="s">
        <v>1415</v>
      </c>
      <c r="J118" s="443"/>
    </row>
    <row r="119" ht="29.25" customHeight="1" spans="1:10">
      <c r="A119" s="395">
        <f t="shared" si="0"/>
        <v>96</v>
      </c>
      <c r="B119" s="399" t="s">
        <v>1416</v>
      </c>
      <c r="C119" s="468">
        <f>1.27*(C115*SQRT(C112))*(C115*SQRT(C112))*PI()/C27/4/0.0254/0.0254</f>
        <v>323.039682966308</v>
      </c>
      <c r="D119" s="398"/>
      <c r="E119" s="398"/>
      <c r="F119" s="398"/>
      <c r="G119" s="398"/>
      <c r="H119" s="399" t="s">
        <v>1417</v>
      </c>
      <c r="I119" s="445" t="s">
        <v>1418</v>
      </c>
      <c r="J119" s="443" t="str">
        <f>IF(C119&lt;200,"Warning:绕组导线电流密度计算值太大",IF(C119&gt;600,"Warning:绕组导线电流密度计算值太小",""))</f>
        <v/>
      </c>
    </row>
    <row r="120" ht="31.5" customHeight="1" spans="1:10">
      <c r="A120" s="460" t="s">
        <v>1419</v>
      </c>
      <c r="B120" s="394"/>
      <c r="C120" s="394"/>
      <c r="D120" s="394"/>
      <c r="E120" s="394"/>
      <c r="F120" s="394"/>
      <c r="G120" s="394"/>
      <c r="H120" s="394"/>
      <c r="I120" s="394"/>
      <c r="J120" s="447"/>
    </row>
    <row r="121" ht="39" customHeight="1" spans="1:10">
      <c r="A121" s="395">
        <v>97</v>
      </c>
      <c r="B121" s="399" t="s">
        <v>1420</v>
      </c>
      <c r="C121" s="398"/>
      <c r="D121" s="455">
        <f>IF(D10=0,,((D12/C12)*C25*C91/D93))</f>
        <v>6.51275444251685</v>
      </c>
      <c r="E121" s="415">
        <f>IF(E10=0,,((E12/C12)*C25*C91/E93))</f>
        <v>0</v>
      </c>
      <c r="F121" s="415">
        <f>IF(F10=0,,((F12/C12)*C25*C91/F93))</f>
        <v>0</v>
      </c>
      <c r="G121" s="415">
        <f>IF(G10=0,,((G12/C12)*C25*C91/G93))</f>
        <v>0</v>
      </c>
      <c r="H121" s="399" t="s">
        <v>345</v>
      </c>
      <c r="I121" s="444" t="s">
        <v>1421</v>
      </c>
      <c r="J121" s="443"/>
    </row>
    <row r="122" ht="38.25" customHeight="1" spans="1:10">
      <c r="A122" s="395">
        <v>98</v>
      </c>
      <c r="B122" s="399" t="s">
        <v>1422</v>
      </c>
      <c r="C122" s="398"/>
      <c r="D122" s="455">
        <f>D121*SQRT((1-C24/100)*((C23*C23)/3-C23+1))</f>
        <v>3.12942125570568</v>
      </c>
      <c r="E122" s="455">
        <f>E121*SQRT((1-C24/100)*((C23*C23)/3-C23+1))</f>
        <v>0</v>
      </c>
      <c r="F122" s="455">
        <f>F121*SQRT((1-C24/100)*((C23*C23)/3-C23+1))</f>
        <v>0</v>
      </c>
      <c r="G122" s="455">
        <f>G121*SQRT((1-C24/100)*((C23*C23)/3-C23+1))</f>
        <v>0</v>
      </c>
      <c r="H122" s="399" t="s">
        <v>345</v>
      </c>
      <c r="I122" s="444" t="s">
        <v>1423</v>
      </c>
      <c r="J122" s="443"/>
    </row>
    <row r="123" ht="34.5" customHeight="1" spans="1:10">
      <c r="A123" s="395">
        <v>99</v>
      </c>
      <c r="B123" s="399" t="s">
        <v>1424</v>
      </c>
      <c r="C123" s="398"/>
      <c r="D123" s="464">
        <f>SQRT((4*200*D122)/(1.27*PI()))*0.0254</f>
        <v>0.63625898352932</v>
      </c>
      <c r="E123" s="415">
        <f>SQRT((4*200*E122)/(1.27*PI()))*0.0254</f>
        <v>0</v>
      </c>
      <c r="F123" s="415">
        <f>SQRT((4*200*F122)/(1.27*PI()))*0.0254</f>
        <v>0</v>
      </c>
      <c r="G123" s="415">
        <f>SQRT((4*200*G122)/(1.27*PI()))*0.0254</f>
        <v>0</v>
      </c>
      <c r="H123" s="399" t="s">
        <v>1342</v>
      </c>
      <c r="I123" s="445" t="s">
        <v>1425</v>
      </c>
      <c r="J123" s="443"/>
    </row>
    <row r="124" ht="34.5" customHeight="1" spans="1:10">
      <c r="A124" s="395">
        <v>100</v>
      </c>
      <c r="B124" s="399" t="s">
        <v>1426</v>
      </c>
      <c r="C124" s="398"/>
      <c r="D124" s="464">
        <f>SQRT((4*500*D122)/(1.27*PI()))*0.0254</f>
        <v>1.0060137848481</v>
      </c>
      <c r="E124" s="415">
        <f>SQRT((4*500*E122)/(1.27*PI()))*0.0254</f>
        <v>0</v>
      </c>
      <c r="F124" s="415">
        <f>SQRT((4*500*F122)/(1.27*PI()))*0.0254</f>
        <v>0</v>
      </c>
      <c r="G124" s="415">
        <f>SQRT((4*500*G122)/(1.27*PI()))*0.0254</f>
        <v>0</v>
      </c>
      <c r="H124" s="399" t="s">
        <v>1342</v>
      </c>
      <c r="I124" s="445" t="s">
        <v>1427</v>
      </c>
      <c r="J124" s="443"/>
    </row>
    <row r="125" ht="25.5" customHeight="1" spans="1:10">
      <c r="A125" s="395">
        <v>101</v>
      </c>
      <c r="B125" s="466" t="s">
        <v>1428</v>
      </c>
      <c r="C125" s="398"/>
      <c r="D125" s="462">
        <f>IF(D122=0,,IF(D123&lt;C106,1,IF((D123*D123/C106/C106)&gt;INT(D123*D123/C106/C106),INT(D123*D123/C106/C106)+1,INT(D123*D123/C106/C106))))</f>
        <v>4</v>
      </c>
      <c r="E125" s="405">
        <f>IF(E123=0,,IF(E123&lt;C106,1,IF((E123*E123/C106/C106)&gt;INT(E123*E123/C106/C106),INT(E123*E123/C106/C106)+1,INT(E123*E123/C106/C106))))</f>
        <v>0</v>
      </c>
      <c r="F125" s="405">
        <f>IF(F123=0,,IF(F123&lt;C106,1,IF((F123*F123/C106/C106)&gt;INT(F123*F123/C106/C106),INT(F123*F123/C106/C106)+1,INT(F123*F123/C106/C106))))</f>
        <v>0</v>
      </c>
      <c r="G125" s="405">
        <f>IF(G123=0,,IF(G123&lt;C106,1,IF((G123*G123/C106/C106)&gt;INT(G123*G123/C106/C106),INT(G123*G123/C106/C106)+1,INT(G123*G123/C106/C106))))</f>
        <v>0</v>
      </c>
      <c r="H125" s="399" t="s">
        <v>1397</v>
      </c>
      <c r="I125" s="445" t="s">
        <v>1429</v>
      </c>
      <c r="J125" s="443"/>
    </row>
    <row r="126" ht="25.5" customHeight="1" spans="1:10">
      <c r="A126" s="395">
        <v>102</v>
      </c>
      <c r="B126" s="466" t="s">
        <v>1430</v>
      </c>
      <c r="C126" s="398"/>
      <c r="D126" s="462">
        <f>IF(D122=0,,IF(D124&lt;C106,1,IF((D124*D124/C106/C106)&gt;INT(D124*D124/C106/C106),INT(D124*D124/C106/C106)+1,INT(D124*D124/C106/C106))))</f>
        <v>8</v>
      </c>
      <c r="E126" s="405">
        <f>IF(E124=0,,IF(E124&lt;C106,1,IF((E124*E124/C106/C106)&gt;INT(E124*E124/C106/C106),INT(E124*E124/C106/C106)+1,INT(E124*E124/C106/C106))))</f>
        <v>0</v>
      </c>
      <c r="F126" s="405">
        <f>IF(F124=0,,IF(F124&lt;C106,1,IF((F124*F124/C106/C106)&gt;INT(F124*F124/C106/C106),INT(F124*F124/C106/C106)+1,INT(F124*F124/C106/C106))))</f>
        <v>0</v>
      </c>
      <c r="G126" s="405">
        <f>IF(G124=0,,IF(G124&lt;E106,1,IF((G124*G124/E106/E106)&gt;INT(G124*G124/E106/E106),INT(G124*G124/E106/E106)+1,INT(G124*G124/E106/E106))))</f>
        <v>0</v>
      </c>
      <c r="H126" s="399" t="s">
        <v>1397</v>
      </c>
      <c r="I126" s="445" t="s">
        <v>1431</v>
      </c>
      <c r="J126" s="443"/>
    </row>
    <row r="127" ht="25.5" customHeight="1" spans="1:10">
      <c r="A127" s="395">
        <v>103</v>
      </c>
      <c r="B127" s="466" t="s">
        <v>1432</v>
      </c>
      <c r="C127" s="398"/>
      <c r="D127" s="397">
        <v>4</v>
      </c>
      <c r="E127" s="397">
        <v>0</v>
      </c>
      <c r="F127" s="397">
        <v>0</v>
      </c>
      <c r="G127" s="397">
        <v>0</v>
      </c>
      <c r="H127" s="399" t="s">
        <v>1397</v>
      </c>
      <c r="I127" s="445" t="s">
        <v>1433</v>
      </c>
      <c r="J127" s="443" t="str">
        <f>IF(OR(D127&lt;D125,E127&lt;E125,F127&lt;F125,G127&lt;G125),"Warning:次级绕组导线股数选择太小","")</f>
        <v/>
      </c>
    </row>
    <row r="128" ht="25.5" customHeight="1" spans="1:10">
      <c r="A128" s="395">
        <v>104</v>
      </c>
      <c r="B128" s="466" t="s">
        <v>1434</v>
      </c>
      <c r="C128" s="398"/>
      <c r="D128" s="464">
        <f>IF(D122=0,,D123/SQRT(D127))</f>
        <v>0.31812949176466</v>
      </c>
      <c r="E128" s="415">
        <f>IF(E122=0,,E123/SQRT(E127))</f>
        <v>0</v>
      </c>
      <c r="F128" s="415">
        <f>IF(F122=0,,F123/SQRT(F127))</f>
        <v>0</v>
      </c>
      <c r="G128" s="415">
        <f>IF(G122=0,,G123/SQRT(G127))</f>
        <v>0</v>
      </c>
      <c r="H128" s="399" t="s">
        <v>1342</v>
      </c>
      <c r="I128" s="445" t="s">
        <v>1435</v>
      </c>
      <c r="J128" s="443"/>
    </row>
    <row r="129" ht="25.5" customHeight="1" spans="1:10">
      <c r="A129" s="395">
        <v>105</v>
      </c>
      <c r="B129" s="466" t="s">
        <v>1436</v>
      </c>
      <c r="C129" s="398"/>
      <c r="D129" s="464">
        <f>IF(D122=0,,C106)</f>
        <v>0.363868524374262</v>
      </c>
      <c r="E129" s="415">
        <f>IF(E122=0,,C106)</f>
        <v>0</v>
      </c>
      <c r="F129" s="415">
        <f>IF(F122=0,,C106)</f>
        <v>0</v>
      </c>
      <c r="G129" s="415">
        <f>IF(G122=0,,C106)</f>
        <v>0</v>
      </c>
      <c r="H129" s="399" t="s">
        <v>1342</v>
      </c>
      <c r="I129" s="445" t="s">
        <v>1437</v>
      </c>
      <c r="J129" s="443"/>
    </row>
    <row r="130" ht="34.5" customHeight="1" spans="1:10">
      <c r="A130" s="395">
        <v>106</v>
      </c>
      <c r="B130" s="399" t="s">
        <v>1438</v>
      </c>
      <c r="C130" s="398"/>
      <c r="D130" s="397">
        <v>0.35</v>
      </c>
      <c r="E130" s="397">
        <v>0</v>
      </c>
      <c r="F130" s="397">
        <v>0</v>
      </c>
      <c r="G130" s="397">
        <v>0</v>
      </c>
      <c r="H130" s="399" t="s">
        <v>1342</v>
      </c>
      <c r="I130" s="445" t="s">
        <v>1439</v>
      </c>
      <c r="J130" s="443"/>
    </row>
    <row r="131" ht="34.5" customHeight="1" spans="1:10">
      <c r="A131" s="395">
        <v>107</v>
      </c>
      <c r="B131" s="399" t="s">
        <v>1440</v>
      </c>
      <c r="C131" s="398"/>
      <c r="D131" s="397">
        <v>0.377</v>
      </c>
      <c r="E131" s="397">
        <v>0</v>
      </c>
      <c r="F131" s="397">
        <v>0</v>
      </c>
      <c r="G131" s="397">
        <v>0</v>
      </c>
      <c r="H131" s="399" t="s">
        <v>1342</v>
      </c>
      <c r="I131" s="445" t="s">
        <v>1441</v>
      </c>
      <c r="J131" s="443"/>
    </row>
    <row r="132" ht="28.5" customHeight="1" spans="1:10">
      <c r="A132" s="395">
        <v>108</v>
      </c>
      <c r="B132" s="399" t="s">
        <v>1442</v>
      </c>
      <c r="C132" s="398"/>
      <c r="D132" s="471">
        <f>IF(D122=0,,IF((D131*D127*D93/(C83-2*C107-3))&gt;INT(D131*D127*D93/(C83-2*C107-3)),INT(D131*D127*D93/(C83-2*C107-3))+1,INT(D131*D127*D93/(C83-2*C107-3))))</f>
        <v>2</v>
      </c>
      <c r="E132" s="472">
        <f>IF(E122=0,,IF((E131*E127*E93/(D83-2*D107-3))&gt;INT(E131*E127*E93/(D83-2*D107-3)),INT(E131*E127*E93/(D83-2*D107-3))+1,INT(E131*E127*E93/(D83-2*D107-3))))</f>
        <v>0</v>
      </c>
      <c r="F132" s="473">
        <f>IF(F122=0,,IF((F131*F127*F93/(E83-2*E107-3))&gt;INT(F131*F127*F93/(E83-2*E107-3)),INT(F131*F127*F93/(E83-2*E107-3))+1,INT(F131*F127*F93/(E83-2*E107-3))))</f>
        <v>0</v>
      </c>
      <c r="G132" s="473">
        <f>IF(G122=0,,IF((G131*G127*G93/(F83-2*F107-3))&gt;INT(G131*G127*G93/(F83-2*F107-3)),INT(G131*G127*G93/(F83-2*F107-3))+1,INT(G131*G127*G93/(F83-2*F107-3))))</f>
        <v>0</v>
      </c>
      <c r="H132" s="399" t="s">
        <v>1412</v>
      </c>
      <c r="I132" s="445" t="s">
        <v>1443</v>
      </c>
      <c r="J132" s="443"/>
    </row>
    <row r="133" ht="29.25" customHeight="1" spans="1:10">
      <c r="A133" s="395">
        <v>109</v>
      </c>
      <c r="B133" s="399" t="s">
        <v>1444</v>
      </c>
      <c r="C133" s="398"/>
      <c r="D133" s="468">
        <f>1.27*(D130*SQRT(D127))*(D130*SQRT(D127))*PI()/D122/4/0.0254/0.0254</f>
        <v>242.07961559487</v>
      </c>
      <c r="E133" s="468">
        <f>IF(E122=0,,1.27*(E130*SQRT(E127))*(E130*SQRT(E127))*PI()/E122/4/0.0254/0.0254)</f>
        <v>0</v>
      </c>
      <c r="F133" s="468">
        <f>IF(F122=0,,1.27*(F130*SQRT(F127))*(F130*SQRT(F127))*PI()/F122/4/0.0254/0.0254)</f>
        <v>0</v>
      </c>
      <c r="G133" s="468">
        <f>IF(F122=0,,1.27*(G130*SQRT(G127))*(G130*SQRT(G127))*PI()/G122/4/0.0254/0.0254)</f>
        <v>0</v>
      </c>
      <c r="H133" s="399" t="s">
        <v>1417</v>
      </c>
      <c r="I133" s="445" t="s">
        <v>1445</v>
      </c>
      <c r="J133" s="443" t="str">
        <f>IF(OR(0&lt;D133&lt;200,0&lt;E133&lt;200,0&lt;F133&lt;200,0&lt;G133&lt;200,),"Warning:绕组导线电流密度计算值太大",IF(OR(D133&gt;600,E133&gt;600,F133&gt;600,G133&gt;600,),"Warning:绕组导线电流密度计算值太小",""))</f>
        <v/>
      </c>
    </row>
    <row r="134" ht="33.75" customHeight="1" spans="1:10">
      <c r="A134" s="460" t="s">
        <v>1446</v>
      </c>
      <c r="B134" s="394"/>
      <c r="C134" s="394"/>
      <c r="D134" s="394"/>
      <c r="E134" s="394"/>
      <c r="F134" s="394"/>
      <c r="G134" s="394"/>
      <c r="H134" s="394"/>
      <c r="I134" s="394"/>
      <c r="J134" s="448"/>
    </row>
    <row r="135" ht="29.25" customHeight="1" spans="1:10">
      <c r="A135" s="395">
        <v>110</v>
      </c>
      <c r="B135" s="398" t="s">
        <v>1447</v>
      </c>
      <c r="C135" s="464">
        <f>C106</f>
        <v>0.363868524374262</v>
      </c>
      <c r="D135" s="398"/>
      <c r="E135" s="398"/>
      <c r="F135" s="398"/>
      <c r="G135" s="398"/>
      <c r="H135" s="399" t="s">
        <v>1342</v>
      </c>
      <c r="I135" s="445" t="s">
        <v>1448</v>
      </c>
      <c r="J135" s="443"/>
    </row>
    <row r="136" ht="34.5" customHeight="1" spans="1:10">
      <c r="A136" s="395">
        <v>111</v>
      </c>
      <c r="B136" s="399" t="s">
        <v>1449</v>
      </c>
      <c r="C136" s="397">
        <v>0.35</v>
      </c>
      <c r="D136" s="398"/>
      <c r="E136" s="398"/>
      <c r="F136" s="398"/>
      <c r="G136" s="398"/>
      <c r="H136" s="399" t="s">
        <v>1342</v>
      </c>
      <c r="I136" s="445" t="s">
        <v>1450</v>
      </c>
      <c r="J136" s="443" t="str">
        <f>IF(C136&gt;C135,"Warning:反馈绕组单股导线裸直径选择太大，趋肤效应影响效率","")</f>
        <v/>
      </c>
    </row>
    <row r="137" ht="34.5" customHeight="1" spans="1:10">
      <c r="A137" s="395">
        <v>112</v>
      </c>
      <c r="B137" s="399" t="s">
        <v>1451</v>
      </c>
      <c r="C137" s="397">
        <v>0.377</v>
      </c>
      <c r="D137" s="398"/>
      <c r="E137" s="398"/>
      <c r="F137" s="398"/>
      <c r="G137" s="398"/>
      <c r="H137" s="399" t="s">
        <v>1342</v>
      </c>
      <c r="I137" s="445" t="s">
        <v>1452</v>
      </c>
      <c r="J137" s="443"/>
    </row>
    <row r="138" ht="25.5" customHeight="1" spans="1:10">
      <c r="A138" s="395">
        <v>113</v>
      </c>
      <c r="B138" s="466" t="s">
        <v>1453</v>
      </c>
      <c r="C138" s="397">
        <v>1</v>
      </c>
      <c r="D138" s="398"/>
      <c r="E138" s="398"/>
      <c r="F138" s="398"/>
      <c r="G138" s="398"/>
      <c r="H138" s="399" t="s">
        <v>1397</v>
      </c>
      <c r="I138" s="445" t="s">
        <v>1454</v>
      </c>
      <c r="J138" s="443"/>
    </row>
    <row r="139" ht="28.5" customHeight="1" spans="1:10">
      <c r="A139" s="395">
        <v>114</v>
      </c>
      <c r="B139" s="399" t="s">
        <v>1455</v>
      </c>
      <c r="C139" s="405">
        <f>IF((C137*C138*C95/(C83-2*C107-3))&gt;INT(C137*C138*C95/(C83-2*C107-3)),INT(C137*C138*C95/(C83-2*C107-3))+1,INT(C137*C138*C95/(C83-2*C107-3)))</f>
        <v>1</v>
      </c>
      <c r="D139" s="467"/>
      <c r="E139" s="467"/>
      <c r="F139" s="467"/>
      <c r="G139" s="467"/>
      <c r="H139" s="399" t="s">
        <v>1412</v>
      </c>
      <c r="I139" s="445" t="s">
        <v>1456</v>
      </c>
      <c r="J139" s="443"/>
    </row>
    <row r="140" ht="25.5" customHeight="1" spans="1:10">
      <c r="A140" s="395">
        <v>115</v>
      </c>
      <c r="B140" s="416" t="s">
        <v>1457</v>
      </c>
      <c r="C140" s="397">
        <v>1</v>
      </c>
      <c r="D140" s="398"/>
      <c r="E140" s="398"/>
      <c r="F140" s="398"/>
      <c r="G140" s="398"/>
      <c r="H140" s="399"/>
      <c r="I140" s="445" t="s">
        <v>1458</v>
      </c>
      <c r="J140" s="443"/>
    </row>
    <row r="141" ht="33" customHeight="1" spans="1:10">
      <c r="A141" s="395"/>
      <c r="B141" s="474" t="str">
        <f>IF(C140=0,IF((C118*C116+D132*D131+E132*E131+F132*F131+G132*G131+C139*C137+0.8)&lt;C84,"可以绕制","请重新设计"),IF((C118*C116+D132*D131+E132*E131+F132*F131+G132*G131+C139*C137+1.4)&lt;C84,"可以绕制","请重新设计"))</f>
        <v>可以绕制</v>
      </c>
      <c r="C141" s="474"/>
      <c r="D141" s="474"/>
      <c r="E141" s="474"/>
      <c r="F141" s="474"/>
      <c r="G141" s="474"/>
      <c r="H141" s="474"/>
      <c r="I141" s="445" t="s">
        <v>1459</v>
      </c>
      <c r="J141" s="443" t="str">
        <f>IF(C140=0,IF((C118*C116+D132*D131+E132*E131+F132*F131+G132*G131+C139*C137+0.8)&lt;C84,"","Warning:请重新确认变压器设计参数"),IF((C118*C116+D132*D131+E132*E131+F132*F131+G132*G131+C139*C137+1.4)&lt;C84,"","Warning:请重新确认变压器设计参数"))</f>
        <v/>
      </c>
    </row>
    <row r="142" ht="35.25" customHeight="1" spans="1:10">
      <c r="A142" s="393" t="s">
        <v>1460</v>
      </c>
      <c r="B142" s="394"/>
      <c r="C142" s="394"/>
      <c r="D142" s="394"/>
      <c r="E142" s="394"/>
      <c r="F142" s="394"/>
      <c r="G142" s="394"/>
      <c r="H142" s="394"/>
      <c r="I142" s="394"/>
      <c r="J142" s="447"/>
    </row>
    <row r="143" ht="27.75" customHeight="1" spans="1:10">
      <c r="A143" s="475" t="s">
        <v>1461</v>
      </c>
      <c r="B143" s="476"/>
      <c r="C143" s="476"/>
      <c r="D143" s="476"/>
      <c r="E143" s="476"/>
      <c r="F143" s="476"/>
      <c r="G143" s="476"/>
      <c r="H143" s="399"/>
      <c r="I143" s="399"/>
      <c r="J143" s="443"/>
    </row>
    <row r="144" ht="27.75" customHeight="1" spans="1:10">
      <c r="A144" s="395">
        <v>116</v>
      </c>
      <c r="B144" s="407" t="s">
        <v>1462</v>
      </c>
      <c r="C144" s="462">
        <f>1.25*C6*SQRT(2)</f>
        <v>468.458242536088</v>
      </c>
      <c r="D144" s="476"/>
      <c r="E144" s="476"/>
      <c r="F144" s="476"/>
      <c r="G144" s="476"/>
      <c r="H144" s="399" t="s">
        <v>220</v>
      </c>
      <c r="I144" s="484" t="s">
        <v>1463</v>
      </c>
      <c r="J144" s="443"/>
    </row>
    <row r="145" ht="27.75" customHeight="1" spans="1:10">
      <c r="A145" s="395">
        <v>117</v>
      </c>
      <c r="B145" s="407" t="s">
        <v>1464</v>
      </c>
      <c r="C145" s="434">
        <f>(0.65*C12)*100/(C13*C5*0.55)</f>
        <v>0.433511586452763</v>
      </c>
      <c r="D145" s="476"/>
      <c r="E145" s="476"/>
      <c r="F145" s="476"/>
      <c r="G145" s="476"/>
      <c r="H145" s="399" t="s">
        <v>345</v>
      </c>
      <c r="I145" s="484" t="s">
        <v>1465</v>
      </c>
      <c r="J145" s="443"/>
    </row>
    <row r="146" ht="27.75" customHeight="1" spans="1:10">
      <c r="A146" s="395">
        <v>118</v>
      </c>
      <c r="B146" s="407" t="s">
        <v>1466</v>
      </c>
      <c r="C146" s="397">
        <v>600</v>
      </c>
      <c r="D146" s="476"/>
      <c r="E146" s="476"/>
      <c r="F146" s="476"/>
      <c r="G146" s="476"/>
      <c r="H146" s="399"/>
      <c r="I146" s="484" t="s">
        <v>1467</v>
      </c>
      <c r="J146" s="443" t="str">
        <f>IF(C146&lt;C144,"Warning:输入整流桥UBR选择太小","")</f>
        <v/>
      </c>
    </row>
    <row r="147" ht="27.75" customHeight="1" spans="1:10">
      <c r="A147" s="395">
        <v>119</v>
      </c>
      <c r="B147" s="407" t="s">
        <v>1468</v>
      </c>
      <c r="C147" s="397">
        <v>1</v>
      </c>
      <c r="D147" s="476"/>
      <c r="E147" s="476"/>
      <c r="F147" s="476"/>
      <c r="G147" s="476"/>
      <c r="H147" s="399"/>
      <c r="I147" s="484" t="s">
        <v>1469</v>
      </c>
      <c r="J147" s="443" t="str">
        <f>IF(C147&lt;C145*2,"Warning:输入整流桥Id选择太小","")</f>
        <v/>
      </c>
    </row>
    <row r="148" ht="27.75" customHeight="1" spans="1:10">
      <c r="A148" s="395"/>
      <c r="B148" s="429" t="str">
        <f>IF(AND(C146&gt;=(C144+100),C147&gt;=(C145*2)),"整流桥选择正确",IF(OR(C146&lt;(C144+100),C147&lt;(C145*2)),"整流桥选择不合理"))</f>
        <v>整流桥选择正确</v>
      </c>
      <c r="C148" s="429"/>
      <c r="D148" s="429"/>
      <c r="E148" s="429"/>
      <c r="F148" s="429"/>
      <c r="G148" s="429"/>
      <c r="H148" s="429"/>
      <c r="I148" s="484" t="s">
        <v>1470</v>
      </c>
      <c r="J148" s="443" t="str">
        <f>IF(AND(C146&gt;=(C144+100),C147&gt;=(C145*2)),"",IF(OR(C146&lt;(C144+100),C147&lt;(C145*2)),"Warning:整流桥选择不合理"))</f>
        <v/>
      </c>
    </row>
    <row r="149" ht="27.75" customHeight="1" spans="1:10">
      <c r="A149" s="475" t="s">
        <v>1471</v>
      </c>
      <c r="B149" s="476"/>
      <c r="C149" s="476"/>
      <c r="D149" s="476"/>
      <c r="E149" s="476"/>
      <c r="F149" s="476"/>
      <c r="G149" s="476"/>
      <c r="H149" s="477"/>
      <c r="I149" s="484"/>
      <c r="J149" s="443"/>
    </row>
    <row r="150" ht="36.75" customHeight="1" spans="1:10">
      <c r="A150" s="395">
        <v>120</v>
      </c>
      <c r="B150" s="399" t="s">
        <v>1472</v>
      </c>
      <c r="C150" s="398"/>
      <c r="D150" s="462">
        <f>D10+C21*D93/C91</f>
        <v>137.40310457062</v>
      </c>
      <c r="E150" s="462">
        <f>E10+C21*E93/C91</f>
        <v>0</v>
      </c>
      <c r="F150" s="462">
        <f>F10+C21*F93/C91</f>
        <v>0</v>
      </c>
      <c r="G150" s="462">
        <f>G10+C21*G93/C91</f>
        <v>0</v>
      </c>
      <c r="H150" s="399" t="s">
        <v>220</v>
      </c>
      <c r="I150" s="445" t="s">
        <v>1473</v>
      </c>
      <c r="J150" s="443"/>
    </row>
    <row r="151" ht="36.75" customHeight="1" spans="1:10">
      <c r="A151" s="395">
        <v>121</v>
      </c>
      <c r="B151" s="399" t="s">
        <v>1474</v>
      </c>
      <c r="C151" s="398"/>
      <c r="D151" s="462">
        <f>1.25*D150</f>
        <v>171.753880713275</v>
      </c>
      <c r="E151" s="462">
        <f>1.25*E150</f>
        <v>0</v>
      </c>
      <c r="F151" s="462">
        <f>1.25*F150</f>
        <v>0</v>
      </c>
      <c r="G151" s="462">
        <f>1.25*G150</f>
        <v>0</v>
      </c>
      <c r="H151" s="399" t="s">
        <v>220</v>
      </c>
      <c r="I151" s="445" t="s">
        <v>1475</v>
      </c>
      <c r="J151" s="443"/>
    </row>
    <row r="152" ht="36.75" customHeight="1" spans="1:10">
      <c r="A152" s="395">
        <v>122</v>
      </c>
      <c r="B152" s="399" t="s">
        <v>1476</v>
      </c>
      <c r="C152" s="398"/>
      <c r="D152" s="462">
        <f>3*D11</f>
        <v>5.7</v>
      </c>
      <c r="E152" s="462">
        <f>3*E11</f>
        <v>0</v>
      </c>
      <c r="F152" s="462">
        <f>3*F11</f>
        <v>0</v>
      </c>
      <c r="G152" s="462">
        <f>3*G11</f>
        <v>0</v>
      </c>
      <c r="H152" s="399" t="s">
        <v>345</v>
      </c>
      <c r="I152" s="445" t="s">
        <v>1477</v>
      </c>
      <c r="J152" s="443"/>
    </row>
    <row r="153" ht="53.25" customHeight="1" spans="1:10">
      <c r="A153" s="395">
        <v>123</v>
      </c>
      <c r="B153" s="399" t="s">
        <v>1478</v>
      </c>
      <c r="C153" s="398"/>
      <c r="D153" s="397">
        <v>200</v>
      </c>
      <c r="E153" s="397">
        <v>0</v>
      </c>
      <c r="F153" s="397">
        <v>0</v>
      </c>
      <c r="G153" s="397">
        <v>0</v>
      </c>
      <c r="H153" s="399" t="s">
        <v>220</v>
      </c>
      <c r="I153" s="445" t="s">
        <v>1479</v>
      </c>
      <c r="J153" s="443" t="str">
        <f>IF(OR(D153&lt;D151,E153&lt;E151,F153&lt;F151,G153&lt;G151),"Warning:次级绕组整流管VR选择不合理","")</f>
        <v/>
      </c>
    </row>
    <row r="154" ht="36.75" customHeight="1" spans="1:10">
      <c r="A154" s="395">
        <v>124</v>
      </c>
      <c r="B154" s="399" t="s">
        <v>1476</v>
      </c>
      <c r="C154" s="398"/>
      <c r="D154" s="397">
        <v>10</v>
      </c>
      <c r="E154" s="397">
        <v>0</v>
      </c>
      <c r="F154" s="397">
        <v>0</v>
      </c>
      <c r="G154" s="397">
        <v>0</v>
      </c>
      <c r="H154" s="399" t="s">
        <v>345</v>
      </c>
      <c r="I154" s="445" t="s">
        <v>1480</v>
      </c>
      <c r="J154" s="443" t="str">
        <f>IF(OR(D154&lt;D152,E154&lt;E152,F154&lt;F152,G154&lt;G152),"Warning:次级绕组整流管Id选择不合理","")</f>
        <v/>
      </c>
    </row>
    <row r="155" ht="37.5" customHeight="1" spans="1:10">
      <c r="A155" s="395">
        <v>125</v>
      </c>
      <c r="B155" s="399" t="s">
        <v>1481</v>
      </c>
      <c r="C155" s="462">
        <f>C15+C21*C95/C91</f>
        <v>58.8458242536088</v>
      </c>
      <c r="D155" s="398"/>
      <c r="E155" s="398"/>
      <c r="F155" s="398"/>
      <c r="G155" s="398"/>
      <c r="H155" s="399" t="s">
        <v>220</v>
      </c>
      <c r="I155" s="444" t="s">
        <v>1482</v>
      </c>
      <c r="J155" s="443"/>
    </row>
    <row r="156" ht="37.5" customHeight="1" spans="1:10">
      <c r="A156" s="395">
        <v>126</v>
      </c>
      <c r="B156" s="399" t="s">
        <v>1483</v>
      </c>
      <c r="C156" s="462">
        <f>C155*1.25</f>
        <v>73.557280317011</v>
      </c>
      <c r="D156" s="398"/>
      <c r="E156" s="398"/>
      <c r="F156" s="398"/>
      <c r="G156" s="398"/>
      <c r="H156" s="399" t="s">
        <v>220</v>
      </c>
      <c r="I156" s="445" t="s">
        <v>1484</v>
      </c>
      <c r="J156" s="443"/>
    </row>
    <row r="157" ht="37.5" customHeight="1" spans="1:10">
      <c r="A157" s="395">
        <v>127</v>
      </c>
      <c r="B157" s="399" t="s">
        <v>1485</v>
      </c>
      <c r="C157" s="397">
        <v>75</v>
      </c>
      <c r="D157" s="398"/>
      <c r="E157" s="398"/>
      <c r="F157" s="398"/>
      <c r="G157" s="398"/>
      <c r="H157" s="399" t="s">
        <v>220</v>
      </c>
      <c r="I157" s="445" t="s">
        <v>1486</v>
      </c>
      <c r="J157" s="443" t="str">
        <f>IF(C157&lt;C156,"Warning:反馈绕组整流管VR选择不合理","")</f>
        <v/>
      </c>
    </row>
    <row r="158" ht="31.5" customHeight="1" spans="1:10">
      <c r="A158" s="395"/>
      <c r="B158" s="429" t="str">
        <f>IF(AND(C157&gt;=C156,D153&gt;=D151,E153&gt;=E151,F153&gt;=F151,G153&gt;=G151,D154&gt;=D152,E154&gt;=E152,F154&gt;=F152,G154&gt;=G152),"次级绕组及反馈绕组整流管选择正确",IF(OR(C157&lt;C156,D153&lt;D151,E153&lt;E151,F153&lt;F151,G153&lt;G151,D154&lt;D152,E154&lt;E152,F154&lt;F152,G154&lt;G152),"请重新选择次级绕组及反馈绕组整流管"))</f>
        <v>次级绕组及反馈绕组整流管选择正确</v>
      </c>
      <c r="C158" s="429"/>
      <c r="D158" s="429"/>
      <c r="E158" s="429"/>
      <c r="F158" s="429"/>
      <c r="G158" s="429"/>
      <c r="H158" s="429"/>
      <c r="I158" s="484" t="s">
        <v>1487</v>
      </c>
      <c r="J158" s="443" t="str">
        <f>IF(OR(C157&lt;C156,D153&lt;D151,E153&lt;E151,F153&lt;F151,G153&lt;G151,D154&lt;D152,E154&lt;E152,F154&lt;F152,G154&lt;G152),"Warning:请重新选择次级绕组及反馈绕组整流管","")</f>
        <v/>
      </c>
    </row>
    <row r="159" ht="27.75" customHeight="1" spans="1:10">
      <c r="A159" s="475" t="s">
        <v>1488</v>
      </c>
      <c r="B159" s="476"/>
      <c r="C159" s="476"/>
      <c r="D159" s="476"/>
      <c r="E159" s="476"/>
      <c r="F159" s="476"/>
      <c r="G159" s="476"/>
      <c r="H159" s="477"/>
      <c r="I159" s="484"/>
      <c r="J159" s="443"/>
    </row>
    <row r="160" ht="36.75" customHeight="1" spans="1:10">
      <c r="A160" s="395">
        <v>128</v>
      </c>
      <c r="B160" s="416" t="s">
        <v>1489</v>
      </c>
      <c r="C160" s="398"/>
      <c r="D160" s="397">
        <v>0.32</v>
      </c>
      <c r="E160" s="426">
        <v>0</v>
      </c>
      <c r="F160" s="426">
        <v>0</v>
      </c>
      <c r="G160" s="426">
        <v>0</v>
      </c>
      <c r="H160" s="399" t="s">
        <v>220</v>
      </c>
      <c r="I160" s="445" t="s">
        <v>1490</v>
      </c>
      <c r="J160" s="443"/>
    </row>
    <row r="161" ht="31.5" customHeight="1" spans="1:10">
      <c r="A161" s="395">
        <v>129</v>
      </c>
      <c r="B161" s="399" t="s">
        <v>1491</v>
      </c>
      <c r="C161" s="398"/>
      <c r="D161" s="464">
        <f>SQRT(D122*D122-D11*D11)</f>
        <v>2.4866196724997</v>
      </c>
      <c r="E161" s="434">
        <f>SQRT(E122*E122-E11*E11)</f>
        <v>0</v>
      </c>
      <c r="F161" s="434">
        <f>SQRT(F122*F122-F11*F11)</f>
        <v>0</v>
      </c>
      <c r="G161" s="434">
        <f>SQRT(G122*G122-G11*G11)</f>
        <v>0</v>
      </c>
      <c r="H161" s="399" t="s">
        <v>345</v>
      </c>
      <c r="I161" s="444" t="s">
        <v>1492</v>
      </c>
      <c r="J161" s="443"/>
    </row>
    <row r="162" ht="36.75" customHeight="1" spans="1:10">
      <c r="A162" s="395">
        <v>130</v>
      </c>
      <c r="B162" s="416" t="s">
        <v>1493</v>
      </c>
      <c r="C162" s="398"/>
      <c r="D162" s="462">
        <f>1.25*D10</f>
        <v>40</v>
      </c>
      <c r="E162" s="462">
        <f>1.25*E10</f>
        <v>0</v>
      </c>
      <c r="F162" s="462">
        <f>1.25*F10</f>
        <v>0</v>
      </c>
      <c r="G162" s="462">
        <f>1.25*G10</f>
        <v>0</v>
      </c>
      <c r="H162" s="399" t="s">
        <v>220</v>
      </c>
      <c r="I162" s="445" t="s">
        <v>1494</v>
      </c>
      <c r="J162" s="443"/>
    </row>
    <row r="163" ht="24.75" customHeight="1" spans="1:10">
      <c r="A163" s="395">
        <v>131</v>
      </c>
      <c r="B163" s="416" t="s">
        <v>1495</v>
      </c>
      <c r="C163" s="399"/>
      <c r="D163" s="462">
        <f>D121*C24*1000000/D160/C8/100/1000</f>
        <v>47.387123179602</v>
      </c>
      <c r="E163" s="462" t="str">
        <f>IF(E10=0,"0",E121*D24*1000000/E160/D8/100/1000)</f>
        <v>0</v>
      </c>
      <c r="F163" s="462" t="str">
        <f>IF(F10=0,"0",F121*E24*1000000/F160/E8/100/1000)</f>
        <v>0</v>
      </c>
      <c r="G163" s="462" t="str">
        <f>IF(G10=0,"0",G121*F24*1000000/G160/F8/100/1000)</f>
        <v>0</v>
      </c>
      <c r="H163" s="399" t="s">
        <v>1215</v>
      </c>
      <c r="I163" s="484" t="s">
        <v>1496</v>
      </c>
      <c r="J163" s="443"/>
    </row>
    <row r="164" ht="20.25" customHeight="1" spans="1:10">
      <c r="A164" s="395">
        <v>132</v>
      </c>
      <c r="B164" s="416" t="s">
        <v>1497</v>
      </c>
      <c r="C164" s="399"/>
      <c r="D164" s="428">
        <v>1.58</v>
      </c>
      <c r="E164" s="428">
        <v>0</v>
      </c>
      <c r="F164" s="428">
        <v>0</v>
      </c>
      <c r="G164" s="428">
        <v>0</v>
      </c>
      <c r="H164" s="399" t="s">
        <v>345</v>
      </c>
      <c r="I164" s="484" t="s">
        <v>1498</v>
      </c>
      <c r="J164" s="485" t="str">
        <f>IF(OR((D165*D164)&lt;D161,(E165*E164)&lt;E161,(F165*F164)&lt;F161,(G165*G164)&lt;G161),"Warning:输出电容纹波电流太小或电容个数太少","")</f>
        <v/>
      </c>
    </row>
    <row r="165" ht="21" customHeight="1" spans="1:10">
      <c r="A165" s="395">
        <v>133</v>
      </c>
      <c r="B165" s="416" t="s">
        <v>1499</v>
      </c>
      <c r="C165" s="399"/>
      <c r="D165" s="438">
        <v>2</v>
      </c>
      <c r="E165" s="438">
        <v>0</v>
      </c>
      <c r="F165" s="438">
        <v>0</v>
      </c>
      <c r="G165" s="438">
        <v>0</v>
      </c>
      <c r="H165" s="478" t="s">
        <v>1500</v>
      </c>
      <c r="I165" s="484" t="s">
        <v>1501</v>
      </c>
      <c r="J165" s="485"/>
    </row>
    <row r="166" ht="24.75" customHeight="1" spans="1:10">
      <c r="A166" s="395">
        <v>134</v>
      </c>
      <c r="B166" s="416" t="s">
        <v>1502</v>
      </c>
      <c r="C166" s="399"/>
      <c r="D166" s="397">
        <v>50</v>
      </c>
      <c r="E166" s="426">
        <v>0</v>
      </c>
      <c r="F166" s="426">
        <v>0</v>
      </c>
      <c r="G166" s="426">
        <v>0</v>
      </c>
      <c r="H166" s="399" t="s">
        <v>220</v>
      </c>
      <c r="I166" s="484" t="s">
        <v>1503</v>
      </c>
      <c r="J166" s="443" t="str">
        <f>IF(OR(D166&lt;D162,E166&lt;E162,F166&lt;F162,G166&lt;G162),"Warning:输出电容耐压值太小","")</f>
        <v/>
      </c>
    </row>
    <row r="167" ht="28.5" customHeight="1" spans="1:10">
      <c r="A167" s="395">
        <v>135</v>
      </c>
      <c r="B167" s="416" t="s">
        <v>1504</v>
      </c>
      <c r="C167" s="399"/>
      <c r="D167" s="438">
        <v>220</v>
      </c>
      <c r="E167" s="438">
        <v>0</v>
      </c>
      <c r="F167" s="438">
        <v>0</v>
      </c>
      <c r="G167" s="438">
        <v>0</v>
      </c>
      <c r="H167" s="399" t="s">
        <v>1215</v>
      </c>
      <c r="I167" s="484" t="s">
        <v>1505</v>
      </c>
      <c r="J167" s="443"/>
    </row>
    <row r="168" ht="28.5" customHeight="1" spans="1:10">
      <c r="A168" s="395">
        <v>136</v>
      </c>
      <c r="B168" s="416"/>
      <c r="C168" s="399"/>
      <c r="D168" s="462" t="str">
        <f>IF(D10=0,"",IF(D167*D165&lt;D163,"容量太小",""))</f>
        <v/>
      </c>
      <c r="E168" s="462" t="str">
        <f>IF(E10=0,"",IF(E167*E165&lt;E163,"容量太小",""))</f>
        <v/>
      </c>
      <c r="F168" s="462" t="str">
        <f>IF(F10=0,"",IF(F167*F165&lt;F163,"容量太小",""))</f>
        <v/>
      </c>
      <c r="G168" s="462" t="str">
        <f>IF(G10=0,"",IF(G167*G165&lt;G163,"容量太小",""))</f>
        <v/>
      </c>
      <c r="H168" s="399"/>
      <c r="I168" s="484" t="s">
        <v>1506</v>
      </c>
      <c r="J168" s="443" t="str">
        <f>IF(OR(D168="容量太小",E168="容量太小",F168="容量太小",G168="容量太小"),"Warn：输出电容容量选择太小","")</f>
        <v/>
      </c>
    </row>
    <row r="169" ht="27.75" customHeight="1" spans="1:10">
      <c r="A169" s="395"/>
      <c r="B169" s="429" t="str">
        <f>IF(OR(D168="容量太小",E168="容量太小",F168="容量太小",G168="容量太小"),"Warn：输出电容容量选择太小","输出滤波电容选择正确")</f>
        <v>输出滤波电容选择正确</v>
      </c>
      <c r="C169" s="429"/>
      <c r="D169" s="429"/>
      <c r="E169" s="429"/>
      <c r="F169" s="429"/>
      <c r="G169" s="429"/>
      <c r="H169" s="429"/>
      <c r="I169" s="484"/>
      <c r="J169" s="443"/>
    </row>
    <row r="170" ht="27.75" customHeight="1" spans="1:10">
      <c r="A170" s="475" t="s">
        <v>1507</v>
      </c>
      <c r="B170" s="476"/>
      <c r="C170" s="476"/>
      <c r="D170" s="476"/>
      <c r="E170" s="476"/>
      <c r="F170" s="476"/>
      <c r="G170" s="476"/>
      <c r="H170" s="477"/>
      <c r="I170" s="484"/>
      <c r="J170" s="443"/>
    </row>
    <row r="171" ht="31.5" customHeight="1" spans="1:10">
      <c r="A171" s="395">
        <v>137</v>
      </c>
      <c r="B171" s="416" t="s">
        <v>1508</v>
      </c>
      <c r="C171" s="428">
        <v>3.5</v>
      </c>
      <c r="D171" s="414"/>
      <c r="E171" s="414"/>
      <c r="F171" s="414"/>
      <c r="G171" s="414"/>
      <c r="H171" s="399" t="s">
        <v>1239</v>
      </c>
      <c r="I171" s="484" t="s">
        <v>1509</v>
      </c>
      <c r="J171" s="443"/>
    </row>
    <row r="172" ht="31.5" customHeight="1" spans="1:10">
      <c r="A172" s="395">
        <v>138</v>
      </c>
      <c r="B172" s="399" t="s">
        <v>1510</v>
      </c>
      <c r="C172" s="434">
        <f>IF(C171=0,(0.5*C32*C25*C25),(0.5*C171*C25*C25))</f>
        <v>5.87154668773744</v>
      </c>
      <c r="D172" s="399"/>
      <c r="E172" s="399"/>
      <c r="F172" s="399"/>
      <c r="G172" s="399"/>
      <c r="H172" s="399" t="s">
        <v>1511</v>
      </c>
      <c r="I172" s="446" t="s">
        <v>1512</v>
      </c>
      <c r="J172" s="443"/>
    </row>
    <row r="173" ht="45.75" customHeight="1" spans="1:10">
      <c r="A173" s="395">
        <v>139</v>
      </c>
      <c r="B173" s="416" t="s">
        <v>1513</v>
      </c>
      <c r="C173" s="434">
        <f>IF(AND(C12&gt;1.5,C12&lt;50),(0.8*C172),IF(AND(C12&gt;=50,C12&lt;90),C172,(C172*C176/(C176-C22))))</f>
        <v>5.87154668773744</v>
      </c>
      <c r="D173" s="399"/>
      <c r="E173" s="399"/>
      <c r="F173" s="399"/>
      <c r="G173" s="399"/>
      <c r="H173" s="399" t="s">
        <v>1511</v>
      </c>
      <c r="I173" s="446" t="s">
        <v>1514</v>
      </c>
      <c r="J173" s="443"/>
    </row>
    <row r="174" ht="27.75" customHeight="1" spans="1:10">
      <c r="A174" s="395">
        <v>140</v>
      </c>
      <c r="B174" s="399" t="s">
        <v>1515</v>
      </c>
      <c r="C174" s="479">
        <f>0.8*C37-C21</f>
        <v>185.23340597113</v>
      </c>
      <c r="D174" s="399"/>
      <c r="E174" s="399"/>
      <c r="F174" s="399"/>
      <c r="G174" s="399"/>
      <c r="H174" s="399" t="s">
        <v>220</v>
      </c>
      <c r="I174" s="446" t="s">
        <v>1516</v>
      </c>
      <c r="J174" s="443"/>
    </row>
    <row r="175" ht="27.75" customHeight="1" spans="1:10">
      <c r="A175" s="395">
        <v>141</v>
      </c>
      <c r="B175" s="399" t="s">
        <v>1517</v>
      </c>
      <c r="C175" s="479">
        <f>0.9*C174</f>
        <v>166.710065374017</v>
      </c>
      <c r="D175" s="399"/>
      <c r="E175" s="399"/>
      <c r="F175" s="399"/>
      <c r="G175" s="399"/>
      <c r="H175" s="399" t="s">
        <v>220</v>
      </c>
      <c r="I175" s="446" t="s">
        <v>1518</v>
      </c>
      <c r="J175" s="443"/>
    </row>
    <row r="176" ht="25.5" customHeight="1" spans="1:10">
      <c r="A176" s="395">
        <v>142</v>
      </c>
      <c r="B176" s="416" t="s">
        <v>1519</v>
      </c>
      <c r="C176" s="479">
        <f>0.95*C174</f>
        <v>175.971735672573</v>
      </c>
      <c r="D176" s="399"/>
      <c r="E176" s="399"/>
      <c r="F176" s="399"/>
      <c r="G176" s="399"/>
      <c r="H176" s="399" t="s">
        <v>220</v>
      </c>
      <c r="I176" s="446" t="s">
        <v>1520</v>
      </c>
      <c r="J176" s="443"/>
    </row>
    <row r="177" ht="36" customHeight="1" spans="1:10">
      <c r="A177" s="395">
        <v>143</v>
      </c>
      <c r="B177" s="399" t="s">
        <v>1521</v>
      </c>
      <c r="C177" s="405">
        <f>C176*C176/C173/C8</f>
        <v>39.9539190702276</v>
      </c>
      <c r="D177" s="399"/>
      <c r="E177" s="399" t="str">
        <f>IF(E165*E167&lt;E163,"","")</f>
        <v/>
      </c>
      <c r="F177" s="399"/>
      <c r="G177" s="399"/>
      <c r="H177" s="399" t="s">
        <v>1522</v>
      </c>
      <c r="I177" s="484" t="s">
        <v>1523</v>
      </c>
      <c r="J177" s="443"/>
    </row>
    <row r="178" ht="32.25" customHeight="1" spans="1:10">
      <c r="A178" s="395">
        <v>144</v>
      </c>
      <c r="B178" s="416" t="s">
        <v>1524</v>
      </c>
      <c r="C178" s="405">
        <f>C176*C176/C177/1000</f>
        <v>0.775044162781341</v>
      </c>
      <c r="D178" s="399"/>
      <c r="E178" s="399"/>
      <c r="F178" s="399"/>
      <c r="G178" s="399"/>
      <c r="H178" s="399" t="s">
        <v>377</v>
      </c>
      <c r="I178" s="446" t="s">
        <v>1525</v>
      </c>
      <c r="J178" s="443"/>
    </row>
    <row r="179" ht="32.25" customHeight="1" spans="1:10">
      <c r="A179" s="395">
        <v>145</v>
      </c>
      <c r="B179" s="416" t="s">
        <v>1526</v>
      </c>
      <c r="C179" s="405">
        <f>C173*1000/0.5/(C174*C174-C175*C175)</f>
        <v>1.80131758396954</v>
      </c>
      <c r="D179" s="399"/>
      <c r="E179" s="399"/>
      <c r="F179" s="399"/>
      <c r="G179" s="399"/>
      <c r="H179" s="399" t="s">
        <v>1527</v>
      </c>
      <c r="I179" s="446" t="s">
        <v>1528</v>
      </c>
      <c r="J179" s="443"/>
    </row>
    <row r="180" ht="21.75" customHeight="1" spans="1:10">
      <c r="A180" s="395">
        <v>146</v>
      </c>
      <c r="B180" s="416" t="s">
        <v>1529</v>
      </c>
      <c r="C180" s="468">
        <f>1.5*C174</f>
        <v>277.850108956695</v>
      </c>
      <c r="D180" s="399"/>
      <c r="E180" s="399"/>
      <c r="F180" s="399"/>
      <c r="G180" s="399"/>
      <c r="H180" s="399" t="s">
        <v>220</v>
      </c>
      <c r="I180" s="446" t="s">
        <v>1530</v>
      </c>
      <c r="J180" s="443"/>
    </row>
    <row r="181" ht="24" customHeight="1" spans="1:10">
      <c r="A181" s="395">
        <v>147</v>
      </c>
      <c r="B181" s="416" t="s">
        <v>1531</v>
      </c>
      <c r="C181" s="468">
        <f>C174+20</f>
        <v>205.23340597113</v>
      </c>
      <c r="D181" s="399"/>
      <c r="E181" s="399"/>
      <c r="F181" s="399"/>
      <c r="G181" s="399"/>
      <c r="H181" s="399" t="s">
        <v>220</v>
      </c>
      <c r="I181" s="484" t="s">
        <v>1532</v>
      </c>
      <c r="J181" s="443"/>
    </row>
    <row r="182" ht="27.75" customHeight="1" spans="1:10">
      <c r="A182" s="395">
        <v>148</v>
      </c>
      <c r="B182" s="416" t="s">
        <v>1533</v>
      </c>
      <c r="C182" s="468">
        <f>IF(C171=0,(0.5*C32*(C48*C48-C25*C25)*C8/1000),(0.5*C171*(C48*C48-C25*C25)*C8/1000))</f>
        <v>1.15295598821866</v>
      </c>
      <c r="D182" s="399"/>
      <c r="E182" s="399"/>
      <c r="F182" s="399"/>
      <c r="G182" s="399"/>
      <c r="H182" s="399" t="s">
        <v>377</v>
      </c>
      <c r="I182" s="446" t="s">
        <v>1534</v>
      </c>
      <c r="J182" s="443"/>
    </row>
    <row r="183" ht="24.75" customHeight="1" spans="1:10">
      <c r="A183" s="395">
        <v>149</v>
      </c>
      <c r="B183" s="416" t="s">
        <v>1535</v>
      </c>
      <c r="C183" s="468">
        <f>C180</f>
        <v>277.850108956695</v>
      </c>
      <c r="D183" s="399"/>
      <c r="E183" s="399"/>
      <c r="F183" s="399"/>
      <c r="G183" s="399"/>
      <c r="H183" s="399" t="s">
        <v>220</v>
      </c>
      <c r="I183" s="484" t="s">
        <v>1536</v>
      </c>
      <c r="J183" s="443"/>
    </row>
    <row r="184" ht="24.75" customHeight="1" spans="1:10">
      <c r="A184" s="480">
        <v>150</v>
      </c>
      <c r="B184" s="481" t="s">
        <v>1537</v>
      </c>
      <c r="C184" s="482">
        <f>0.5*C25</f>
        <v>0.915856093478932</v>
      </c>
      <c r="D184" s="483"/>
      <c r="E184" s="483"/>
      <c r="F184" s="483"/>
      <c r="G184" s="483"/>
      <c r="H184" s="483" t="s">
        <v>345</v>
      </c>
      <c r="I184" s="486" t="s">
        <v>1538</v>
      </c>
      <c r="J184" s="487"/>
    </row>
    <row r="185" spans="8:8">
      <c r="H185" s="381"/>
    </row>
  </sheetData>
  <protectedRanges>
    <protectedRange sqref="C140 D93 D87:G87 D10:G11 C5:C8 B2:D2 F2:G2 I2 C21:C23 C58 C49:C52 D73 C120 C107:C116 C136:C138 C33:C34 C104 C134 C146:C149 C61:C88 C123:G131 C13:C17 C96:C97 C37:C46 C158:C159 C169:C170" name="Range1"/>
  </protectedRanges>
  <mergeCells count="44">
    <mergeCell ref="A1:J1"/>
    <mergeCell ref="B2:D2"/>
    <mergeCell ref="I2:J2"/>
    <mergeCell ref="C3:G3"/>
    <mergeCell ref="A4:I4"/>
    <mergeCell ref="B10:C10"/>
    <mergeCell ref="B11:C11"/>
    <mergeCell ref="B16:C16"/>
    <mergeCell ref="B17:C17"/>
    <mergeCell ref="A33:I33"/>
    <mergeCell ref="B34:G34"/>
    <mergeCell ref="B49:H49"/>
    <mergeCell ref="B50:G50"/>
    <mergeCell ref="A51:H51"/>
    <mergeCell ref="B57:H57"/>
    <mergeCell ref="C60:H60"/>
    <mergeCell ref="A61:I61"/>
    <mergeCell ref="B85:H85"/>
    <mergeCell ref="A86:I86"/>
    <mergeCell ref="A96:I96"/>
    <mergeCell ref="A104:I104"/>
    <mergeCell ref="A120:I120"/>
    <mergeCell ref="A134:I134"/>
    <mergeCell ref="B141:H141"/>
    <mergeCell ref="A142:I142"/>
    <mergeCell ref="A143:G143"/>
    <mergeCell ref="B148:H148"/>
    <mergeCell ref="A149:G149"/>
    <mergeCell ref="B158:H158"/>
    <mergeCell ref="A159:G159"/>
    <mergeCell ref="B169:H169"/>
    <mergeCell ref="A170:G170"/>
    <mergeCell ref="A9:A12"/>
    <mergeCell ref="A16:A17"/>
    <mergeCell ref="A90:A91"/>
    <mergeCell ref="A92:A93"/>
    <mergeCell ref="A94:A95"/>
    <mergeCell ref="B92:B93"/>
    <mergeCell ref="H90:H91"/>
    <mergeCell ref="H92:H93"/>
    <mergeCell ref="I90:I91"/>
    <mergeCell ref="I92:I93"/>
    <mergeCell ref="I94:I95"/>
    <mergeCell ref="J164:J165"/>
  </mergeCells>
  <dataValidations count="14">
    <dataValidation allowBlank="1" showInputMessage="1" showErrorMessage="1" promptTitle="损耗分配因子：Z" prompt="如果Z=1，说明所有损耗都在次级侧；&#10;如果Z=0，说明所有损耗都在初级侧；&#10;如果没有更好的参考数据，建议使用Z=0.5。" sqref="C1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C65550 IY65550 SU65550 ACQ65550 AMM65550 AWI65550 BGE65550 BQA65550 BZW65550 CJS65550 CTO65550 DDK65550 DNG65550 DXC65550 EGY65550 EQU65550 FAQ65550 FKM65550 FUI65550 GEE65550 GOA65550 GXW65550 HHS65550 HRO65550 IBK65550 ILG65550 IVC65550 JEY65550 JOU65550 JYQ65550 KIM65550 KSI65550 LCE65550 LMA65550 LVW65550 MFS65550 MPO65550 MZK65550 NJG65550 NTC65550 OCY65550 OMU65550 OWQ65550 PGM65550 PQI65550 QAE65550 QKA65550 QTW65550 RDS65550 RNO65550 RXK65550 SHG65550 SRC65550 TAY65550 TKU65550 TUQ65550 UEM65550 UOI65550 UYE65550 VIA65550 VRW65550 WBS65550 WLO65550 WVK65550 C131086 IY131086 SU131086 ACQ131086 AMM131086 AWI131086 BGE131086 BQA131086 BZW131086 CJS131086 CTO131086 DDK131086 DNG131086 DXC131086 EGY131086 EQU131086 FAQ131086 FKM131086 FUI131086 GEE131086 GOA131086 GXW131086 HHS131086 HRO131086 IBK131086 ILG131086 IVC131086 JEY131086 JOU131086 JYQ131086 KIM131086 KSI131086 LCE131086 LMA131086 LVW131086 MFS131086 MPO131086 MZK131086 NJG131086 NTC131086 OCY131086 OMU131086 OWQ131086 PGM131086 PQI131086 QAE131086 QKA131086 QTW131086 RDS131086 RNO131086 RXK131086 SHG131086 SRC131086 TAY131086 TKU131086 TUQ131086 UEM131086 UOI131086 UYE131086 VIA131086 VRW131086 WBS131086 WLO131086 WVK131086 C196622 IY196622 SU196622 ACQ196622 AMM196622 AWI196622 BGE196622 BQA196622 BZW196622 CJS196622 CTO196622 DDK196622 DNG196622 DXC196622 EGY196622 EQU196622 FAQ196622 FKM196622 FUI196622 GEE196622 GOA196622 GXW196622 HHS196622 HRO196622 IBK196622 ILG196622 IVC196622 JEY196622 JOU196622 JYQ196622 KIM196622 KSI196622 LCE196622 LMA196622 LVW196622 MFS196622 MPO196622 MZK196622 NJG196622 NTC196622 OCY196622 OMU196622 OWQ196622 PGM196622 PQI196622 QAE196622 QKA196622 QTW196622 RDS196622 RNO196622 RXK196622 SHG196622 SRC196622 TAY196622 TKU196622 TUQ196622 UEM196622 UOI196622 UYE196622 VIA196622 VRW196622 WBS196622 WLO196622 WVK196622 C262158 IY262158 SU262158 ACQ262158 AMM262158 AWI262158 BGE262158 BQA262158 BZW262158 CJS262158 CTO262158 DDK262158 DNG262158 DXC262158 EGY262158 EQU262158 FAQ262158 FKM262158 FUI262158 GEE262158 GOA262158 GXW262158 HHS262158 HRO262158 IBK262158 ILG262158 IVC262158 JEY262158 JOU262158 JYQ262158 KIM262158 KSI262158 LCE262158 LMA262158 LVW262158 MFS262158 MPO262158 MZK262158 NJG262158 NTC262158 OCY262158 OMU262158 OWQ262158 PGM262158 PQI262158 QAE262158 QKA262158 QTW262158 RDS262158 RNO262158 RXK262158 SHG262158 SRC262158 TAY262158 TKU262158 TUQ262158 UEM262158 UOI262158 UYE262158 VIA262158 VRW262158 WBS262158 WLO262158 WVK262158 C327694 IY327694 SU327694 ACQ327694 AMM327694 AWI327694 BGE327694 BQA327694 BZW327694 CJS327694 CTO327694 DDK327694 DNG327694 DXC327694 EGY327694 EQU327694 FAQ327694 FKM327694 FUI327694 GEE327694 GOA327694 GXW327694 HHS327694 HRO327694 IBK327694 ILG327694 IVC327694 JEY327694 JOU327694 JYQ327694 KIM327694 KSI327694 LCE327694 LMA327694 LVW327694 MFS327694 MPO327694 MZK327694 NJG327694 NTC327694 OCY327694 OMU327694 OWQ327694 PGM327694 PQI327694 QAE327694 QKA327694 QTW327694 RDS327694 RNO327694 RXK327694 SHG327694 SRC327694 TAY327694 TKU327694 TUQ327694 UEM327694 UOI327694 UYE327694 VIA327694 VRW327694 WBS327694 WLO327694 WVK327694 C393230 IY393230 SU393230 ACQ393230 AMM393230 AWI393230 BGE393230 BQA393230 BZW393230 CJS393230 CTO393230 DDK393230 DNG393230 DXC393230 EGY393230 EQU393230 FAQ393230 FKM393230 FUI393230 GEE393230 GOA393230 GXW393230 HHS393230 HRO393230 IBK393230 ILG393230 IVC393230 JEY393230 JOU393230 JYQ393230 KIM393230 KSI393230 LCE393230 LMA393230 LVW393230 MFS393230 MPO393230 MZK393230 NJG393230 NTC393230 OCY393230 OMU393230 OWQ393230 PGM393230 PQI393230 QAE393230 QKA393230 QTW393230 RDS393230 RNO393230 RXK393230 SHG393230 SRC393230 TAY393230 TKU393230 TUQ393230 UEM393230 UOI393230 UYE393230 VIA393230 VRW393230 WBS393230 WLO393230 WVK393230 C458766 IY458766 SU458766 ACQ458766 AMM458766 AWI458766 BGE458766 BQA458766 BZW458766 CJS458766 CTO458766 DDK458766 DNG458766 DXC458766 EGY458766 EQU458766 FAQ458766 FKM458766 FUI458766 GEE458766 GOA458766 GXW458766 HHS458766 HRO458766 IBK458766 ILG458766 IVC458766 JEY458766 JOU458766 JYQ458766 KIM458766 KSI458766 LCE458766 LMA458766 LVW458766 MFS458766 MPO458766 MZK458766 NJG458766 NTC458766 OCY458766 OMU458766 OWQ458766 PGM458766 PQI458766 QAE458766 QKA458766 QTW458766 RDS458766 RNO458766 RXK458766 SHG458766 SRC458766 TAY458766 TKU458766 TUQ458766 UEM458766 UOI458766 UYE458766 VIA458766 VRW458766 WBS458766 WLO458766 WVK458766 C524302 IY524302 SU524302 ACQ524302 AMM524302 AWI524302 BGE524302 BQA524302 BZW524302 CJS524302 CTO524302 DDK524302 DNG524302 DXC524302 EGY524302 EQU524302 FAQ524302 FKM524302 FUI524302 GEE524302 GOA524302 GXW524302 HHS524302 HRO524302 IBK524302 ILG524302 IVC524302 JEY524302 JOU524302 JYQ524302 KIM524302 KSI524302 LCE524302 LMA524302 LVW524302 MFS524302 MPO524302 MZK524302 NJG524302 NTC524302 OCY524302 OMU524302 OWQ524302 PGM524302 PQI524302 QAE524302 QKA524302 QTW524302 RDS524302 RNO524302 RXK524302 SHG524302 SRC524302 TAY524302 TKU524302 TUQ524302 UEM524302 UOI524302 UYE524302 VIA524302 VRW524302 WBS524302 WLO524302 WVK524302 C589838 IY589838 SU589838 ACQ589838 AMM589838 AWI589838 BGE589838 BQA589838 BZW589838 CJS589838 CTO589838 DDK589838 DNG589838 DXC589838 EGY589838 EQU589838 FAQ589838 FKM589838 FUI589838 GEE589838 GOA589838 GXW589838 HHS589838 HRO589838 IBK589838 ILG589838 IVC589838 JEY589838 JOU589838 JYQ589838 KIM589838 KSI589838 LCE589838 LMA589838 LVW589838 MFS589838 MPO589838 MZK589838 NJG589838 NTC589838 OCY589838 OMU589838 OWQ589838 PGM589838 PQI589838 QAE589838 QKA589838 QTW589838 RDS589838 RNO589838 RXK589838 SHG589838 SRC589838 TAY589838 TKU589838 TUQ589838 UEM589838 UOI589838 UYE589838 VIA589838 VRW589838 WBS589838 WLO589838 WVK589838 C655374 IY655374 SU655374 ACQ655374 AMM655374 AWI655374 BGE655374 BQA655374 BZW655374 CJS655374 CTO655374 DDK655374 DNG655374 DXC655374 EGY655374 EQU655374 FAQ655374 FKM655374 FUI655374 GEE655374 GOA655374 GXW655374 HHS655374 HRO655374 IBK655374 ILG655374 IVC655374 JEY655374 JOU655374 JYQ655374 KIM655374 KSI655374 LCE655374 LMA655374 LVW655374 MFS655374 MPO655374 MZK655374 NJG655374 NTC655374 OCY655374 OMU655374 OWQ655374 PGM655374 PQI655374 QAE655374 QKA655374 QTW655374 RDS655374 RNO655374 RXK655374 SHG655374 SRC655374 TAY655374 TKU655374 TUQ655374 UEM655374 UOI655374 UYE655374 VIA655374 VRW655374 WBS655374 WLO655374 WVK655374 C720910 IY720910 SU720910 ACQ720910 AMM720910 AWI720910 BGE720910 BQA720910 BZW720910 CJS720910 CTO720910 DDK720910 DNG720910 DXC720910 EGY720910 EQU720910 FAQ720910 FKM720910 FUI720910 GEE720910 GOA720910 GXW720910 HHS720910 HRO720910 IBK720910 ILG720910 IVC720910 JEY720910 JOU720910 JYQ720910 KIM720910 KSI720910 LCE720910 LMA720910 LVW720910 MFS720910 MPO720910 MZK720910 NJG720910 NTC720910 OCY720910 OMU720910 OWQ720910 PGM720910 PQI720910 QAE720910 QKA720910 QTW720910 RDS720910 RNO720910 RXK720910 SHG720910 SRC720910 TAY720910 TKU720910 TUQ720910 UEM720910 UOI720910 UYE720910 VIA720910 VRW720910 WBS720910 WLO720910 WVK720910 C786446 IY786446 SU786446 ACQ786446 AMM786446 AWI786446 BGE786446 BQA786446 BZW786446 CJS786446 CTO786446 DDK786446 DNG786446 DXC786446 EGY786446 EQU786446 FAQ786446 FKM786446 FUI786446 GEE786446 GOA786446 GXW786446 HHS786446 HRO786446 IBK786446 ILG786446 IVC786446 JEY786446 JOU786446 JYQ786446 KIM786446 KSI786446 LCE786446 LMA786446 LVW786446 MFS786446 MPO786446 MZK786446 NJG786446 NTC786446 OCY786446 OMU786446 OWQ786446 PGM786446 PQI786446 QAE786446 QKA786446 QTW786446 RDS786446 RNO786446 RXK786446 SHG786446 SRC786446 TAY786446 TKU786446 TUQ786446 UEM786446 UOI786446 UYE786446 VIA786446 VRW786446 WBS786446 WLO786446 WVK786446 C851982 IY851982 SU851982 ACQ851982 AMM851982 AWI851982 BGE851982 BQA851982 BZW851982 CJS851982 CTO851982 DDK851982 DNG851982 DXC851982 EGY851982 EQU851982 FAQ851982 FKM851982 FUI851982 GEE851982 GOA851982 GXW851982 HHS851982 HRO851982 IBK851982 ILG851982 IVC851982 JEY851982 JOU851982 JYQ851982 KIM851982 KSI851982 LCE851982 LMA851982 LVW851982 MFS851982 MPO851982 MZK851982 NJG851982 NTC851982 OCY851982 OMU851982 OWQ851982 PGM851982 PQI851982 QAE851982 QKA851982 QTW851982 RDS851982 RNO851982 RXK851982 SHG851982 SRC851982 TAY851982 TKU851982 TUQ851982 UEM851982 UOI851982 UYE851982 VIA851982 VRW851982 WBS851982 WLO851982 WVK851982 C917518 IY917518 SU917518 ACQ917518 AMM917518 AWI917518 BGE917518 BQA917518 BZW917518 CJS917518 CTO917518 DDK917518 DNG917518 DXC917518 EGY917518 EQU917518 FAQ917518 FKM917518 FUI917518 GEE917518 GOA917518 GXW917518 HHS917518 HRO917518 IBK917518 ILG917518 IVC917518 JEY917518 JOU917518 JYQ917518 KIM917518 KSI917518 LCE917518 LMA917518 LVW917518 MFS917518 MPO917518 MZK917518 NJG917518 NTC917518 OCY917518 OMU917518 OWQ917518 PGM917518 PQI917518 QAE917518 QKA917518 QTW917518 RDS917518 RNO917518 RXK917518 SHG917518 SRC917518 TAY917518 TKU917518 TUQ917518 UEM917518 UOI917518 UYE917518 VIA917518 VRW917518 WBS917518 WLO917518 WVK917518 C983054 IY983054 SU983054 ACQ983054 AMM983054 AWI983054 BGE983054 BQA983054 BZW983054 CJS983054 CTO983054 DDK983054 DNG983054 DXC983054 EGY983054 EQU983054 FAQ983054 FKM983054 FUI983054 GEE983054 GOA983054 GXW983054 HHS983054 HRO983054 IBK983054 ILG983054 IVC983054 JEY983054 JOU983054 JYQ983054 KIM983054 KSI983054 LCE983054 LMA983054 LVW983054 MFS983054 MPO983054 MZK983054 NJG983054 NTC983054 OCY983054 OMU983054 OWQ983054 PGM983054 PQI983054 QAE983054 QKA983054 QTW983054 RDS983054 RNO983054 RXK983054 SHG983054 SRC983054 TAY983054 TKU983054 TUQ983054 UEM983054 UOI983054 UYE983054 VIA983054 VRW983054 WBS983054 WLO983054 WVK983054"/>
    <dataValidation allowBlank="1" showInputMessage="1" showErrorMessage="1" promptTitle="交流输入最小电压UACmin：" prompt="1.宽电压范围：建议取AC85V&#10;2.230或115倍压整流:建议取AC195V&#10;3.自定义" sqref="C5 IY5 SU5 ACQ5 AMM5 AWI5 BGE5 BQA5 BZW5 CJS5 CTO5 DDK5 DNG5 DXC5 EGY5 EQU5 FAQ5 FKM5 FUI5 GEE5 GOA5 GXW5 HHS5 HRO5 IBK5 ILG5 IVC5 JEY5 JOU5 JYQ5 KIM5 KSI5 LCE5 LMA5 LVW5 MFS5 MPO5 MZK5 NJG5 NTC5 OCY5 OMU5 OWQ5 PGM5 PQI5 QAE5 QKA5 QTW5 RDS5 RNO5 RXK5 SHG5 SRC5 TAY5 TKU5 TUQ5 UEM5 UOI5 UYE5 VIA5 VRW5 WBS5 WLO5 WVK5 C65541 IY65541 SU65541 ACQ65541 AMM65541 AWI65541 BGE65541 BQA65541 BZW65541 CJS65541 CTO65541 DDK65541 DNG65541 DXC65541 EGY65541 EQU65541 FAQ65541 FKM65541 FUI65541 GEE65541 GOA65541 GXW65541 HHS65541 HRO65541 IBK65541 ILG65541 IVC65541 JEY65541 JOU65541 JYQ65541 KIM65541 KSI65541 LCE65541 LMA65541 LVW65541 MFS65541 MPO65541 MZK65541 NJG65541 NTC65541 OCY65541 OMU65541 OWQ65541 PGM65541 PQI65541 QAE65541 QKA65541 QTW65541 RDS65541 RNO65541 RXK65541 SHG65541 SRC65541 TAY65541 TKU65541 TUQ65541 UEM65541 UOI65541 UYE65541 VIA65541 VRW65541 WBS65541 WLO65541 WVK65541 C131077 IY131077 SU131077 ACQ131077 AMM131077 AWI131077 BGE131077 BQA131077 BZW131077 CJS131077 CTO131077 DDK131077 DNG131077 DXC131077 EGY131077 EQU131077 FAQ131077 FKM131077 FUI131077 GEE131077 GOA131077 GXW131077 HHS131077 HRO131077 IBK131077 ILG131077 IVC131077 JEY131077 JOU131077 JYQ131077 KIM131077 KSI131077 LCE131077 LMA131077 LVW131077 MFS131077 MPO131077 MZK131077 NJG131077 NTC131077 OCY131077 OMU131077 OWQ131077 PGM131077 PQI131077 QAE131077 QKA131077 QTW131077 RDS131077 RNO131077 RXK131077 SHG131077 SRC131077 TAY131077 TKU131077 TUQ131077 UEM131077 UOI131077 UYE131077 VIA131077 VRW131077 WBS131077 WLO131077 WVK131077 C196613 IY196613 SU196613 ACQ196613 AMM196613 AWI196613 BGE196613 BQA196613 BZW196613 CJS196613 CTO196613 DDK196613 DNG196613 DXC196613 EGY196613 EQU196613 FAQ196613 FKM196613 FUI196613 GEE196613 GOA196613 GXW196613 HHS196613 HRO196613 IBK196613 ILG196613 IVC196613 JEY196613 JOU196613 JYQ196613 KIM196613 KSI196613 LCE196613 LMA196613 LVW196613 MFS196613 MPO196613 MZK196613 NJG196613 NTC196613 OCY196613 OMU196613 OWQ196613 PGM196613 PQI196613 QAE196613 QKA196613 QTW196613 RDS196613 RNO196613 RXK196613 SHG196613 SRC196613 TAY196613 TKU196613 TUQ196613 UEM196613 UOI196613 UYE196613 VIA196613 VRW196613 WBS196613 WLO196613 WVK196613 C262149 IY262149 SU262149 ACQ262149 AMM262149 AWI262149 BGE262149 BQA262149 BZW262149 CJS262149 CTO262149 DDK262149 DNG262149 DXC262149 EGY262149 EQU262149 FAQ262149 FKM262149 FUI262149 GEE262149 GOA262149 GXW262149 HHS262149 HRO262149 IBK262149 ILG262149 IVC262149 JEY262149 JOU262149 JYQ262149 KIM262149 KSI262149 LCE262149 LMA262149 LVW262149 MFS262149 MPO262149 MZK262149 NJG262149 NTC262149 OCY262149 OMU262149 OWQ262149 PGM262149 PQI262149 QAE262149 QKA262149 QTW262149 RDS262149 RNO262149 RXK262149 SHG262149 SRC262149 TAY262149 TKU262149 TUQ262149 UEM262149 UOI262149 UYE262149 VIA262149 VRW262149 WBS262149 WLO262149 WVK262149 C327685 IY327685 SU327685 ACQ327685 AMM327685 AWI327685 BGE327685 BQA327685 BZW327685 CJS327685 CTO327685 DDK327685 DNG327685 DXC327685 EGY327685 EQU327685 FAQ327685 FKM327685 FUI327685 GEE327685 GOA327685 GXW327685 HHS327685 HRO327685 IBK327685 ILG327685 IVC327685 JEY327685 JOU327685 JYQ327685 KIM327685 KSI327685 LCE327685 LMA327685 LVW327685 MFS327685 MPO327685 MZK327685 NJG327685 NTC327685 OCY327685 OMU327685 OWQ327685 PGM327685 PQI327685 QAE327685 QKA327685 QTW327685 RDS327685 RNO327685 RXK327685 SHG327685 SRC327685 TAY327685 TKU327685 TUQ327685 UEM327685 UOI327685 UYE327685 VIA327685 VRW327685 WBS327685 WLO327685 WVK327685 C393221 IY393221 SU393221 ACQ393221 AMM393221 AWI393221 BGE393221 BQA393221 BZW393221 CJS393221 CTO393221 DDK393221 DNG393221 DXC393221 EGY393221 EQU393221 FAQ393221 FKM393221 FUI393221 GEE393221 GOA393221 GXW393221 HHS393221 HRO393221 IBK393221 ILG393221 IVC393221 JEY393221 JOU393221 JYQ393221 KIM393221 KSI393221 LCE393221 LMA393221 LVW393221 MFS393221 MPO393221 MZK393221 NJG393221 NTC393221 OCY393221 OMU393221 OWQ393221 PGM393221 PQI393221 QAE393221 QKA393221 QTW393221 RDS393221 RNO393221 RXK393221 SHG393221 SRC393221 TAY393221 TKU393221 TUQ393221 UEM393221 UOI393221 UYE393221 VIA393221 VRW393221 WBS393221 WLO393221 WVK393221 C458757 IY458757 SU458757 ACQ458757 AMM458757 AWI458757 BGE458757 BQA458757 BZW458757 CJS458757 CTO458757 DDK458757 DNG458757 DXC458757 EGY458757 EQU458757 FAQ458757 FKM458757 FUI458757 GEE458757 GOA458757 GXW458757 HHS458757 HRO458757 IBK458757 ILG458757 IVC458757 JEY458757 JOU458757 JYQ458757 KIM458757 KSI458757 LCE458757 LMA458757 LVW458757 MFS458757 MPO458757 MZK458757 NJG458757 NTC458757 OCY458757 OMU458757 OWQ458757 PGM458757 PQI458757 QAE458757 QKA458757 QTW458757 RDS458757 RNO458757 RXK458757 SHG458757 SRC458757 TAY458757 TKU458757 TUQ458757 UEM458757 UOI458757 UYE458757 VIA458757 VRW458757 WBS458757 WLO458757 WVK458757 C524293 IY524293 SU524293 ACQ524293 AMM524293 AWI524293 BGE524293 BQA524293 BZW524293 CJS524293 CTO524293 DDK524293 DNG524293 DXC524293 EGY524293 EQU524293 FAQ524293 FKM524293 FUI524293 GEE524293 GOA524293 GXW524293 HHS524293 HRO524293 IBK524293 ILG524293 IVC524293 JEY524293 JOU524293 JYQ524293 KIM524293 KSI524293 LCE524293 LMA524293 LVW524293 MFS524293 MPO524293 MZK524293 NJG524293 NTC524293 OCY524293 OMU524293 OWQ524293 PGM524293 PQI524293 QAE524293 QKA524293 QTW524293 RDS524293 RNO524293 RXK524293 SHG524293 SRC524293 TAY524293 TKU524293 TUQ524293 UEM524293 UOI524293 UYE524293 VIA524293 VRW524293 WBS524293 WLO524293 WVK524293 C589829 IY589829 SU589829 ACQ589829 AMM589829 AWI589829 BGE589829 BQA589829 BZW589829 CJS589829 CTO589829 DDK589829 DNG589829 DXC589829 EGY589829 EQU589829 FAQ589829 FKM589829 FUI589829 GEE589829 GOA589829 GXW589829 HHS589829 HRO589829 IBK589829 ILG589829 IVC589829 JEY589829 JOU589829 JYQ589829 KIM589829 KSI589829 LCE589829 LMA589829 LVW589829 MFS589829 MPO589829 MZK589829 NJG589829 NTC589829 OCY589829 OMU589829 OWQ589829 PGM589829 PQI589829 QAE589829 QKA589829 QTW589829 RDS589829 RNO589829 RXK589829 SHG589829 SRC589829 TAY589829 TKU589829 TUQ589829 UEM589829 UOI589829 UYE589829 VIA589829 VRW589829 WBS589829 WLO589829 WVK589829 C655365 IY655365 SU655365 ACQ655365 AMM655365 AWI655365 BGE655365 BQA655365 BZW655365 CJS655365 CTO655365 DDK655365 DNG655365 DXC655365 EGY655365 EQU655365 FAQ655365 FKM655365 FUI655365 GEE655365 GOA655365 GXW655365 HHS655365 HRO655365 IBK655365 ILG655365 IVC655365 JEY655365 JOU655365 JYQ655365 KIM655365 KSI655365 LCE655365 LMA655365 LVW655365 MFS655365 MPO655365 MZK655365 NJG655365 NTC655365 OCY655365 OMU655365 OWQ655365 PGM655365 PQI655365 QAE655365 QKA655365 QTW655365 RDS655365 RNO655365 RXK655365 SHG655365 SRC655365 TAY655365 TKU655365 TUQ655365 UEM655365 UOI655365 UYE655365 VIA655365 VRW655365 WBS655365 WLO655365 WVK655365 C720901 IY720901 SU720901 ACQ720901 AMM720901 AWI720901 BGE720901 BQA720901 BZW720901 CJS720901 CTO720901 DDK720901 DNG720901 DXC720901 EGY720901 EQU720901 FAQ720901 FKM720901 FUI720901 GEE720901 GOA720901 GXW720901 HHS720901 HRO720901 IBK720901 ILG720901 IVC720901 JEY720901 JOU720901 JYQ720901 KIM720901 KSI720901 LCE720901 LMA720901 LVW720901 MFS720901 MPO720901 MZK720901 NJG720901 NTC720901 OCY720901 OMU720901 OWQ720901 PGM720901 PQI720901 QAE720901 QKA720901 QTW720901 RDS720901 RNO720901 RXK720901 SHG720901 SRC720901 TAY720901 TKU720901 TUQ720901 UEM720901 UOI720901 UYE720901 VIA720901 VRW720901 WBS720901 WLO720901 WVK720901 C786437 IY786437 SU786437 ACQ786437 AMM786437 AWI786437 BGE786437 BQA786437 BZW786437 CJS786437 CTO786437 DDK786437 DNG786437 DXC786437 EGY786437 EQU786437 FAQ786437 FKM786437 FUI786437 GEE786437 GOA786437 GXW786437 HHS786437 HRO786437 IBK786437 ILG786437 IVC786437 JEY786437 JOU786437 JYQ786437 KIM786437 KSI786437 LCE786437 LMA786437 LVW786437 MFS786437 MPO786437 MZK786437 NJG786437 NTC786437 OCY786437 OMU786437 OWQ786437 PGM786437 PQI786437 QAE786437 QKA786437 QTW786437 RDS786437 RNO786437 RXK786437 SHG786437 SRC786437 TAY786437 TKU786437 TUQ786437 UEM786437 UOI786437 UYE786437 VIA786437 VRW786437 WBS786437 WLO786437 WVK786437 C851973 IY851973 SU851973 ACQ851973 AMM851973 AWI851973 BGE851973 BQA851973 BZW851973 CJS851973 CTO851973 DDK851973 DNG851973 DXC851973 EGY851973 EQU851973 FAQ851973 FKM851973 FUI851973 GEE851973 GOA851973 GXW851973 HHS851973 HRO851973 IBK851973 ILG851973 IVC851973 JEY851973 JOU851973 JYQ851973 KIM851973 KSI851973 LCE851973 LMA851973 LVW851973 MFS851973 MPO851973 MZK851973 NJG851973 NTC851973 OCY851973 OMU851973 OWQ851973 PGM851973 PQI851973 QAE851973 QKA851973 QTW851973 RDS851973 RNO851973 RXK851973 SHG851973 SRC851973 TAY851973 TKU851973 TUQ851973 UEM851973 UOI851973 UYE851973 VIA851973 VRW851973 WBS851973 WLO851973 WVK851973 C917509 IY917509 SU917509 ACQ917509 AMM917509 AWI917509 BGE917509 BQA917509 BZW917509 CJS917509 CTO917509 DDK917509 DNG917509 DXC917509 EGY917509 EQU917509 FAQ917509 FKM917509 FUI917509 GEE917509 GOA917509 GXW917509 HHS917509 HRO917509 IBK917509 ILG917509 IVC917509 JEY917509 JOU917509 JYQ917509 KIM917509 KSI917509 LCE917509 LMA917509 LVW917509 MFS917509 MPO917509 MZK917509 NJG917509 NTC917509 OCY917509 OMU917509 OWQ917509 PGM917509 PQI917509 QAE917509 QKA917509 QTW917509 RDS917509 RNO917509 RXK917509 SHG917509 SRC917509 TAY917509 TKU917509 TUQ917509 UEM917509 UOI917509 UYE917509 VIA917509 VRW917509 WBS917509 WLO917509 WVK917509 C983045 IY983045 SU983045 ACQ983045 AMM983045 AWI983045 BGE983045 BQA983045 BZW983045 CJS983045 CTO983045 DDK983045 DNG983045 DXC983045 EGY983045 EQU983045 FAQ983045 FKM983045 FUI983045 GEE983045 GOA983045 GXW983045 HHS983045 HRO983045 IBK983045 ILG983045 IVC983045 JEY983045 JOU983045 JYQ983045 KIM983045 KSI983045 LCE983045 LMA983045 LVW983045 MFS983045 MPO983045 MZK983045 NJG983045 NTC983045 OCY983045 OMU983045 OWQ983045 PGM983045 PQI983045 QAE983045 QKA983045 QTW983045 RDS983045 RNO983045 RXK983045 SHG983045 SRC983045 TAY983045 TKU983045 TUQ983045 UEM983045 UOI983045 UYE983045 VIA983045 VRW983045 WBS983045 WLO983045 WVK983045"/>
    <dataValidation allowBlank="1" showInputMessage="1" showErrorMessage="1" promptTitle="反馈电压UFB" prompt="所选MOS管芯片推荐值大小" sqref="C15 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C65551 IY65551 SU65551 ACQ65551 AMM65551 AWI65551 BGE65551 BQA65551 BZW65551 CJS65551 CTO65551 DDK65551 DNG65551 DXC65551 EGY65551 EQU65551 FAQ65551 FKM65551 FUI65551 GEE65551 GOA65551 GXW65551 HHS65551 HRO65551 IBK65551 ILG65551 IVC65551 JEY65551 JOU65551 JYQ65551 KIM65551 KSI65551 LCE65551 LMA65551 LVW65551 MFS65551 MPO65551 MZK65551 NJG65551 NTC65551 OCY65551 OMU65551 OWQ65551 PGM65551 PQI65551 QAE65551 QKA65551 QTW65551 RDS65551 RNO65551 RXK65551 SHG65551 SRC65551 TAY65551 TKU65551 TUQ65551 UEM65551 UOI65551 UYE65551 VIA65551 VRW65551 WBS65551 WLO65551 WVK65551 C131087 IY131087 SU131087 ACQ131087 AMM131087 AWI131087 BGE131087 BQA131087 BZW131087 CJS131087 CTO131087 DDK131087 DNG131087 DXC131087 EGY131087 EQU131087 FAQ131087 FKM131087 FUI131087 GEE131087 GOA131087 GXW131087 HHS131087 HRO131087 IBK131087 ILG131087 IVC131087 JEY131087 JOU131087 JYQ131087 KIM131087 KSI131087 LCE131087 LMA131087 LVW131087 MFS131087 MPO131087 MZK131087 NJG131087 NTC131087 OCY131087 OMU131087 OWQ131087 PGM131087 PQI131087 QAE131087 QKA131087 QTW131087 RDS131087 RNO131087 RXK131087 SHG131087 SRC131087 TAY131087 TKU131087 TUQ131087 UEM131087 UOI131087 UYE131087 VIA131087 VRW131087 WBS131087 WLO131087 WVK131087 C196623 IY196623 SU196623 ACQ196623 AMM196623 AWI196623 BGE196623 BQA196623 BZW196623 CJS196623 CTO196623 DDK196623 DNG196623 DXC196623 EGY196623 EQU196623 FAQ196623 FKM196623 FUI196623 GEE196623 GOA196623 GXW196623 HHS196623 HRO196623 IBK196623 ILG196623 IVC196623 JEY196623 JOU196623 JYQ196623 KIM196623 KSI196623 LCE196623 LMA196623 LVW196623 MFS196623 MPO196623 MZK196623 NJG196623 NTC196623 OCY196623 OMU196623 OWQ196623 PGM196623 PQI196623 QAE196623 QKA196623 QTW196623 RDS196623 RNO196623 RXK196623 SHG196623 SRC196623 TAY196623 TKU196623 TUQ196623 UEM196623 UOI196623 UYE196623 VIA196623 VRW196623 WBS196623 WLO196623 WVK196623 C262159 IY262159 SU262159 ACQ262159 AMM262159 AWI262159 BGE262159 BQA262159 BZW262159 CJS262159 CTO262159 DDK262159 DNG262159 DXC262159 EGY262159 EQU262159 FAQ262159 FKM262159 FUI262159 GEE262159 GOA262159 GXW262159 HHS262159 HRO262159 IBK262159 ILG262159 IVC262159 JEY262159 JOU262159 JYQ262159 KIM262159 KSI262159 LCE262159 LMA262159 LVW262159 MFS262159 MPO262159 MZK262159 NJG262159 NTC262159 OCY262159 OMU262159 OWQ262159 PGM262159 PQI262159 QAE262159 QKA262159 QTW262159 RDS262159 RNO262159 RXK262159 SHG262159 SRC262159 TAY262159 TKU262159 TUQ262159 UEM262159 UOI262159 UYE262159 VIA262159 VRW262159 WBS262159 WLO262159 WVK262159 C327695 IY327695 SU327695 ACQ327695 AMM327695 AWI327695 BGE327695 BQA327695 BZW327695 CJS327695 CTO327695 DDK327695 DNG327695 DXC327695 EGY327695 EQU327695 FAQ327695 FKM327695 FUI327695 GEE327695 GOA327695 GXW327695 HHS327695 HRO327695 IBK327695 ILG327695 IVC327695 JEY327695 JOU327695 JYQ327695 KIM327695 KSI327695 LCE327695 LMA327695 LVW327695 MFS327695 MPO327695 MZK327695 NJG327695 NTC327695 OCY327695 OMU327695 OWQ327695 PGM327695 PQI327695 QAE327695 QKA327695 QTW327695 RDS327695 RNO327695 RXK327695 SHG327695 SRC327695 TAY327695 TKU327695 TUQ327695 UEM327695 UOI327695 UYE327695 VIA327695 VRW327695 WBS327695 WLO327695 WVK327695 C393231 IY393231 SU393231 ACQ393231 AMM393231 AWI393231 BGE393231 BQA393231 BZW393231 CJS393231 CTO393231 DDK393231 DNG393231 DXC393231 EGY393231 EQU393231 FAQ393231 FKM393231 FUI393231 GEE393231 GOA393231 GXW393231 HHS393231 HRO393231 IBK393231 ILG393231 IVC393231 JEY393231 JOU393231 JYQ393231 KIM393231 KSI393231 LCE393231 LMA393231 LVW393231 MFS393231 MPO393231 MZK393231 NJG393231 NTC393231 OCY393231 OMU393231 OWQ393231 PGM393231 PQI393231 QAE393231 QKA393231 QTW393231 RDS393231 RNO393231 RXK393231 SHG393231 SRC393231 TAY393231 TKU393231 TUQ393231 UEM393231 UOI393231 UYE393231 VIA393231 VRW393231 WBS393231 WLO393231 WVK393231 C458767 IY458767 SU458767 ACQ458767 AMM458767 AWI458767 BGE458767 BQA458767 BZW458767 CJS458767 CTO458767 DDK458767 DNG458767 DXC458767 EGY458767 EQU458767 FAQ458767 FKM458767 FUI458767 GEE458767 GOA458767 GXW458767 HHS458767 HRO458767 IBK458767 ILG458767 IVC458767 JEY458767 JOU458767 JYQ458767 KIM458767 KSI458767 LCE458767 LMA458767 LVW458767 MFS458767 MPO458767 MZK458767 NJG458767 NTC458767 OCY458767 OMU458767 OWQ458767 PGM458767 PQI458767 QAE458767 QKA458767 QTW458767 RDS458767 RNO458767 RXK458767 SHG458767 SRC458767 TAY458767 TKU458767 TUQ458767 UEM458767 UOI458767 UYE458767 VIA458767 VRW458767 WBS458767 WLO458767 WVK458767 C524303 IY524303 SU524303 ACQ524303 AMM524303 AWI524303 BGE524303 BQA524303 BZW524303 CJS524303 CTO524303 DDK524303 DNG524303 DXC524303 EGY524303 EQU524303 FAQ524303 FKM524303 FUI524303 GEE524303 GOA524303 GXW524303 HHS524303 HRO524303 IBK524303 ILG524303 IVC524303 JEY524303 JOU524303 JYQ524303 KIM524303 KSI524303 LCE524303 LMA524303 LVW524303 MFS524303 MPO524303 MZK524303 NJG524303 NTC524303 OCY524303 OMU524303 OWQ524303 PGM524303 PQI524303 QAE524303 QKA524303 QTW524303 RDS524303 RNO524303 RXK524303 SHG524303 SRC524303 TAY524303 TKU524303 TUQ524303 UEM524303 UOI524303 UYE524303 VIA524303 VRW524303 WBS524303 WLO524303 WVK524303 C589839 IY589839 SU589839 ACQ589839 AMM589839 AWI589839 BGE589839 BQA589839 BZW589839 CJS589839 CTO589839 DDK589839 DNG589839 DXC589839 EGY589839 EQU589839 FAQ589839 FKM589839 FUI589839 GEE589839 GOA589839 GXW589839 HHS589839 HRO589839 IBK589839 ILG589839 IVC589839 JEY589839 JOU589839 JYQ589839 KIM589839 KSI589839 LCE589839 LMA589839 LVW589839 MFS589839 MPO589839 MZK589839 NJG589839 NTC589839 OCY589839 OMU589839 OWQ589839 PGM589839 PQI589839 QAE589839 QKA589839 QTW589839 RDS589839 RNO589839 RXK589839 SHG589839 SRC589839 TAY589839 TKU589839 TUQ589839 UEM589839 UOI589839 UYE589839 VIA589839 VRW589839 WBS589839 WLO589839 WVK589839 C655375 IY655375 SU655375 ACQ655375 AMM655375 AWI655375 BGE655375 BQA655375 BZW655375 CJS655375 CTO655375 DDK655375 DNG655375 DXC655375 EGY655375 EQU655375 FAQ655375 FKM655375 FUI655375 GEE655375 GOA655375 GXW655375 HHS655375 HRO655375 IBK655375 ILG655375 IVC655375 JEY655375 JOU655375 JYQ655375 KIM655375 KSI655375 LCE655375 LMA655375 LVW655375 MFS655375 MPO655375 MZK655375 NJG655375 NTC655375 OCY655375 OMU655375 OWQ655375 PGM655375 PQI655375 QAE655375 QKA655375 QTW655375 RDS655375 RNO655375 RXK655375 SHG655375 SRC655375 TAY655375 TKU655375 TUQ655375 UEM655375 UOI655375 UYE655375 VIA655375 VRW655375 WBS655375 WLO655375 WVK655375 C720911 IY720911 SU720911 ACQ720911 AMM720911 AWI720911 BGE720911 BQA720911 BZW720911 CJS720911 CTO720911 DDK720911 DNG720911 DXC720911 EGY720911 EQU720911 FAQ720911 FKM720911 FUI720911 GEE720911 GOA720911 GXW720911 HHS720911 HRO720911 IBK720911 ILG720911 IVC720911 JEY720911 JOU720911 JYQ720911 KIM720911 KSI720911 LCE720911 LMA720911 LVW720911 MFS720911 MPO720911 MZK720911 NJG720911 NTC720911 OCY720911 OMU720911 OWQ720911 PGM720911 PQI720911 QAE720911 QKA720911 QTW720911 RDS720911 RNO720911 RXK720911 SHG720911 SRC720911 TAY720911 TKU720911 TUQ720911 UEM720911 UOI720911 UYE720911 VIA720911 VRW720911 WBS720911 WLO720911 WVK720911 C786447 IY786447 SU786447 ACQ786447 AMM786447 AWI786447 BGE786447 BQA786447 BZW786447 CJS786447 CTO786447 DDK786447 DNG786447 DXC786447 EGY786447 EQU786447 FAQ786447 FKM786447 FUI786447 GEE786447 GOA786447 GXW786447 HHS786447 HRO786447 IBK786447 ILG786447 IVC786447 JEY786447 JOU786447 JYQ786447 KIM786447 KSI786447 LCE786447 LMA786447 LVW786447 MFS786447 MPO786447 MZK786447 NJG786447 NTC786447 OCY786447 OMU786447 OWQ786447 PGM786447 PQI786447 QAE786447 QKA786447 QTW786447 RDS786447 RNO786447 RXK786447 SHG786447 SRC786447 TAY786447 TKU786447 TUQ786447 UEM786447 UOI786447 UYE786447 VIA786447 VRW786447 WBS786447 WLO786447 WVK786447 C851983 IY851983 SU851983 ACQ851983 AMM851983 AWI851983 BGE851983 BQA851983 BZW851983 CJS851983 CTO851983 DDK851983 DNG851983 DXC851983 EGY851983 EQU851983 FAQ851983 FKM851983 FUI851983 GEE851983 GOA851983 GXW851983 HHS851983 HRO851983 IBK851983 ILG851983 IVC851983 JEY851983 JOU851983 JYQ851983 KIM851983 KSI851983 LCE851983 LMA851983 LVW851983 MFS851983 MPO851983 MZK851983 NJG851983 NTC851983 OCY851983 OMU851983 OWQ851983 PGM851983 PQI851983 QAE851983 QKA851983 QTW851983 RDS851983 RNO851983 RXK851983 SHG851983 SRC851983 TAY851983 TKU851983 TUQ851983 UEM851983 UOI851983 UYE851983 VIA851983 VRW851983 WBS851983 WLO851983 WVK851983 C917519 IY917519 SU917519 ACQ917519 AMM917519 AWI917519 BGE917519 BQA917519 BZW917519 CJS917519 CTO917519 DDK917519 DNG917519 DXC917519 EGY917519 EQU917519 FAQ917519 FKM917519 FUI917519 GEE917519 GOA917519 GXW917519 HHS917519 HRO917519 IBK917519 ILG917519 IVC917519 JEY917519 JOU917519 JYQ917519 KIM917519 KSI917519 LCE917519 LMA917519 LVW917519 MFS917519 MPO917519 MZK917519 NJG917519 NTC917519 OCY917519 OMU917519 OWQ917519 PGM917519 PQI917519 QAE917519 QKA917519 QTW917519 RDS917519 RNO917519 RXK917519 SHG917519 SRC917519 TAY917519 TKU917519 TUQ917519 UEM917519 UOI917519 UYE917519 VIA917519 VRW917519 WBS917519 WLO917519 WVK917519 C983055 IY983055 SU983055 ACQ983055 AMM983055 AWI983055 BGE983055 BQA983055 BZW983055 CJS983055 CTO983055 DDK983055 DNG983055 DXC983055 EGY983055 EQU983055 FAQ983055 FKM983055 FUI983055 GEE983055 GOA983055 GXW983055 HHS983055 HRO983055 IBK983055 ILG983055 IVC983055 JEY983055 JOU983055 JYQ983055 KIM983055 KSI983055 LCE983055 LMA983055 LVW983055 MFS983055 MPO983055 MZK983055 NJG983055 NTC983055 OCY983055 OMU983055 OWQ983055 PGM983055 PQI983055 QAE983055 QKA983055 QTW983055 RDS983055 RNO983055 RXK983055 SHG983055 SRC983055 TAY983055 TKU983055 TUQ983055 UEM983055 UOI983055 UYE983055 VIA983055 VRW983055 WBS983055 WLO983055 WVK983055"/>
    <dataValidation allowBlank="1" showInputMessage="1" showErrorMessage="1" promptTitle="交流输入最大电压UACmax" prompt="1.宽电压范围：建议取AC265V&#10;2.230或115倍压整流:建议取AC265V&#10;3.自定义" sqref="C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42 IY65542 SU65542 ACQ65542 AMM65542 AWI65542 BGE65542 BQA65542 BZW65542 CJS65542 CTO65542 DDK65542 DNG65542 DXC65542 EGY65542 EQU65542 FAQ65542 FKM65542 FUI65542 GEE65542 GOA65542 GXW65542 HHS65542 HRO65542 IBK65542 ILG65542 IVC65542 JEY65542 JOU65542 JYQ65542 KIM65542 KSI65542 LCE65542 LMA65542 LVW65542 MFS65542 MPO65542 MZK65542 NJG65542 NTC65542 OCY65542 OMU65542 OWQ65542 PGM65542 PQI65542 QAE65542 QKA65542 QTW65542 RDS65542 RNO65542 RXK65542 SHG65542 SRC65542 TAY65542 TKU65542 TUQ65542 UEM65542 UOI65542 UYE65542 VIA65542 VRW65542 WBS65542 WLO65542 WVK65542 C131078 IY131078 SU131078 ACQ131078 AMM131078 AWI131078 BGE131078 BQA131078 BZW131078 CJS131078 CTO131078 DDK131078 DNG131078 DXC131078 EGY131078 EQU131078 FAQ131078 FKM131078 FUI131078 GEE131078 GOA131078 GXW131078 HHS131078 HRO131078 IBK131078 ILG131078 IVC131078 JEY131078 JOU131078 JYQ131078 KIM131078 KSI131078 LCE131078 LMA131078 LVW131078 MFS131078 MPO131078 MZK131078 NJG131078 NTC131078 OCY131078 OMU131078 OWQ131078 PGM131078 PQI131078 QAE131078 QKA131078 QTW131078 RDS131078 RNO131078 RXK131078 SHG131078 SRC131078 TAY131078 TKU131078 TUQ131078 UEM131078 UOI131078 UYE131078 VIA131078 VRW131078 WBS131078 WLO131078 WVK131078 C196614 IY196614 SU196614 ACQ196614 AMM196614 AWI196614 BGE196614 BQA196614 BZW196614 CJS196614 CTO196614 DDK196614 DNG196614 DXC196614 EGY196614 EQU196614 FAQ196614 FKM196614 FUI196614 GEE196614 GOA196614 GXW196614 HHS196614 HRO196614 IBK196614 ILG196614 IVC196614 JEY196614 JOU196614 JYQ196614 KIM196614 KSI196614 LCE196614 LMA196614 LVW196614 MFS196614 MPO196614 MZK196614 NJG196614 NTC196614 OCY196614 OMU196614 OWQ196614 PGM196614 PQI196614 QAE196614 QKA196614 QTW196614 RDS196614 RNO196614 RXK196614 SHG196614 SRC196614 TAY196614 TKU196614 TUQ196614 UEM196614 UOI196614 UYE196614 VIA196614 VRW196614 WBS196614 WLO196614 WVK196614 C262150 IY262150 SU262150 ACQ262150 AMM262150 AWI262150 BGE262150 BQA262150 BZW262150 CJS262150 CTO262150 DDK262150 DNG262150 DXC262150 EGY262150 EQU262150 FAQ262150 FKM262150 FUI262150 GEE262150 GOA262150 GXW262150 HHS262150 HRO262150 IBK262150 ILG262150 IVC262150 JEY262150 JOU262150 JYQ262150 KIM262150 KSI262150 LCE262150 LMA262150 LVW262150 MFS262150 MPO262150 MZK262150 NJG262150 NTC262150 OCY262150 OMU262150 OWQ262150 PGM262150 PQI262150 QAE262150 QKA262150 QTW262150 RDS262150 RNO262150 RXK262150 SHG262150 SRC262150 TAY262150 TKU262150 TUQ262150 UEM262150 UOI262150 UYE262150 VIA262150 VRW262150 WBS262150 WLO262150 WVK262150 C327686 IY327686 SU327686 ACQ327686 AMM327686 AWI327686 BGE327686 BQA327686 BZW327686 CJS327686 CTO327686 DDK327686 DNG327686 DXC327686 EGY327686 EQU327686 FAQ327686 FKM327686 FUI327686 GEE327686 GOA327686 GXW327686 HHS327686 HRO327686 IBK327686 ILG327686 IVC327686 JEY327686 JOU327686 JYQ327686 KIM327686 KSI327686 LCE327686 LMA327686 LVW327686 MFS327686 MPO327686 MZK327686 NJG327686 NTC327686 OCY327686 OMU327686 OWQ327686 PGM327686 PQI327686 QAE327686 QKA327686 QTW327686 RDS327686 RNO327686 RXK327686 SHG327686 SRC327686 TAY327686 TKU327686 TUQ327686 UEM327686 UOI327686 UYE327686 VIA327686 VRW327686 WBS327686 WLO327686 WVK327686 C393222 IY393222 SU393222 ACQ393222 AMM393222 AWI393222 BGE393222 BQA393222 BZW393222 CJS393222 CTO393222 DDK393222 DNG393222 DXC393222 EGY393222 EQU393222 FAQ393222 FKM393222 FUI393222 GEE393222 GOA393222 GXW393222 HHS393222 HRO393222 IBK393222 ILG393222 IVC393222 JEY393222 JOU393222 JYQ393222 KIM393222 KSI393222 LCE393222 LMA393222 LVW393222 MFS393222 MPO393222 MZK393222 NJG393222 NTC393222 OCY393222 OMU393222 OWQ393222 PGM393222 PQI393222 QAE393222 QKA393222 QTW393222 RDS393222 RNO393222 RXK393222 SHG393222 SRC393222 TAY393222 TKU393222 TUQ393222 UEM393222 UOI393222 UYE393222 VIA393222 VRW393222 WBS393222 WLO393222 WVK393222 C458758 IY458758 SU458758 ACQ458758 AMM458758 AWI458758 BGE458758 BQA458758 BZW458758 CJS458758 CTO458758 DDK458758 DNG458758 DXC458758 EGY458758 EQU458758 FAQ458758 FKM458758 FUI458758 GEE458758 GOA458758 GXW458758 HHS458758 HRO458758 IBK458758 ILG458758 IVC458758 JEY458758 JOU458758 JYQ458758 KIM458758 KSI458758 LCE458758 LMA458758 LVW458758 MFS458758 MPO458758 MZK458758 NJG458758 NTC458758 OCY458758 OMU458758 OWQ458758 PGM458758 PQI458758 QAE458758 QKA458758 QTW458758 RDS458758 RNO458758 RXK458758 SHG458758 SRC458758 TAY458758 TKU458758 TUQ458758 UEM458758 UOI458758 UYE458758 VIA458758 VRW458758 WBS458758 WLO458758 WVK458758 C524294 IY524294 SU524294 ACQ524294 AMM524294 AWI524294 BGE524294 BQA524294 BZW524294 CJS524294 CTO524294 DDK524294 DNG524294 DXC524294 EGY524294 EQU524294 FAQ524294 FKM524294 FUI524294 GEE524294 GOA524294 GXW524294 HHS524294 HRO524294 IBK524294 ILG524294 IVC524294 JEY524294 JOU524294 JYQ524294 KIM524294 KSI524294 LCE524294 LMA524294 LVW524294 MFS524294 MPO524294 MZK524294 NJG524294 NTC524294 OCY524294 OMU524294 OWQ524294 PGM524294 PQI524294 QAE524294 QKA524294 QTW524294 RDS524294 RNO524294 RXK524294 SHG524294 SRC524294 TAY524294 TKU524294 TUQ524294 UEM524294 UOI524294 UYE524294 VIA524294 VRW524294 WBS524294 WLO524294 WVK524294 C589830 IY589830 SU589830 ACQ589830 AMM589830 AWI589830 BGE589830 BQA589830 BZW589830 CJS589830 CTO589830 DDK589830 DNG589830 DXC589830 EGY589830 EQU589830 FAQ589830 FKM589830 FUI589830 GEE589830 GOA589830 GXW589830 HHS589830 HRO589830 IBK589830 ILG589830 IVC589830 JEY589830 JOU589830 JYQ589830 KIM589830 KSI589830 LCE589830 LMA589830 LVW589830 MFS589830 MPO589830 MZK589830 NJG589830 NTC589830 OCY589830 OMU589830 OWQ589830 PGM589830 PQI589830 QAE589830 QKA589830 QTW589830 RDS589830 RNO589830 RXK589830 SHG589830 SRC589830 TAY589830 TKU589830 TUQ589830 UEM589830 UOI589830 UYE589830 VIA589830 VRW589830 WBS589830 WLO589830 WVK589830 C655366 IY655366 SU655366 ACQ655366 AMM655366 AWI655366 BGE655366 BQA655366 BZW655366 CJS655366 CTO655366 DDK655366 DNG655366 DXC655366 EGY655366 EQU655366 FAQ655366 FKM655366 FUI655366 GEE655366 GOA655366 GXW655366 HHS655366 HRO655366 IBK655366 ILG655366 IVC655366 JEY655366 JOU655366 JYQ655366 KIM655366 KSI655366 LCE655366 LMA655366 LVW655366 MFS655366 MPO655366 MZK655366 NJG655366 NTC655366 OCY655366 OMU655366 OWQ655366 PGM655366 PQI655366 QAE655366 QKA655366 QTW655366 RDS655366 RNO655366 RXK655366 SHG655366 SRC655366 TAY655366 TKU655366 TUQ655366 UEM655366 UOI655366 UYE655366 VIA655366 VRW655366 WBS655366 WLO655366 WVK655366 C720902 IY720902 SU720902 ACQ720902 AMM720902 AWI720902 BGE720902 BQA720902 BZW720902 CJS720902 CTO720902 DDK720902 DNG720902 DXC720902 EGY720902 EQU720902 FAQ720902 FKM720902 FUI720902 GEE720902 GOA720902 GXW720902 HHS720902 HRO720902 IBK720902 ILG720902 IVC720902 JEY720902 JOU720902 JYQ720902 KIM720902 KSI720902 LCE720902 LMA720902 LVW720902 MFS720902 MPO720902 MZK720902 NJG720902 NTC720902 OCY720902 OMU720902 OWQ720902 PGM720902 PQI720902 QAE720902 QKA720902 QTW720902 RDS720902 RNO720902 RXK720902 SHG720902 SRC720902 TAY720902 TKU720902 TUQ720902 UEM720902 UOI720902 UYE720902 VIA720902 VRW720902 WBS720902 WLO720902 WVK720902 C786438 IY786438 SU786438 ACQ786438 AMM786438 AWI786438 BGE786438 BQA786438 BZW786438 CJS786438 CTO786438 DDK786438 DNG786438 DXC786438 EGY786438 EQU786438 FAQ786438 FKM786438 FUI786438 GEE786438 GOA786438 GXW786438 HHS786438 HRO786438 IBK786438 ILG786438 IVC786438 JEY786438 JOU786438 JYQ786438 KIM786438 KSI786438 LCE786438 LMA786438 LVW786438 MFS786438 MPO786438 MZK786438 NJG786438 NTC786438 OCY786438 OMU786438 OWQ786438 PGM786438 PQI786438 QAE786438 QKA786438 QTW786438 RDS786438 RNO786438 RXK786438 SHG786438 SRC786438 TAY786438 TKU786438 TUQ786438 UEM786438 UOI786438 UYE786438 VIA786438 VRW786438 WBS786438 WLO786438 WVK786438 C851974 IY851974 SU851974 ACQ851974 AMM851974 AWI851974 BGE851974 BQA851974 BZW851974 CJS851974 CTO851974 DDK851974 DNG851974 DXC851974 EGY851974 EQU851974 FAQ851974 FKM851974 FUI851974 GEE851974 GOA851974 GXW851974 HHS851974 HRO851974 IBK851974 ILG851974 IVC851974 JEY851974 JOU851974 JYQ851974 KIM851974 KSI851974 LCE851974 LMA851974 LVW851974 MFS851974 MPO851974 MZK851974 NJG851974 NTC851974 OCY851974 OMU851974 OWQ851974 PGM851974 PQI851974 QAE851974 QKA851974 QTW851974 RDS851974 RNO851974 RXK851974 SHG851974 SRC851974 TAY851974 TKU851974 TUQ851974 UEM851974 UOI851974 UYE851974 VIA851974 VRW851974 WBS851974 WLO851974 WVK851974 C917510 IY917510 SU917510 ACQ917510 AMM917510 AWI917510 BGE917510 BQA917510 BZW917510 CJS917510 CTO917510 DDK917510 DNG917510 DXC917510 EGY917510 EQU917510 FAQ917510 FKM917510 FUI917510 GEE917510 GOA917510 GXW917510 HHS917510 HRO917510 IBK917510 ILG917510 IVC917510 JEY917510 JOU917510 JYQ917510 KIM917510 KSI917510 LCE917510 LMA917510 LVW917510 MFS917510 MPO917510 MZK917510 NJG917510 NTC917510 OCY917510 OMU917510 OWQ917510 PGM917510 PQI917510 QAE917510 QKA917510 QTW917510 RDS917510 RNO917510 RXK917510 SHG917510 SRC917510 TAY917510 TKU917510 TUQ917510 UEM917510 UOI917510 UYE917510 VIA917510 VRW917510 WBS917510 WLO917510 WVK917510 C983046 IY983046 SU983046 ACQ983046 AMM983046 AWI983046 BGE983046 BQA983046 BZW983046 CJS983046 CTO983046 DDK983046 DNG983046 DXC983046 EGY983046 EQU983046 FAQ983046 FKM983046 FUI983046 GEE983046 GOA983046 GXW983046 HHS983046 HRO983046 IBK983046 ILG983046 IVC983046 JEY983046 JOU983046 JYQ983046 KIM983046 KSI983046 LCE983046 LMA983046 LVW983046 MFS983046 MPO983046 MZK983046 NJG983046 NTC983046 OCY983046 OMU983046 OWQ983046 PGM983046 PQI983046 QAE983046 QKA983046 QTW983046 RDS983046 RNO983046 RXK983046 SHG983046 SRC983046 TAY983046 TKU983046 TUQ983046 UEM983046 UOI983046 UYE983046 VIA983046 VRW983046 WBS983046 WLO983046 WVK983046"/>
    <dataValidation allowBlank="1" showInputMessage="1" showErrorMessage="1" errorTitle="错误提示" error="输入滤波电容太小" promptTitle="输入滤波电容CIN大小" prompt="建议大小=取理论计算值*1.2倍后取常用型号" sqref="C19 IY19 SU19 ACQ19 AMM19 AWI19 BGE19 BQA19 BZW19 CJS19 CTO19 DDK19 DNG19 DXC19 EGY19 EQU19 FAQ19 FKM19 FUI19 GEE19 GOA19 GXW19 HHS19 HRO19 IBK19 ILG19 IVC19 JEY19 JOU19 JYQ19 KIM19 KSI19 LCE19 LMA19 LVW19 MFS19 MPO19 MZK19 NJG19 NTC19 OCY19 OMU19 OWQ19 PGM19 PQI19 QAE19 QKA19 QTW19 RDS19 RNO19 RXK19 SHG19 SRC19 TAY19 TKU19 TUQ19 UEM19 UOI19 UYE19 VIA19 VRW19 WBS19 WLO19 WVK19 C65555 IY65555 SU65555 ACQ65555 AMM65555 AWI65555 BGE65555 BQA65555 BZW65555 CJS65555 CTO65555 DDK65555 DNG65555 DXC65555 EGY65555 EQU65555 FAQ65555 FKM65555 FUI65555 GEE65555 GOA65555 GXW65555 HHS65555 HRO65555 IBK65555 ILG65555 IVC65555 JEY65555 JOU65555 JYQ65555 KIM65555 KSI65555 LCE65555 LMA65555 LVW65555 MFS65555 MPO65555 MZK65555 NJG65555 NTC65555 OCY65555 OMU65555 OWQ65555 PGM65555 PQI65555 QAE65555 QKA65555 QTW65555 RDS65555 RNO65555 RXK65555 SHG65555 SRC65555 TAY65555 TKU65555 TUQ65555 UEM65555 UOI65555 UYE65555 VIA65555 VRW65555 WBS65555 WLO65555 WVK65555 C131091 IY131091 SU131091 ACQ131091 AMM131091 AWI131091 BGE131091 BQA131091 BZW131091 CJS131091 CTO131091 DDK131091 DNG131091 DXC131091 EGY131091 EQU131091 FAQ131091 FKM131091 FUI131091 GEE131091 GOA131091 GXW131091 HHS131091 HRO131091 IBK131091 ILG131091 IVC131091 JEY131091 JOU131091 JYQ131091 KIM131091 KSI131091 LCE131091 LMA131091 LVW131091 MFS131091 MPO131091 MZK131091 NJG131091 NTC131091 OCY131091 OMU131091 OWQ131091 PGM131091 PQI131091 QAE131091 QKA131091 QTW131091 RDS131091 RNO131091 RXK131091 SHG131091 SRC131091 TAY131091 TKU131091 TUQ131091 UEM131091 UOI131091 UYE131091 VIA131091 VRW131091 WBS131091 WLO131091 WVK131091 C196627 IY196627 SU196627 ACQ196627 AMM196627 AWI196627 BGE196627 BQA196627 BZW196627 CJS196627 CTO196627 DDK196627 DNG196627 DXC196627 EGY196627 EQU196627 FAQ196627 FKM196627 FUI196627 GEE196627 GOA196627 GXW196627 HHS196627 HRO196627 IBK196627 ILG196627 IVC196627 JEY196627 JOU196627 JYQ196627 KIM196627 KSI196627 LCE196627 LMA196627 LVW196627 MFS196627 MPO196627 MZK196627 NJG196627 NTC196627 OCY196627 OMU196627 OWQ196627 PGM196627 PQI196627 QAE196627 QKA196627 QTW196627 RDS196627 RNO196627 RXK196627 SHG196627 SRC196627 TAY196627 TKU196627 TUQ196627 UEM196627 UOI196627 UYE196627 VIA196627 VRW196627 WBS196627 WLO196627 WVK196627 C262163 IY262163 SU262163 ACQ262163 AMM262163 AWI262163 BGE262163 BQA262163 BZW262163 CJS262163 CTO262163 DDK262163 DNG262163 DXC262163 EGY262163 EQU262163 FAQ262163 FKM262163 FUI262163 GEE262163 GOA262163 GXW262163 HHS262163 HRO262163 IBK262163 ILG262163 IVC262163 JEY262163 JOU262163 JYQ262163 KIM262163 KSI262163 LCE262163 LMA262163 LVW262163 MFS262163 MPO262163 MZK262163 NJG262163 NTC262163 OCY262163 OMU262163 OWQ262163 PGM262163 PQI262163 QAE262163 QKA262163 QTW262163 RDS262163 RNO262163 RXK262163 SHG262163 SRC262163 TAY262163 TKU262163 TUQ262163 UEM262163 UOI262163 UYE262163 VIA262163 VRW262163 WBS262163 WLO262163 WVK262163 C327699 IY327699 SU327699 ACQ327699 AMM327699 AWI327699 BGE327699 BQA327699 BZW327699 CJS327699 CTO327699 DDK327699 DNG327699 DXC327699 EGY327699 EQU327699 FAQ327699 FKM327699 FUI327699 GEE327699 GOA327699 GXW327699 HHS327699 HRO327699 IBK327699 ILG327699 IVC327699 JEY327699 JOU327699 JYQ327699 KIM327699 KSI327699 LCE327699 LMA327699 LVW327699 MFS327699 MPO327699 MZK327699 NJG327699 NTC327699 OCY327699 OMU327699 OWQ327699 PGM327699 PQI327699 QAE327699 QKA327699 QTW327699 RDS327699 RNO327699 RXK327699 SHG327699 SRC327699 TAY327699 TKU327699 TUQ327699 UEM327699 UOI327699 UYE327699 VIA327699 VRW327699 WBS327699 WLO327699 WVK327699 C393235 IY393235 SU393235 ACQ393235 AMM393235 AWI393235 BGE393235 BQA393235 BZW393235 CJS393235 CTO393235 DDK393235 DNG393235 DXC393235 EGY393235 EQU393235 FAQ393235 FKM393235 FUI393235 GEE393235 GOA393235 GXW393235 HHS393235 HRO393235 IBK393235 ILG393235 IVC393235 JEY393235 JOU393235 JYQ393235 KIM393235 KSI393235 LCE393235 LMA393235 LVW393235 MFS393235 MPO393235 MZK393235 NJG393235 NTC393235 OCY393235 OMU393235 OWQ393235 PGM393235 PQI393235 QAE393235 QKA393235 QTW393235 RDS393235 RNO393235 RXK393235 SHG393235 SRC393235 TAY393235 TKU393235 TUQ393235 UEM393235 UOI393235 UYE393235 VIA393235 VRW393235 WBS393235 WLO393235 WVK393235 C458771 IY458771 SU458771 ACQ458771 AMM458771 AWI458771 BGE458771 BQA458771 BZW458771 CJS458771 CTO458771 DDK458771 DNG458771 DXC458771 EGY458771 EQU458771 FAQ458771 FKM458771 FUI458771 GEE458771 GOA458771 GXW458771 HHS458771 HRO458771 IBK458771 ILG458771 IVC458771 JEY458771 JOU458771 JYQ458771 KIM458771 KSI458771 LCE458771 LMA458771 LVW458771 MFS458771 MPO458771 MZK458771 NJG458771 NTC458771 OCY458771 OMU458771 OWQ458771 PGM458771 PQI458771 QAE458771 QKA458771 QTW458771 RDS458771 RNO458771 RXK458771 SHG458771 SRC458771 TAY458771 TKU458771 TUQ458771 UEM458771 UOI458771 UYE458771 VIA458771 VRW458771 WBS458771 WLO458771 WVK458771 C524307 IY524307 SU524307 ACQ524307 AMM524307 AWI524307 BGE524307 BQA524307 BZW524307 CJS524307 CTO524307 DDK524307 DNG524307 DXC524307 EGY524307 EQU524307 FAQ524307 FKM524307 FUI524307 GEE524307 GOA524307 GXW524307 HHS524307 HRO524307 IBK524307 ILG524307 IVC524307 JEY524307 JOU524307 JYQ524307 KIM524307 KSI524307 LCE524307 LMA524307 LVW524307 MFS524307 MPO524307 MZK524307 NJG524307 NTC524307 OCY524307 OMU524307 OWQ524307 PGM524307 PQI524307 QAE524307 QKA524307 QTW524307 RDS524307 RNO524307 RXK524307 SHG524307 SRC524307 TAY524307 TKU524307 TUQ524307 UEM524307 UOI524307 UYE524307 VIA524307 VRW524307 WBS524307 WLO524307 WVK524307 C589843 IY589843 SU589843 ACQ589843 AMM589843 AWI589843 BGE589843 BQA589843 BZW589843 CJS589843 CTO589843 DDK589843 DNG589843 DXC589843 EGY589843 EQU589843 FAQ589843 FKM589843 FUI589843 GEE589843 GOA589843 GXW589843 HHS589843 HRO589843 IBK589843 ILG589843 IVC589843 JEY589843 JOU589843 JYQ589843 KIM589843 KSI589843 LCE589843 LMA589843 LVW589843 MFS589843 MPO589843 MZK589843 NJG589843 NTC589843 OCY589843 OMU589843 OWQ589843 PGM589843 PQI589843 QAE589843 QKA589843 QTW589843 RDS589843 RNO589843 RXK589843 SHG589843 SRC589843 TAY589843 TKU589843 TUQ589843 UEM589843 UOI589843 UYE589843 VIA589843 VRW589843 WBS589843 WLO589843 WVK589843 C655379 IY655379 SU655379 ACQ655379 AMM655379 AWI655379 BGE655379 BQA655379 BZW655379 CJS655379 CTO655379 DDK655379 DNG655379 DXC655379 EGY655379 EQU655379 FAQ655379 FKM655379 FUI655379 GEE655379 GOA655379 GXW655379 HHS655379 HRO655379 IBK655379 ILG655379 IVC655379 JEY655379 JOU655379 JYQ655379 KIM655379 KSI655379 LCE655379 LMA655379 LVW655379 MFS655379 MPO655379 MZK655379 NJG655379 NTC655379 OCY655379 OMU655379 OWQ655379 PGM655379 PQI655379 QAE655379 QKA655379 QTW655379 RDS655379 RNO655379 RXK655379 SHG655379 SRC655379 TAY655379 TKU655379 TUQ655379 UEM655379 UOI655379 UYE655379 VIA655379 VRW655379 WBS655379 WLO655379 WVK655379 C720915 IY720915 SU720915 ACQ720915 AMM720915 AWI720915 BGE720915 BQA720915 BZW720915 CJS720915 CTO720915 DDK720915 DNG720915 DXC720915 EGY720915 EQU720915 FAQ720915 FKM720915 FUI720915 GEE720915 GOA720915 GXW720915 HHS720915 HRO720915 IBK720915 ILG720915 IVC720915 JEY720915 JOU720915 JYQ720915 KIM720915 KSI720915 LCE720915 LMA720915 LVW720915 MFS720915 MPO720915 MZK720915 NJG720915 NTC720915 OCY720915 OMU720915 OWQ720915 PGM720915 PQI720915 QAE720915 QKA720915 QTW720915 RDS720915 RNO720915 RXK720915 SHG720915 SRC720915 TAY720915 TKU720915 TUQ720915 UEM720915 UOI720915 UYE720915 VIA720915 VRW720915 WBS720915 WLO720915 WVK720915 C786451 IY786451 SU786451 ACQ786451 AMM786451 AWI786451 BGE786451 BQA786451 BZW786451 CJS786451 CTO786451 DDK786451 DNG786451 DXC786451 EGY786451 EQU786451 FAQ786451 FKM786451 FUI786451 GEE786451 GOA786451 GXW786451 HHS786451 HRO786451 IBK786451 ILG786451 IVC786451 JEY786451 JOU786451 JYQ786451 KIM786451 KSI786451 LCE786451 LMA786451 LVW786451 MFS786451 MPO786451 MZK786451 NJG786451 NTC786451 OCY786451 OMU786451 OWQ786451 PGM786451 PQI786451 QAE786451 QKA786451 QTW786451 RDS786451 RNO786451 RXK786451 SHG786451 SRC786451 TAY786451 TKU786451 TUQ786451 UEM786451 UOI786451 UYE786451 VIA786451 VRW786451 WBS786451 WLO786451 WVK786451 C851987 IY851987 SU851987 ACQ851987 AMM851987 AWI851987 BGE851987 BQA851987 BZW851987 CJS851987 CTO851987 DDK851987 DNG851987 DXC851987 EGY851987 EQU851987 FAQ851987 FKM851987 FUI851987 GEE851987 GOA851987 GXW851987 HHS851987 HRO851987 IBK851987 ILG851987 IVC851987 JEY851987 JOU851987 JYQ851987 KIM851987 KSI851987 LCE851987 LMA851987 LVW851987 MFS851987 MPO851987 MZK851987 NJG851987 NTC851987 OCY851987 OMU851987 OWQ851987 PGM851987 PQI851987 QAE851987 QKA851987 QTW851987 RDS851987 RNO851987 RXK851987 SHG851987 SRC851987 TAY851987 TKU851987 TUQ851987 UEM851987 UOI851987 UYE851987 VIA851987 VRW851987 WBS851987 WLO851987 WVK851987 C917523 IY917523 SU917523 ACQ917523 AMM917523 AWI917523 BGE917523 BQA917523 BZW917523 CJS917523 CTO917523 DDK917523 DNG917523 DXC917523 EGY917523 EQU917523 FAQ917523 FKM917523 FUI917523 GEE917523 GOA917523 GXW917523 HHS917523 HRO917523 IBK917523 ILG917523 IVC917523 JEY917523 JOU917523 JYQ917523 KIM917523 KSI917523 LCE917523 LMA917523 LVW917523 MFS917523 MPO917523 MZK917523 NJG917523 NTC917523 OCY917523 OMU917523 OWQ917523 PGM917523 PQI917523 QAE917523 QKA917523 QTW917523 RDS917523 RNO917523 RXK917523 SHG917523 SRC917523 TAY917523 TKU917523 TUQ917523 UEM917523 UOI917523 UYE917523 VIA917523 VRW917523 WBS917523 WLO917523 WVK917523 C983059 IY983059 SU983059 ACQ983059 AMM983059 AWI983059 BGE983059 BQA983059 BZW983059 CJS983059 CTO983059 DDK983059 DNG983059 DXC983059 EGY983059 EQU983059 FAQ983059 FKM983059 FUI983059 GEE983059 GOA983059 GXW983059 HHS983059 HRO983059 IBK983059 ILG983059 IVC983059 JEY983059 JOU983059 JYQ983059 KIM983059 KSI983059 LCE983059 LMA983059 LVW983059 MFS983059 MPO983059 MZK983059 NJG983059 NTC983059 OCY983059 OMU983059 OWQ983059 PGM983059 PQI983059 QAE983059 QKA983059 QTW983059 RDS983059 RNO983059 RXK983059 SHG983059 SRC983059 TAY983059 TKU983059 TUQ983059 UEM983059 UOI983059 UYE983059 VIA983059 VRW983059 WBS983059 WLO983059 WVK983059" errorStyle="warning"/>
    <dataValidation allowBlank="1" showInputMessage="1" showErrorMessage="1" prompt="参考选定的MOS管芯片数据手册中推荐值" sqref="C37:C48 C65573:C65584 C131109:C131120 C196645:C196656 C262181:C262192 C327717:C327728 C393253:C393264 C458789:C458800 C524325:C524336 C589861:C589872 C655397:C655408 C720933:C720944 C786469:C786480 C852005:C852016 C917541:C917552 C983077:C983088 IY37:IY48 IY65573:IY65584 IY131109:IY131120 IY196645:IY196656 IY262181:IY262192 IY327717:IY327728 IY393253:IY393264 IY458789:IY458800 IY524325:IY524336 IY589861:IY589872 IY655397:IY655408 IY720933:IY720944 IY786469:IY786480 IY852005:IY852016 IY917541:IY917552 IY983077:IY983088 SU37:SU48 SU65573:SU65584 SU131109:SU131120 SU196645:SU196656 SU262181:SU262192 SU327717:SU327728 SU393253:SU393264 SU458789:SU458800 SU524325:SU524336 SU589861:SU589872 SU655397:SU655408 SU720933:SU720944 SU786469:SU786480 SU852005:SU852016 SU917541:SU917552 SU983077:SU983088 ACQ37:ACQ48 ACQ65573:ACQ65584 ACQ131109:ACQ131120 ACQ196645:ACQ196656 ACQ262181:ACQ262192 ACQ327717:ACQ327728 ACQ393253:ACQ393264 ACQ458789:ACQ458800 ACQ524325:ACQ524336 ACQ589861:ACQ589872 ACQ655397:ACQ655408 ACQ720933:ACQ720944 ACQ786469:ACQ786480 ACQ852005:ACQ852016 ACQ917541:ACQ917552 ACQ983077:ACQ983088 AMM37:AMM48 AMM65573:AMM65584 AMM131109:AMM131120 AMM196645:AMM196656 AMM262181:AMM262192 AMM327717:AMM327728 AMM393253:AMM393264 AMM458789:AMM458800 AMM524325:AMM524336 AMM589861:AMM589872 AMM655397:AMM655408 AMM720933:AMM720944 AMM786469:AMM786480 AMM852005:AMM852016 AMM917541:AMM917552 AMM983077:AMM983088 AWI37:AWI48 AWI65573:AWI65584 AWI131109:AWI131120 AWI196645:AWI196656 AWI262181:AWI262192 AWI327717:AWI327728 AWI393253:AWI393264 AWI458789:AWI458800 AWI524325:AWI524336 AWI589861:AWI589872 AWI655397:AWI655408 AWI720933:AWI720944 AWI786469:AWI786480 AWI852005:AWI852016 AWI917541:AWI917552 AWI983077:AWI983088 BGE37:BGE48 BGE65573:BGE65584 BGE131109:BGE131120 BGE196645:BGE196656 BGE262181:BGE262192 BGE327717:BGE327728 BGE393253:BGE393264 BGE458789:BGE458800 BGE524325:BGE524336 BGE589861:BGE589872 BGE655397:BGE655408 BGE720933:BGE720944 BGE786469:BGE786480 BGE852005:BGE852016 BGE917541:BGE917552 BGE983077:BGE983088 BQA37:BQA48 BQA65573:BQA65584 BQA131109:BQA131120 BQA196645:BQA196656 BQA262181:BQA262192 BQA327717:BQA327728 BQA393253:BQA393264 BQA458789:BQA458800 BQA524325:BQA524336 BQA589861:BQA589872 BQA655397:BQA655408 BQA720933:BQA720944 BQA786469:BQA786480 BQA852005:BQA852016 BQA917541:BQA917552 BQA983077:BQA983088 BZW37:BZW48 BZW65573:BZW65584 BZW131109:BZW131120 BZW196645:BZW196656 BZW262181:BZW262192 BZW327717:BZW327728 BZW393253:BZW393264 BZW458789:BZW458800 BZW524325:BZW524336 BZW589861:BZW589872 BZW655397:BZW655408 BZW720933:BZW720944 BZW786469:BZW786480 BZW852005:BZW852016 BZW917541:BZW917552 BZW983077:BZW983088 CJS37:CJS48 CJS65573:CJS65584 CJS131109:CJS131120 CJS196645:CJS196656 CJS262181:CJS262192 CJS327717:CJS327728 CJS393253:CJS393264 CJS458789:CJS458800 CJS524325:CJS524336 CJS589861:CJS589872 CJS655397:CJS655408 CJS720933:CJS720944 CJS786469:CJS786480 CJS852005:CJS852016 CJS917541:CJS917552 CJS983077:CJS983088 CTO37:CTO48 CTO65573:CTO65584 CTO131109:CTO131120 CTO196645:CTO196656 CTO262181:CTO262192 CTO327717:CTO327728 CTO393253:CTO393264 CTO458789:CTO458800 CTO524325:CTO524336 CTO589861:CTO589872 CTO655397:CTO655408 CTO720933:CTO720944 CTO786469:CTO786480 CTO852005:CTO852016 CTO917541:CTO917552 CTO983077:CTO983088 DDK37:DDK48 DDK65573:DDK65584 DDK131109:DDK131120 DDK196645:DDK196656 DDK262181:DDK262192 DDK327717:DDK327728 DDK393253:DDK393264 DDK458789:DDK458800 DDK524325:DDK524336 DDK589861:DDK589872 DDK655397:DDK655408 DDK720933:DDK720944 DDK786469:DDK786480 DDK852005:DDK852016 DDK917541:DDK917552 DDK983077:DDK983088 DNG37:DNG48 DNG65573:DNG65584 DNG131109:DNG131120 DNG196645:DNG196656 DNG262181:DNG262192 DNG327717:DNG327728 DNG393253:DNG393264 DNG458789:DNG458800 DNG524325:DNG524336 DNG589861:DNG589872 DNG655397:DNG655408 DNG720933:DNG720944 DNG786469:DNG786480 DNG852005:DNG852016 DNG917541:DNG917552 DNG983077:DNG983088 DXC37:DXC48 DXC65573:DXC65584 DXC131109:DXC131120 DXC196645:DXC196656 DXC262181:DXC262192 DXC327717:DXC327728 DXC393253:DXC393264 DXC458789:DXC458800 DXC524325:DXC524336 DXC589861:DXC589872 DXC655397:DXC655408 DXC720933:DXC720944 DXC786469:DXC786480 DXC852005:DXC852016 DXC917541:DXC917552 DXC983077:DXC983088 EGY37:EGY48 EGY65573:EGY65584 EGY131109:EGY131120 EGY196645:EGY196656 EGY262181:EGY262192 EGY327717:EGY327728 EGY393253:EGY393264 EGY458789:EGY458800 EGY524325:EGY524336 EGY589861:EGY589872 EGY655397:EGY655408 EGY720933:EGY720944 EGY786469:EGY786480 EGY852005:EGY852016 EGY917541:EGY917552 EGY983077:EGY983088 EQU37:EQU48 EQU65573:EQU65584 EQU131109:EQU131120 EQU196645:EQU196656 EQU262181:EQU262192 EQU327717:EQU327728 EQU393253:EQU393264 EQU458789:EQU458800 EQU524325:EQU524336 EQU589861:EQU589872 EQU655397:EQU655408 EQU720933:EQU720944 EQU786469:EQU786480 EQU852005:EQU852016 EQU917541:EQU917552 EQU983077:EQU983088 FAQ37:FAQ48 FAQ65573:FAQ65584 FAQ131109:FAQ131120 FAQ196645:FAQ196656 FAQ262181:FAQ262192 FAQ327717:FAQ327728 FAQ393253:FAQ393264 FAQ458789:FAQ458800 FAQ524325:FAQ524336 FAQ589861:FAQ589872 FAQ655397:FAQ655408 FAQ720933:FAQ720944 FAQ786469:FAQ786480 FAQ852005:FAQ852016 FAQ917541:FAQ917552 FAQ983077:FAQ983088 FKM37:FKM48 FKM65573:FKM65584 FKM131109:FKM131120 FKM196645:FKM196656 FKM262181:FKM262192 FKM327717:FKM327728 FKM393253:FKM393264 FKM458789:FKM458800 FKM524325:FKM524336 FKM589861:FKM589872 FKM655397:FKM655408 FKM720933:FKM720944 FKM786469:FKM786480 FKM852005:FKM852016 FKM917541:FKM917552 FKM983077:FKM983088 FUI37:FUI48 FUI65573:FUI65584 FUI131109:FUI131120 FUI196645:FUI196656 FUI262181:FUI262192 FUI327717:FUI327728 FUI393253:FUI393264 FUI458789:FUI458800 FUI524325:FUI524336 FUI589861:FUI589872 FUI655397:FUI655408 FUI720933:FUI720944 FUI786469:FUI786480 FUI852005:FUI852016 FUI917541:FUI917552 FUI983077:FUI983088 GEE37:GEE48 GEE65573:GEE65584 GEE131109:GEE131120 GEE196645:GEE196656 GEE262181:GEE262192 GEE327717:GEE327728 GEE393253:GEE393264 GEE458789:GEE458800 GEE524325:GEE524336 GEE589861:GEE589872 GEE655397:GEE655408 GEE720933:GEE720944 GEE786469:GEE786480 GEE852005:GEE852016 GEE917541:GEE917552 GEE983077:GEE983088 GOA37:GOA48 GOA65573:GOA65584 GOA131109:GOA131120 GOA196645:GOA196656 GOA262181:GOA262192 GOA327717:GOA327728 GOA393253:GOA393264 GOA458789:GOA458800 GOA524325:GOA524336 GOA589861:GOA589872 GOA655397:GOA655408 GOA720933:GOA720944 GOA786469:GOA786480 GOA852005:GOA852016 GOA917541:GOA917552 GOA983077:GOA983088 GXW37:GXW48 GXW65573:GXW65584 GXW131109:GXW131120 GXW196645:GXW196656 GXW262181:GXW262192 GXW327717:GXW327728 GXW393253:GXW393264 GXW458789:GXW458800 GXW524325:GXW524336 GXW589861:GXW589872 GXW655397:GXW655408 GXW720933:GXW720944 GXW786469:GXW786480 GXW852005:GXW852016 GXW917541:GXW917552 GXW983077:GXW983088 HHS37:HHS48 HHS65573:HHS65584 HHS131109:HHS131120 HHS196645:HHS196656 HHS262181:HHS262192 HHS327717:HHS327728 HHS393253:HHS393264 HHS458789:HHS458800 HHS524325:HHS524336 HHS589861:HHS589872 HHS655397:HHS655408 HHS720933:HHS720944 HHS786469:HHS786480 HHS852005:HHS852016 HHS917541:HHS917552 HHS983077:HHS983088 HRO37:HRO48 HRO65573:HRO65584 HRO131109:HRO131120 HRO196645:HRO196656 HRO262181:HRO262192 HRO327717:HRO327728 HRO393253:HRO393264 HRO458789:HRO458800 HRO524325:HRO524336 HRO589861:HRO589872 HRO655397:HRO655408 HRO720933:HRO720944 HRO786469:HRO786480 HRO852005:HRO852016 HRO917541:HRO917552 HRO983077:HRO983088 IBK37:IBK48 IBK65573:IBK65584 IBK131109:IBK131120 IBK196645:IBK196656 IBK262181:IBK262192 IBK327717:IBK327728 IBK393253:IBK393264 IBK458789:IBK458800 IBK524325:IBK524336 IBK589861:IBK589872 IBK655397:IBK655408 IBK720933:IBK720944 IBK786469:IBK786480 IBK852005:IBK852016 IBK917541:IBK917552 IBK983077:IBK983088 ILG37:ILG48 ILG65573:ILG65584 ILG131109:ILG131120 ILG196645:ILG196656 ILG262181:ILG262192 ILG327717:ILG327728 ILG393253:ILG393264 ILG458789:ILG458800 ILG524325:ILG524336 ILG589861:ILG589872 ILG655397:ILG655408 ILG720933:ILG720944 ILG786469:ILG786480 ILG852005:ILG852016 ILG917541:ILG917552 ILG983077:ILG983088 IVC37:IVC48 IVC65573:IVC65584 IVC131109:IVC131120 IVC196645:IVC196656 IVC262181:IVC262192 IVC327717:IVC327728 IVC393253:IVC393264 IVC458789:IVC458800 IVC524325:IVC524336 IVC589861:IVC589872 IVC655397:IVC655408 IVC720933:IVC720944 IVC786469:IVC786480 IVC852005:IVC852016 IVC917541:IVC917552 IVC983077:IVC983088 JEY37:JEY48 JEY65573:JEY65584 JEY131109:JEY131120 JEY196645:JEY196656 JEY262181:JEY262192 JEY327717:JEY327728 JEY393253:JEY393264 JEY458789:JEY458800 JEY524325:JEY524336 JEY589861:JEY589872 JEY655397:JEY655408 JEY720933:JEY720944 JEY786469:JEY786480 JEY852005:JEY852016 JEY917541:JEY917552 JEY983077:JEY983088 JOU37:JOU48 JOU65573:JOU65584 JOU131109:JOU131120 JOU196645:JOU196656 JOU262181:JOU262192 JOU327717:JOU327728 JOU393253:JOU393264 JOU458789:JOU458800 JOU524325:JOU524336 JOU589861:JOU589872 JOU655397:JOU655408 JOU720933:JOU720944 JOU786469:JOU786480 JOU852005:JOU852016 JOU917541:JOU917552 JOU983077:JOU983088 JYQ37:JYQ48 JYQ65573:JYQ65584 JYQ131109:JYQ131120 JYQ196645:JYQ196656 JYQ262181:JYQ262192 JYQ327717:JYQ327728 JYQ393253:JYQ393264 JYQ458789:JYQ458800 JYQ524325:JYQ524336 JYQ589861:JYQ589872 JYQ655397:JYQ655408 JYQ720933:JYQ720944 JYQ786469:JYQ786480 JYQ852005:JYQ852016 JYQ917541:JYQ917552 JYQ983077:JYQ983088 KIM37:KIM48 KIM65573:KIM65584 KIM131109:KIM131120 KIM196645:KIM196656 KIM262181:KIM262192 KIM327717:KIM327728 KIM393253:KIM393264 KIM458789:KIM458800 KIM524325:KIM524336 KIM589861:KIM589872 KIM655397:KIM655408 KIM720933:KIM720944 KIM786469:KIM786480 KIM852005:KIM852016 KIM917541:KIM917552 KIM983077:KIM983088 KSI37:KSI48 KSI65573:KSI65584 KSI131109:KSI131120 KSI196645:KSI196656 KSI262181:KSI262192 KSI327717:KSI327728 KSI393253:KSI393264 KSI458789:KSI458800 KSI524325:KSI524336 KSI589861:KSI589872 KSI655397:KSI655408 KSI720933:KSI720944 KSI786469:KSI786480 KSI852005:KSI852016 KSI917541:KSI917552 KSI983077:KSI983088 LCE37:LCE48 LCE65573:LCE65584 LCE131109:LCE131120 LCE196645:LCE196656 LCE262181:LCE262192 LCE327717:LCE327728 LCE393253:LCE393264 LCE458789:LCE458800 LCE524325:LCE524336 LCE589861:LCE589872 LCE655397:LCE655408 LCE720933:LCE720944 LCE786469:LCE786480 LCE852005:LCE852016 LCE917541:LCE917552 LCE983077:LCE983088 LMA37:LMA48 LMA65573:LMA65584 LMA131109:LMA131120 LMA196645:LMA196656 LMA262181:LMA262192 LMA327717:LMA327728 LMA393253:LMA393264 LMA458789:LMA458800 LMA524325:LMA524336 LMA589861:LMA589872 LMA655397:LMA655408 LMA720933:LMA720944 LMA786469:LMA786480 LMA852005:LMA852016 LMA917541:LMA917552 LMA983077:LMA983088 LVW37:LVW48 LVW65573:LVW65584 LVW131109:LVW131120 LVW196645:LVW196656 LVW262181:LVW262192 LVW327717:LVW327728 LVW393253:LVW393264 LVW458789:LVW458800 LVW524325:LVW524336 LVW589861:LVW589872 LVW655397:LVW655408 LVW720933:LVW720944 LVW786469:LVW786480 LVW852005:LVW852016 LVW917541:LVW917552 LVW983077:LVW983088 MFS37:MFS48 MFS65573:MFS65584 MFS131109:MFS131120 MFS196645:MFS196656 MFS262181:MFS262192 MFS327717:MFS327728 MFS393253:MFS393264 MFS458789:MFS458800 MFS524325:MFS524336 MFS589861:MFS589872 MFS655397:MFS655408 MFS720933:MFS720944 MFS786469:MFS786480 MFS852005:MFS852016 MFS917541:MFS917552 MFS983077:MFS983088 MPO37:MPO48 MPO65573:MPO65584 MPO131109:MPO131120 MPO196645:MPO196656 MPO262181:MPO262192 MPO327717:MPO327728 MPO393253:MPO393264 MPO458789:MPO458800 MPO524325:MPO524336 MPO589861:MPO589872 MPO655397:MPO655408 MPO720933:MPO720944 MPO786469:MPO786480 MPO852005:MPO852016 MPO917541:MPO917552 MPO983077:MPO983088 MZK37:MZK48 MZK65573:MZK65584 MZK131109:MZK131120 MZK196645:MZK196656 MZK262181:MZK262192 MZK327717:MZK327728 MZK393253:MZK393264 MZK458789:MZK458800 MZK524325:MZK524336 MZK589861:MZK589872 MZK655397:MZK655408 MZK720933:MZK720944 MZK786469:MZK786480 MZK852005:MZK852016 MZK917541:MZK917552 MZK983077:MZK983088 NJG37:NJG48 NJG65573:NJG65584 NJG131109:NJG131120 NJG196645:NJG196656 NJG262181:NJG262192 NJG327717:NJG327728 NJG393253:NJG393264 NJG458789:NJG458800 NJG524325:NJG524336 NJG589861:NJG589872 NJG655397:NJG655408 NJG720933:NJG720944 NJG786469:NJG786480 NJG852005:NJG852016 NJG917541:NJG917552 NJG983077:NJG983088 NTC37:NTC48 NTC65573:NTC65584 NTC131109:NTC131120 NTC196645:NTC196656 NTC262181:NTC262192 NTC327717:NTC327728 NTC393253:NTC393264 NTC458789:NTC458800 NTC524325:NTC524336 NTC589861:NTC589872 NTC655397:NTC655408 NTC720933:NTC720944 NTC786469:NTC786480 NTC852005:NTC852016 NTC917541:NTC917552 NTC983077:NTC983088 OCY37:OCY48 OCY65573:OCY65584 OCY131109:OCY131120 OCY196645:OCY196656 OCY262181:OCY262192 OCY327717:OCY327728 OCY393253:OCY393264 OCY458789:OCY458800 OCY524325:OCY524336 OCY589861:OCY589872 OCY655397:OCY655408 OCY720933:OCY720944 OCY786469:OCY786480 OCY852005:OCY852016 OCY917541:OCY917552 OCY983077:OCY983088 OMU37:OMU48 OMU65573:OMU65584 OMU131109:OMU131120 OMU196645:OMU196656 OMU262181:OMU262192 OMU327717:OMU327728 OMU393253:OMU393264 OMU458789:OMU458800 OMU524325:OMU524336 OMU589861:OMU589872 OMU655397:OMU655408 OMU720933:OMU720944 OMU786469:OMU786480 OMU852005:OMU852016 OMU917541:OMU917552 OMU983077:OMU983088 OWQ37:OWQ48 OWQ65573:OWQ65584 OWQ131109:OWQ131120 OWQ196645:OWQ196656 OWQ262181:OWQ262192 OWQ327717:OWQ327728 OWQ393253:OWQ393264 OWQ458789:OWQ458800 OWQ524325:OWQ524336 OWQ589861:OWQ589872 OWQ655397:OWQ655408 OWQ720933:OWQ720944 OWQ786469:OWQ786480 OWQ852005:OWQ852016 OWQ917541:OWQ917552 OWQ983077:OWQ983088 PGM37:PGM48 PGM65573:PGM65584 PGM131109:PGM131120 PGM196645:PGM196656 PGM262181:PGM262192 PGM327717:PGM327728 PGM393253:PGM393264 PGM458789:PGM458800 PGM524325:PGM524336 PGM589861:PGM589872 PGM655397:PGM655408 PGM720933:PGM720944 PGM786469:PGM786480 PGM852005:PGM852016 PGM917541:PGM917552 PGM983077:PGM983088 PQI37:PQI48 PQI65573:PQI65584 PQI131109:PQI131120 PQI196645:PQI196656 PQI262181:PQI262192 PQI327717:PQI327728 PQI393253:PQI393264 PQI458789:PQI458800 PQI524325:PQI524336 PQI589861:PQI589872 PQI655397:PQI655408 PQI720933:PQI720944 PQI786469:PQI786480 PQI852005:PQI852016 PQI917541:PQI917552 PQI983077:PQI983088 QAE37:QAE48 QAE65573:QAE65584 QAE131109:QAE131120 QAE196645:QAE196656 QAE262181:QAE262192 QAE327717:QAE327728 QAE393253:QAE393264 QAE458789:QAE458800 QAE524325:QAE524336 QAE589861:QAE589872 QAE655397:QAE655408 QAE720933:QAE720944 QAE786469:QAE786480 QAE852005:QAE852016 QAE917541:QAE917552 QAE983077:QAE983088 QKA37:QKA48 QKA65573:QKA65584 QKA131109:QKA131120 QKA196645:QKA196656 QKA262181:QKA262192 QKA327717:QKA327728 QKA393253:QKA393264 QKA458789:QKA458800 QKA524325:QKA524336 QKA589861:QKA589872 QKA655397:QKA655408 QKA720933:QKA720944 QKA786469:QKA786480 QKA852005:QKA852016 QKA917541:QKA917552 QKA983077:QKA983088 QTW37:QTW48 QTW65573:QTW65584 QTW131109:QTW131120 QTW196645:QTW196656 QTW262181:QTW262192 QTW327717:QTW327728 QTW393253:QTW393264 QTW458789:QTW458800 QTW524325:QTW524336 QTW589861:QTW589872 QTW655397:QTW655408 QTW720933:QTW720944 QTW786469:QTW786480 QTW852005:QTW852016 QTW917541:QTW917552 QTW983077:QTW983088 RDS37:RDS48 RDS65573:RDS65584 RDS131109:RDS131120 RDS196645:RDS196656 RDS262181:RDS262192 RDS327717:RDS327728 RDS393253:RDS393264 RDS458789:RDS458800 RDS524325:RDS524336 RDS589861:RDS589872 RDS655397:RDS655408 RDS720933:RDS720944 RDS786469:RDS786480 RDS852005:RDS852016 RDS917541:RDS917552 RDS983077:RDS983088 RNO37:RNO48 RNO65573:RNO65584 RNO131109:RNO131120 RNO196645:RNO196656 RNO262181:RNO262192 RNO327717:RNO327728 RNO393253:RNO393264 RNO458789:RNO458800 RNO524325:RNO524336 RNO589861:RNO589872 RNO655397:RNO655408 RNO720933:RNO720944 RNO786469:RNO786480 RNO852005:RNO852016 RNO917541:RNO917552 RNO983077:RNO983088 RXK37:RXK48 RXK65573:RXK65584 RXK131109:RXK131120 RXK196645:RXK196656 RXK262181:RXK262192 RXK327717:RXK327728 RXK393253:RXK393264 RXK458789:RXK458800 RXK524325:RXK524336 RXK589861:RXK589872 RXK655397:RXK655408 RXK720933:RXK720944 RXK786469:RXK786480 RXK852005:RXK852016 RXK917541:RXK917552 RXK983077:RXK983088 SHG37:SHG48 SHG65573:SHG65584 SHG131109:SHG131120 SHG196645:SHG196656 SHG262181:SHG262192 SHG327717:SHG327728 SHG393253:SHG393264 SHG458789:SHG458800 SHG524325:SHG524336 SHG589861:SHG589872 SHG655397:SHG655408 SHG720933:SHG720944 SHG786469:SHG786480 SHG852005:SHG852016 SHG917541:SHG917552 SHG983077:SHG983088 SRC37:SRC48 SRC65573:SRC65584 SRC131109:SRC131120 SRC196645:SRC196656 SRC262181:SRC262192 SRC327717:SRC327728 SRC393253:SRC393264 SRC458789:SRC458800 SRC524325:SRC524336 SRC589861:SRC589872 SRC655397:SRC655408 SRC720933:SRC720944 SRC786469:SRC786480 SRC852005:SRC852016 SRC917541:SRC917552 SRC983077:SRC983088 TAY37:TAY48 TAY65573:TAY65584 TAY131109:TAY131120 TAY196645:TAY196656 TAY262181:TAY262192 TAY327717:TAY327728 TAY393253:TAY393264 TAY458789:TAY458800 TAY524325:TAY524336 TAY589861:TAY589872 TAY655397:TAY655408 TAY720933:TAY720944 TAY786469:TAY786480 TAY852005:TAY852016 TAY917541:TAY917552 TAY983077:TAY983088 TKU37:TKU48 TKU65573:TKU65584 TKU131109:TKU131120 TKU196645:TKU196656 TKU262181:TKU262192 TKU327717:TKU327728 TKU393253:TKU393264 TKU458789:TKU458800 TKU524325:TKU524336 TKU589861:TKU589872 TKU655397:TKU655408 TKU720933:TKU720944 TKU786469:TKU786480 TKU852005:TKU852016 TKU917541:TKU917552 TKU983077:TKU983088 TUQ37:TUQ48 TUQ65573:TUQ65584 TUQ131109:TUQ131120 TUQ196645:TUQ196656 TUQ262181:TUQ262192 TUQ327717:TUQ327728 TUQ393253:TUQ393264 TUQ458789:TUQ458800 TUQ524325:TUQ524336 TUQ589861:TUQ589872 TUQ655397:TUQ655408 TUQ720933:TUQ720944 TUQ786469:TUQ786480 TUQ852005:TUQ852016 TUQ917541:TUQ917552 TUQ983077:TUQ983088 UEM37:UEM48 UEM65573:UEM65584 UEM131109:UEM131120 UEM196645:UEM196656 UEM262181:UEM262192 UEM327717:UEM327728 UEM393253:UEM393264 UEM458789:UEM458800 UEM524325:UEM524336 UEM589861:UEM589872 UEM655397:UEM655408 UEM720933:UEM720944 UEM786469:UEM786480 UEM852005:UEM852016 UEM917541:UEM917552 UEM983077:UEM983088 UOI37:UOI48 UOI65573:UOI65584 UOI131109:UOI131120 UOI196645:UOI196656 UOI262181:UOI262192 UOI327717:UOI327728 UOI393253:UOI393264 UOI458789:UOI458800 UOI524325:UOI524336 UOI589861:UOI589872 UOI655397:UOI655408 UOI720933:UOI720944 UOI786469:UOI786480 UOI852005:UOI852016 UOI917541:UOI917552 UOI983077:UOI983088 UYE37:UYE48 UYE65573:UYE65584 UYE131109:UYE131120 UYE196645:UYE196656 UYE262181:UYE262192 UYE327717:UYE327728 UYE393253:UYE393264 UYE458789:UYE458800 UYE524325:UYE524336 UYE589861:UYE589872 UYE655397:UYE655408 UYE720933:UYE720944 UYE786469:UYE786480 UYE852005:UYE852016 UYE917541:UYE917552 UYE983077:UYE983088 VIA37:VIA48 VIA65573:VIA65584 VIA131109:VIA131120 VIA196645:VIA196656 VIA262181:VIA262192 VIA327717:VIA327728 VIA393253:VIA393264 VIA458789:VIA458800 VIA524325:VIA524336 VIA589861:VIA589872 VIA655397:VIA655408 VIA720933:VIA720944 VIA786469:VIA786480 VIA852005:VIA852016 VIA917541:VIA917552 VIA983077:VIA983088 VRW37:VRW48 VRW65573:VRW65584 VRW131109:VRW131120 VRW196645:VRW196656 VRW262181:VRW262192 VRW327717:VRW327728 VRW393253:VRW393264 VRW458789:VRW458800 VRW524325:VRW524336 VRW589861:VRW589872 VRW655397:VRW655408 VRW720933:VRW720944 VRW786469:VRW786480 VRW852005:VRW852016 VRW917541:VRW917552 VRW983077:VRW983088 WBS37:WBS48 WBS65573:WBS65584 WBS131109:WBS131120 WBS196645:WBS196656 WBS262181:WBS262192 WBS327717:WBS327728 WBS393253:WBS393264 WBS458789:WBS458800 WBS524325:WBS524336 WBS589861:WBS589872 WBS655397:WBS655408 WBS720933:WBS720944 WBS786469:WBS786480 WBS852005:WBS852016 WBS917541:WBS917552 WBS983077:WBS983088 WLO37:WLO48 WLO65573:WLO65584 WLO131109:WLO131120 WLO196645:WLO196656 WLO262181:WLO262192 WLO327717:WLO327728 WLO393253:WLO393264 WLO458789:WLO458800 WLO524325:WLO524336 WLO589861:WLO589872 WLO655397:WLO655408 WLO720933:WLO720944 WLO786469:WLO786480 WLO852005:WLO852016 WLO917541:WLO917552 WLO983077:WLO983088 WVK37:WVK48 WVK65573:WVK65584 WVK131109:WVK131120 WVK196645:WVK196656 WVK262181:WVK262192 WVK327717:WVK327728 WVK393253:WVK393264 WVK458789:WVK458800 WVK524325:WVK524336 WVK589861:WVK589872 WVK655397:WVK655408 WVK720933:WVK720944 WVK786469:WVK786480 WVK852005:WVK852016 WVK917541:WVK917552 WVK983077:WVK983088"/>
    <dataValidation type="whole" operator="between" allowBlank="1" showInputMessage="1" showErrorMessage="1" errorTitle="错误提示" error="电网频率波动范围:50HZ~60HZ" promptTitle="电网频率fL：" prompt="50HZ或者60HZ" sqref="C7 IY7 SU7 ACQ7 AMM7 AWI7 BGE7 BQA7 BZW7 CJS7 CTO7 DDK7 DNG7 DXC7 EGY7 EQU7 FAQ7 FKM7 FUI7 GEE7 GOA7 GXW7 HHS7 HRO7 IBK7 ILG7 IVC7 JEY7 JOU7 JYQ7 KIM7 KSI7 LCE7 LMA7 LVW7 MFS7 MPO7 MZK7 NJG7 NTC7 OCY7 OMU7 OWQ7 PGM7 PQI7 QAE7 QKA7 QTW7 RDS7 RNO7 RXK7 SHG7 SRC7 TAY7 TKU7 TUQ7 UEM7 UOI7 UYE7 VIA7 VRW7 WBS7 WLO7 WVK7 C65543 IY65543 SU65543 ACQ65543 AMM65543 AWI65543 BGE65543 BQA65543 BZW65543 CJS65543 CTO65543 DDK65543 DNG65543 DXC65543 EGY65543 EQU65543 FAQ65543 FKM65543 FUI65543 GEE65543 GOA65543 GXW65543 HHS65543 HRO65543 IBK65543 ILG65543 IVC65543 JEY65543 JOU65543 JYQ65543 KIM65543 KSI65543 LCE65543 LMA65543 LVW65543 MFS65543 MPO65543 MZK65543 NJG65543 NTC65543 OCY65543 OMU65543 OWQ65543 PGM65543 PQI65543 QAE65543 QKA65543 QTW65543 RDS65543 RNO65543 RXK65543 SHG65543 SRC65543 TAY65543 TKU65543 TUQ65543 UEM65543 UOI65543 UYE65543 VIA65543 VRW65543 WBS65543 WLO65543 WVK65543 C131079 IY131079 SU131079 ACQ131079 AMM131079 AWI131079 BGE131079 BQA131079 BZW131079 CJS131079 CTO131079 DDK131079 DNG131079 DXC131079 EGY131079 EQU131079 FAQ131079 FKM131079 FUI131079 GEE131079 GOA131079 GXW131079 HHS131079 HRO131079 IBK131079 ILG131079 IVC131079 JEY131079 JOU131079 JYQ131079 KIM131079 KSI131079 LCE131079 LMA131079 LVW131079 MFS131079 MPO131079 MZK131079 NJG131079 NTC131079 OCY131079 OMU131079 OWQ131079 PGM131079 PQI131079 QAE131079 QKA131079 QTW131079 RDS131079 RNO131079 RXK131079 SHG131079 SRC131079 TAY131079 TKU131079 TUQ131079 UEM131079 UOI131079 UYE131079 VIA131079 VRW131079 WBS131079 WLO131079 WVK131079 C196615 IY196615 SU196615 ACQ196615 AMM196615 AWI196615 BGE196615 BQA196615 BZW196615 CJS196615 CTO196615 DDK196615 DNG196615 DXC196615 EGY196615 EQU196615 FAQ196615 FKM196615 FUI196615 GEE196615 GOA196615 GXW196615 HHS196615 HRO196615 IBK196615 ILG196615 IVC196615 JEY196615 JOU196615 JYQ196615 KIM196615 KSI196615 LCE196615 LMA196615 LVW196615 MFS196615 MPO196615 MZK196615 NJG196615 NTC196615 OCY196615 OMU196615 OWQ196615 PGM196615 PQI196615 QAE196615 QKA196615 QTW196615 RDS196615 RNO196615 RXK196615 SHG196615 SRC196615 TAY196615 TKU196615 TUQ196615 UEM196615 UOI196615 UYE196615 VIA196615 VRW196615 WBS196615 WLO196615 WVK196615 C262151 IY262151 SU262151 ACQ262151 AMM262151 AWI262151 BGE262151 BQA262151 BZW262151 CJS262151 CTO262151 DDK262151 DNG262151 DXC262151 EGY262151 EQU262151 FAQ262151 FKM262151 FUI262151 GEE262151 GOA262151 GXW262151 HHS262151 HRO262151 IBK262151 ILG262151 IVC262151 JEY262151 JOU262151 JYQ262151 KIM262151 KSI262151 LCE262151 LMA262151 LVW262151 MFS262151 MPO262151 MZK262151 NJG262151 NTC262151 OCY262151 OMU262151 OWQ262151 PGM262151 PQI262151 QAE262151 QKA262151 QTW262151 RDS262151 RNO262151 RXK262151 SHG262151 SRC262151 TAY262151 TKU262151 TUQ262151 UEM262151 UOI262151 UYE262151 VIA262151 VRW262151 WBS262151 WLO262151 WVK262151 C327687 IY327687 SU327687 ACQ327687 AMM327687 AWI327687 BGE327687 BQA327687 BZW327687 CJS327687 CTO327687 DDK327687 DNG327687 DXC327687 EGY327687 EQU327687 FAQ327687 FKM327687 FUI327687 GEE327687 GOA327687 GXW327687 HHS327687 HRO327687 IBK327687 ILG327687 IVC327687 JEY327687 JOU327687 JYQ327687 KIM327687 KSI327687 LCE327687 LMA327687 LVW327687 MFS327687 MPO327687 MZK327687 NJG327687 NTC327687 OCY327687 OMU327687 OWQ327687 PGM327687 PQI327687 QAE327687 QKA327687 QTW327687 RDS327687 RNO327687 RXK327687 SHG327687 SRC327687 TAY327687 TKU327687 TUQ327687 UEM327687 UOI327687 UYE327687 VIA327687 VRW327687 WBS327687 WLO327687 WVK327687 C393223 IY393223 SU393223 ACQ393223 AMM393223 AWI393223 BGE393223 BQA393223 BZW393223 CJS393223 CTO393223 DDK393223 DNG393223 DXC393223 EGY393223 EQU393223 FAQ393223 FKM393223 FUI393223 GEE393223 GOA393223 GXW393223 HHS393223 HRO393223 IBK393223 ILG393223 IVC393223 JEY393223 JOU393223 JYQ393223 KIM393223 KSI393223 LCE393223 LMA393223 LVW393223 MFS393223 MPO393223 MZK393223 NJG393223 NTC393223 OCY393223 OMU393223 OWQ393223 PGM393223 PQI393223 QAE393223 QKA393223 QTW393223 RDS393223 RNO393223 RXK393223 SHG393223 SRC393223 TAY393223 TKU393223 TUQ393223 UEM393223 UOI393223 UYE393223 VIA393223 VRW393223 WBS393223 WLO393223 WVK393223 C458759 IY458759 SU458759 ACQ458759 AMM458759 AWI458759 BGE458759 BQA458759 BZW458759 CJS458759 CTO458759 DDK458759 DNG458759 DXC458759 EGY458759 EQU458759 FAQ458759 FKM458759 FUI458759 GEE458759 GOA458759 GXW458759 HHS458759 HRO458759 IBK458759 ILG458759 IVC458759 JEY458759 JOU458759 JYQ458759 KIM458759 KSI458759 LCE458759 LMA458759 LVW458759 MFS458759 MPO458759 MZK458759 NJG458759 NTC458759 OCY458759 OMU458759 OWQ458759 PGM458759 PQI458759 QAE458759 QKA458759 QTW458759 RDS458759 RNO458759 RXK458759 SHG458759 SRC458759 TAY458759 TKU458759 TUQ458759 UEM458759 UOI458759 UYE458759 VIA458759 VRW458759 WBS458759 WLO458759 WVK458759 C524295 IY524295 SU524295 ACQ524295 AMM524295 AWI524295 BGE524295 BQA524295 BZW524295 CJS524295 CTO524295 DDK524295 DNG524295 DXC524295 EGY524295 EQU524295 FAQ524295 FKM524295 FUI524295 GEE524295 GOA524295 GXW524295 HHS524295 HRO524295 IBK524295 ILG524295 IVC524295 JEY524295 JOU524295 JYQ524295 KIM524295 KSI524295 LCE524295 LMA524295 LVW524295 MFS524295 MPO524295 MZK524295 NJG524295 NTC524295 OCY524295 OMU524295 OWQ524295 PGM524295 PQI524295 QAE524295 QKA524295 QTW524295 RDS524295 RNO524295 RXK524295 SHG524295 SRC524295 TAY524295 TKU524295 TUQ524295 UEM524295 UOI524295 UYE524295 VIA524295 VRW524295 WBS524295 WLO524295 WVK524295 C589831 IY589831 SU589831 ACQ589831 AMM589831 AWI589831 BGE589831 BQA589831 BZW589831 CJS589831 CTO589831 DDK589831 DNG589831 DXC589831 EGY589831 EQU589831 FAQ589831 FKM589831 FUI589831 GEE589831 GOA589831 GXW589831 HHS589831 HRO589831 IBK589831 ILG589831 IVC589831 JEY589831 JOU589831 JYQ589831 KIM589831 KSI589831 LCE589831 LMA589831 LVW589831 MFS589831 MPO589831 MZK589831 NJG589831 NTC589831 OCY589831 OMU589831 OWQ589831 PGM589831 PQI589831 QAE589831 QKA589831 QTW589831 RDS589831 RNO589831 RXK589831 SHG589831 SRC589831 TAY589831 TKU589831 TUQ589831 UEM589831 UOI589831 UYE589831 VIA589831 VRW589831 WBS589831 WLO589831 WVK589831 C655367 IY655367 SU655367 ACQ655367 AMM655367 AWI655367 BGE655367 BQA655367 BZW655367 CJS655367 CTO655367 DDK655367 DNG655367 DXC655367 EGY655367 EQU655367 FAQ655367 FKM655367 FUI655367 GEE655367 GOA655367 GXW655367 HHS655367 HRO655367 IBK655367 ILG655367 IVC655367 JEY655367 JOU655367 JYQ655367 KIM655367 KSI655367 LCE655367 LMA655367 LVW655367 MFS655367 MPO655367 MZK655367 NJG655367 NTC655367 OCY655367 OMU655367 OWQ655367 PGM655367 PQI655367 QAE655367 QKA655367 QTW655367 RDS655367 RNO655367 RXK655367 SHG655367 SRC655367 TAY655367 TKU655367 TUQ655367 UEM655367 UOI655367 UYE655367 VIA655367 VRW655367 WBS655367 WLO655367 WVK655367 C720903 IY720903 SU720903 ACQ720903 AMM720903 AWI720903 BGE720903 BQA720903 BZW720903 CJS720903 CTO720903 DDK720903 DNG720903 DXC720903 EGY720903 EQU720903 FAQ720903 FKM720903 FUI720903 GEE720903 GOA720903 GXW720903 HHS720903 HRO720903 IBK720903 ILG720903 IVC720903 JEY720903 JOU720903 JYQ720903 KIM720903 KSI720903 LCE720903 LMA720903 LVW720903 MFS720903 MPO720903 MZK720903 NJG720903 NTC720903 OCY720903 OMU720903 OWQ720903 PGM720903 PQI720903 QAE720903 QKA720903 QTW720903 RDS720903 RNO720903 RXK720903 SHG720903 SRC720903 TAY720903 TKU720903 TUQ720903 UEM720903 UOI720903 UYE720903 VIA720903 VRW720903 WBS720903 WLO720903 WVK720903 C786439 IY786439 SU786439 ACQ786439 AMM786439 AWI786439 BGE786439 BQA786439 BZW786439 CJS786439 CTO786439 DDK786439 DNG786439 DXC786439 EGY786439 EQU786439 FAQ786439 FKM786439 FUI786439 GEE786439 GOA786439 GXW786439 HHS786439 HRO786439 IBK786439 ILG786439 IVC786439 JEY786439 JOU786439 JYQ786439 KIM786439 KSI786439 LCE786439 LMA786439 LVW786439 MFS786439 MPO786439 MZK786439 NJG786439 NTC786439 OCY786439 OMU786439 OWQ786439 PGM786439 PQI786439 QAE786439 QKA786439 QTW786439 RDS786439 RNO786439 RXK786439 SHG786439 SRC786439 TAY786439 TKU786439 TUQ786439 UEM786439 UOI786439 UYE786439 VIA786439 VRW786439 WBS786439 WLO786439 WVK786439 C851975 IY851975 SU851975 ACQ851975 AMM851975 AWI851975 BGE851975 BQA851975 BZW851975 CJS851975 CTO851975 DDK851975 DNG851975 DXC851975 EGY851975 EQU851975 FAQ851975 FKM851975 FUI851975 GEE851975 GOA851975 GXW851975 HHS851975 HRO851975 IBK851975 ILG851975 IVC851975 JEY851975 JOU851975 JYQ851975 KIM851975 KSI851975 LCE851975 LMA851975 LVW851975 MFS851975 MPO851975 MZK851975 NJG851975 NTC851975 OCY851975 OMU851975 OWQ851975 PGM851975 PQI851975 QAE851975 QKA851975 QTW851975 RDS851975 RNO851975 RXK851975 SHG851975 SRC851975 TAY851975 TKU851975 TUQ851975 UEM851975 UOI851975 UYE851975 VIA851975 VRW851975 WBS851975 WLO851975 WVK851975 C917511 IY917511 SU917511 ACQ917511 AMM917511 AWI917511 BGE917511 BQA917511 BZW917511 CJS917511 CTO917511 DDK917511 DNG917511 DXC917511 EGY917511 EQU917511 FAQ917511 FKM917511 FUI917511 GEE917511 GOA917511 GXW917511 HHS917511 HRO917511 IBK917511 ILG917511 IVC917511 JEY917511 JOU917511 JYQ917511 KIM917511 KSI917511 LCE917511 LMA917511 LVW917511 MFS917511 MPO917511 MZK917511 NJG917511 NTC917511 OCY917511 OMU917511 OWQ917511 PGM917511 PQI917511 QAE917511 QKA917511 QTW917511 RDS917511 RNO917511 RXK917511 SHG917511 SRC917511 TAY917511 TKU917511 TUQ917511 UEM917511 UOI917511 UYE917511 VIA917511 VRW917511 WBS917511 WLO917511 WVK917511 C983047 IY983047 SU983047 ACQ983047 AMM983047 AWI983047 BGE983047 BQA983047 BZW983047 CJS983047 CTO983047 DDK983047 DNG983047 DXC983047 EGY983047 EQU983047 FAQ983047 FKM983047 FUI983047 GEE983047 GOA983047 GXW983047 HHS983047 HRO983047 IBK983047 ILG983047 IVC983047 JEY983047 JOU983047 JYQ983047 KIM983047 KSI983047 LCE983047 LMA983047 LVW983047 MFS983047 MPO983047 MZK983047 NJG983047 NTC983047 OCY983047 OMU983047 OWQ983047 PGM983047 PQI983047 QAE983047 QKA983047 QTW983047 RDS983047 RNO983047 RXK983047 SHG983047 SRC983047 TAY983047 TKU983047 TUQ983047 UEM983047 UOI983047 UYE983047 VIA983047 VRW983047 WBS983047 WLO983047 WVK983047">
      <formula1>50</formula1>
      <formula2>60</formula2>
    </dataValidation>
    <dataValidation allowBlank="1" showInputMessage="1" showErrorMessage="1" prompt="无外部限流电路时，KI=1；&#10;有外部限流电流时，根据外部限流因子大小填写" sqref="C97 IY97 SU97 ACQ97 AMM97 AWI97 BGE97 BQA97 BZW97 CJS97 CTO97 DDK97 DNG97 DXC97 EGY97 EQU97 FAQ97 FKM97 FUI97 GEE97 GOA97 GXW97 HHS97 HRO97 IBK97 ILG97 IVC97 JEY97 JOU97 JYQ97 KIM97 KSI97 LCE97 LMA97 LVW97 MFS97 MPO97 MZK97 NJG97 NTC97 OCY97 OMU97 OWQ97 PGM97 PQI97 QAE97 QKA97 QTW97 RDS97 RNO97 RXK97 SHG97 SRC97 TAY97 TKU97 TUQ97 UEM97 UOI97 UYE97 VIA97 VRW97 WBS97 WLO97 WVK97 C65633 IY65633 SU65633 ACQ65633 AMM65633 AWI65633 BGE65633 BQA65633 BZW65633 CJS65633 CTO65633 DDK65633 DNG65633 DXC65633 EGY65633 EQU65633 FAQ65633 FKM65633 FUI65633 GEE65633 GOA65633 GXW65633 HHS65633 HRO65633 IBK65633 ILG65633 IVC65633 JEY65633 JOU65633 JYQ65633 KIM65633 KSI65633 LCE65633 LMA65633 LVW65633 MFS65633 MPO65633 MZK65633 NJG65633 NTC65633 OCY65633 OMU65633 OWQ65633 PGM65633 PQI65633 QAE65633 QKA65633 QTW65633 RDS65633 RNO65633 RXK65633 SHG65633 SRC65633 TAY65633 TKU65633 TUQ65633 UEM65633 UOI65633 UYE65633 VIA65633 VRW65633 WBS65633 WLO65633 WVK65633 C131169 IY131169 SU131169 ACQ131169 AMM131169 AWI131169 BGE131169 BQA131169 BZW131169 CJS131169 CTO131169 DDK131169 DNG131169 DXC131169 EGY131169 EQU131169 FAQ131169 FKM131169 FUI131169 GEE131169 GOA131169 GXW131169 HHS131169 HRO131169 IBK131169 ILG131169 IVC131169 JEY131169 JOU131169 JYQ131169 KIM131169 KSI131169 LCE131169 LMA131169 LVW131169 MFS131169 MPO131169 MZK131169 NJG131169 NTC131169 OCY131169 OMU131169 OWQ131169 PGM131169 PQI131169 QAE131169 QKA131169 QTW131169 RDS131169 RNO131169 RXK131169 SHG131169 SRC131169 TAY131169 TKU131169 TUQ131169 UEM131169 UOI131169 UYE131169 VIA131169 VRW131169 WBS131169 WLO131169 WVK131169 C196705 IY196705 SU196705 ACQ196705 AMM196705 AWI196705 BGE196705 BQA196705 BZW196705 CJS196705 CTO196705 DDK196705 DNG196705 DXC196705 EGY196705 EQU196705 FAQ196705 FKM196705 FUI196705 GEE196705 GOA196705 GXW196705 HHS196705 HRO196705 IBK196705 ILG196705 IVC196705 JEY196705 JOU196705 JYQ196705 KIM196705 KSI196705 LCE196705 LMA196705 LVW196705 MFS196705 MPO196705 MZK196705 NJG196705 NTC196705 OCY196705 OMU196705 OWQ196705 PGM196705 PQI196705 QAE196705 QKA196705 QTW196705 RDS196705 RNO196705 RXK196705 SHG196705 SRC196705 TAY196705 TKU196705 TUQ196705 UEM196705 UOI196705 UYE196705 VIA196705 VRW196705 WBS196705 WLO196705 WVK196705 C262241 IY262241 SU262241 ACQ262241 AMM262241 AWI262241 BGE262241 BQA262241 BZW262241 CJS262241 CTO262241 DDK262241 DNG262241 DXC262241 EGY262241 EQU262241 FAQ262241 FKM262241 FUI262241 GEE262241 GOA262241 GXW262241 HHS262241 HRO262241 IBK262241 ILG262241 IVC262241 JEY262241 JOU262241 JYQ262241 KIM262241 KSI262241 LCE262241 LMA262241 LVW262241 MFS262241 MPO262241 MZK262241 NJG262241 NTC262241 OCY262241 OMU262241 OWQ262241 PGM262241 PQI262241 QAE262241 QKA262241 QTW262241 RDS262241 RNO262241 RXK262241 SHG262241 SRC262241 TAY262241 TKU262241 TUQ262241 UEM262241 UOI262241 UYE262241 VIA262241 VRW262241 WBS262241 WLO262241 WVK262241 C327777 IY327777 SU327777 ACQ327777 AMM327777 AWI327777 BGE327777 BQA327777 BZW327777 CJS327777 CTO327777 DDK327777 DNG327777 DXC327777 EGY327777 EQU327777 FAQ327777 FKM327777 FUI327777 GEE327777 GOA327777 GXW327777 HHS327777 HRO327777 IBK327777 ILG327777 IVC327777 JEY327777 JOU327777 JYQ327777 KIM327777 KSI327777 LCE327777 LMA327777 LVW327777 MFS327777 MPO327777 MZK327777 NJG327777 NTC327777 OCY327777 OMU327777 OWQ327777 PGM327777 PQI327777 QAE327777 QKA327777 QTW327777 RDS327777 RNO327777 RXK327777 SHG327777 SRC327777 TAY327777 TKU327777 TUQ327777 UEM327777 UOI327777 UYE327777 VIA327777 VRW327777 WBS327777 WLO327777 WVK327777 C393313 IY393313 SU393313 ACQ393313 AMM393313 AWI393313 BGE393313 BQA393313 BZW393313 CJS393313 CTO393313 DDK393313 DNG393313 DXC393313 EGY393313 EQU393313 FAQ393313 FKM393313 FUI393313 GEE393313 GOA393313 GXW393313 HHS393313 HRO393313 IBK393313 ILG393313 IVC393313 JEY393313 JOU393313 JYQ393313 KIM393313 KSI393313 LCE393313 LMA393313 LVW393313 MFS393313 MPO393313 MZK393313 NJG393313 NTC393313 OCY393313 OMU393313 OWQ393313 PGM393313 PQI393313 QAE393313 QKA393313 QTW393313 RDS393313 RNO393313 RXK393313 SHG393313 SRC393313 TAY393313 TKU393313 TUQ393313 UEM393313 UOI393313 UYE393313 VIA393313 VRW393313 WBS393313 WLO393313 WVK393313 C458849 IY458849 SU458849 ACQ458849 AMM458849 AWI458849 BGE458849 BQA458849 BZW458849 CJS458849 CTO458849 DDK458849 DNG458849 DXC458849 EGY458849 EQU458849 FAQ458849 FKM458849 FUI458849 GEE458849 GOA458849 GXW458849 HHS458849 HRO458849 IBK458849 ILG458849 IVC458849 JEY458849 JOU458849 JYQ458849 KIM458849 KSI458849 LCE458849 LMA458849 LVW458849 MFS458849 MPO458849 MZK458849 NJG458849 NTC458849 OCY458849 OMU458849 OWQ458849 PGM458849 PQI458849 QAE458849 QKA458849 QTW458849 RDS458849 RNO458849 RXK458849 SHG458849 SRC458849 TAY458849 TKU458849 TUQ458849 UEM458849 UOI458849 UYE458849 VIA458849 VRW458849 WBS458849 WLO458849 WVK458849 C524385 IY524385 SU524385 ACQ524385 AMM524385 AWI524385 BGE524385 BQA524385 BZW524385 CJS524385 CTO524385 DDK524385 DNG524385 DXC524385 EGY524385 EQU524385 FAQ524385 FKM524385 FUI524385 GEE524385 GOA524385 GXW524385 HHS524385 HRO524385 IBK524385 ILG524385 IVC524385 JEY524385 JOU524385 JYQ524385 KIM524385 KSI524385 LCE524385 LMA524385 LVW524385 MFS524385 MPO524385 MZK524385 NJG524385 NTC524385 OCY524385 OMU524385 OWQ524385 PGM524385 PQI524385 QAE524385 QKA524385 QTW524385 RDS524385 RNO524385 RXK524385 SHG524385 SRC524385 TAY524385 TKU524385 TUQ524385 UEM524385 UOI524385 UYE524385 VIA524385 VRW524385 WBS524385 WLO524385 WVK524385 C589921 IY589921 SU589921 ACQ589921 AMM589921 AWI589921 BGE589921 BQA589921 BZW589921 CJS589921 CTO589921 DDK589921 DNG589921 DXC589921 EGY589921 EQU589921 FAQ589921 FKM589921 FUI589921 GEE589921 GOA589921 GXW589921 HHS589921 HRO589921 IBK589921 ILG589921 IVC589921 JEY589921 JOU589921 JYQ589921 KIM589921 KSI589921 LCE589921 LMA589921 LVW589921 MFS589921 MPO589921 MZK589921 NJG589921 NTC589921 OCY589921 OMU589921 OWQ589921 PGM589921 PQI589921 QAE589921 QKA589921 QTW589921 RDS589921 RNO589921 RXK589921 SHG589921 SRC589921 TAY589921 TKU589921 TUQ589921 UEM589921 UOI589921 UYE589921 VIA589921 VRW589921 WBS589921 WLO589921 WVK589921 C655457 IY655457 SU655457 ACQ655457 AMM655457 AWI655457 BGE655457 BQA655457 BZW655457 CJS655457 CTO655457 DDK655457 DNG655457 DXC655457 EGY655457 EQU655457 FAQ655457 FKM655457 FUI655457 GEE655457 GOA655457 GXW655457 HHS655457 HRO655457 IBK655457 ILG655457 IVC655457 JEY655457 JOU655457 JYQ655457 KIM655457 KSI655457 LCE655457 LMA655457 LVW655457 MFS655457 MPO655457 MZK655457 NJG655457 NTC655457 OCY655457 OMU655457 OWQ655457 PGM655457 PQI655457 QAE655457 QKA655457 QTW655457 RDS655457 RNO655457 RXK655457 SHG655457 SRC655457 TAY655457 TKU655457 TUQ655457 UEM655457 UOI655457 UYE655457 VIA655457 VRW655457 WBS655457 WLO655457 WVK655457 C720993 IY720993 SU720993 ACQ720993 AMM720993 AWI720993 BGE720993 BQA720993 BZW720993 CJS720993 CTO720993 DDK720993 DNG720993 DXC720993 EGY720993 EQU720993 FAQ720993 FKM720993 FUI720993 GEE720993 GOA720993 GXW720993 HHS720993 HRO720993 IBK720993 ILG720993 IVC720993 JEY720993 JOU720993 JYQ720993 KIM720993 KSI720993 LCE720993 LMA720993 LVW720993 MFS720993 MPO720993 MZK720993 NJG720993 NTC720993 OCY720993 OMU720993 OWQ720993 PGM720993 PQI720993 QAE720993 QKA720993 QTW720993 RDS720993 RNO720993 RXK720993 SHG720993 SRC720993 TAY720993 TKU720993 TUQ720993 UEM720993 UOI720993 UYE720993 VIA720993 VRW720993 WBS720993 WLO720993 WVK720993 C786529 IY786529 SU786529 ACQ786529 AMM786529 AWI786529 BGE786529 BQA786529 BZW786529 CJS786529 CTO786529 DDK786529 DNG786529 DXC786529 EGY786529 EQU786529 FAQ786529 FKM786529 FUI786529 GEE786529 GOA786529 GXW786529 HHS786529 HRO786529 IBK786529 ILG786529 IVC786529 JEY786529 JOU786529 JYQ786529 KIM786529 KSI786529 LCE786529 LMA786529 LVW786529 MFS786529 MPO786529 MZK786529 NJG786529 NTC786529 OCY786529 OMU786529 OWQ786529 PGM786529 PQI786529 QAE786529 QKA786529 QTW786529 RDS786529 RNO786529 RXK786529 SHG786529 SRC786529 TAY786529 TKU786529 TUQ786529 UEM786529 UOI786529 UYE786529 VIA786529 VRW786529 WBS786529 WLO786529 WVK786529 C852065 IY852065 SU852065 ACQ852065 AMM852065 AWI852065 BGE852065 BQA852065 BZW852065 CJS852065 CTO852065 DDK852065 DNG852065 DXC852065 EGY852065 EQU852065 FAQ852065 FKM852065 FUI852065 GEE852065 GOA852065 GXW852065 HHS852065 HRO852065 IBK852065 ILG852065 IVC852065 JEY852065 JOU852065 JYQ852065 KIM852065 KSI852065 LCE852065 LMA852065 LVW852065 MFS852065 MPO852065 MZK852065 NJG852065 NTC852065 OCY852065 OMU852065 OWQ852065 PGM852065 PQI852065 QAE852065 QKA852065 QTW852065 RDS852065 RNO852065 RXK852065 SHG852065 SRC852065 TAY852065 TKU852065 TUQ852065 UEM852065 UOI852065 UYE852065 VIA852065 VRW852065 WBS852065 WLO852065 WVK852065 C917601 IY917601 SU917601 ACQ917601 AMM917601 AWI917601 BGE917601 BQA917601 BZW917601 CJS917601 CTO917601 DDK917601 DNG917601 DXC917601 EGY917601 EQU917601 FAQ917601 FKM917601 FUI917601 GEE917601 GOA917601 GXW917601 HHS917601 HRO917601 IBK917601 ILG917601 IVC917601 JEY917601 JOU917601 JYQ917601 KIM917601 KSI917601 LCE917601 LMA917601 LVW917601 MFS917601 MPO917601 MZK917601 NJG917601 NTC917601 OCY917601 OMU917601 OWQ917601 PGM917601 PQI917601 QAE917601 QKA917601 QTW917601 RDS917601 RNO917601 RXK917601 SHG917601 SRC917601 TAY917601 TKU917601 TUQ917601 UEM917601 UOI917601 UYE917601 VIA917601 VRW917601 WBS917601 WLO917601 WVK917601 C983137 IY983137 SU983137 ACQ983137 AMM983137 AWI983137 BGE983137 BQA983137 BZW983137 CJS983137 CTO983137 DDK983137 DNG983137 DXC983137 EGY983137 EQU983137 FAQ983137 FKM983137 FUI983137 GEE983137 GOA983137 GXW983137 HHS983137 HRO983137 IBK983137 ILG983137 IVC983137 JEY983137 JOU983137 JYQ983137 KIM983137 KSI983137 LCE983137 LMA983137 LVW983137 MFS983137 MPO983137 MZK983137 NJG983137 NTC983137 OCY983137 OMU983137 OWQ983137 PGM983137 PQI983137 QAE983137 QKA983137 QTW983137 RDS983137 RNO983137 RXK983137 SHG983137 SRC983137 TAY983137 TKU983137 TUQ983137 UEM983137 UOI983137 UYE983137 VIA983137 VRW983137 WBS983137 WLO983137 WVK983137"/>
    <dataValidation type="list" allowBlank="1" showInputMessage="1" showErrorMessage="1" errorTitle="错误提示" error="限定“10,2.5,1,0.2”中的数值" promptTitle="负载调整率：SI" prompt="±10%，±2.5%，±1%，±0.2%" sqref="D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D65552 IZ65552 SV65552 ACR65552 AMN65552 AWJ65552 BGF65552 BQB65552 BZX65552 CJT65552 CTP65552 DDL65552 DNH65552 DXD65552 EGZ65552 EQV65552 FAR65552 FKN65552 FUJ65552 GEF65552 GOB65552 GXX65552 HHT65552 HRP65552 IBL65552 ILH65552 IVD65552 JEZ65552 JOV65552 JYR65552 KIN65552 KSJ65552 LCF65552 LMB65552 LVX65552 MFT65552 MPP65552 MZL65552 NJH65552 NTD65552 OCZ65552 OMV65552 OWR65552 PGN65552 PQJ65552 QAF65552 QKB65552 QTX65552 RDT65552 RNP65552 RXL65552 SHH65552 SRD65552 TAZ65552 TKV65552 TUR65552 UEN65552 UOJ65552 UYF65552 VIB65552 VRX65552 WBT65552 WLP65552 WVL65552 D131088 IZ131088 SV131088 ACR131088 AMN131088 AWJ131088 BGF131088 BQB131088 BZX131088 CJT131088 CTP131088 DDL131088 DNH131088 DXD131088 EGZ131088 EQV131088 FAR131088 FKN131088 FUJ131088 GEF131088 GOB131088 GXX131088 HHT131088 HRP131088 IBL131088 ILH131088 IVD131088 JEZ131088 JOV131088 JYR131088 KIN131088 KSJ131088 LCF131088 LMB131088 LVX131088 MFT131088 MPP131088 MZL131088 NJH131088 NTD131088 OCZ131088 OMV131088 OWR131088 PGN131088 PQJ131088 QAF131088 QKB131088 QTX131088 RDT131088 RNP131088 RXL131088 SHH131088 SRD131088 TAZ131088 TKV131088 TUR131088 UEN131088 UOJ131088 UYF131088 VIB131088 VRX131088 WBT131088 WLP131088 WVL131088 D196624 IZ196624 SV196624 ACR196624 AMN196624 AWJ196624 BGF196624 BQB196624 BZX196624 CJT196624 CTP196624 DDL196624 DNH196624 DXD196624 EGZ196624 EQV196624 FAR196624 FKN196624 FUJ196624 GEF196624 GOB196624 GXX196624 HHT196624 HRP196624 IBL196624 ILH196624 IVD196624 JEZ196624 JOV196624 JYR196624 KIN196624 KSJ196624 LCF196624 LMB196624 LVX196624 MFT196624 MPP196624 MZL196624 NJH196624 NTD196624 OCZ196624 OMV196624 OWR196624 PGN196624 PQJ196624 QAF196624 QKB196624 QTX196624 RDT196624 RNP196624 RXL196624 SHH196624 SRD196624 TAZ196624 TKV196624 TUR196624 UEN196624 UOJ196624 UYF196624 VIB196624 VRX196624 WBT196624 WLP196624 WVL196624 D262160 IZ262160 SV262160 ACR262160 AMN262160 AWJ262160 BGF262160 BQB262160 BZX262160 CJT262160 CTP262160 DDL262160 DNH262160 DXD262160 EGZ262160 EQV262160 FAR262160 FKN262160 FUJ262160 GEF262160 GOB262160 GXX262160 HHT262160 HRP262160 IBL262160 ILH262160 IVD262160 JEZ262160 JOV262160 JYR262160 KIN262160 KSJ262160 LCF262160 LMB262160 LVX262160 MFT262160 MPP262160 MZL262160 NJH262160 NTD262160 OCZ262160 OMV262160 OWR262160 PGN262160 PQJ262160 QAF262160 QKB262160 QTX262160 RDT262160 RNP262160 RXL262160 SHH262160 SRD262160 TAZ262160 TKV262160 TUR262160 UEN262160 UOJ262160 UYF262160 VIB262160 VRX262160 WBT262160 WLP262160 WVL262160 D327696 IZ327696 SV327696 ACR327696 AMN327696 AWJ327696 BGF327696 BQB327696 BZX327696 CJT327696 CTP327696 DDL327696 DNH327696 DXD327696 EGZ327696 EQV327696 FAR327696 FKN327696 FUJ327696 GEF327696 GOB327696 GXX327696 HHT327696 HRP327696 IBL327696 ILH327696 IVD327696 JEZ327696 JOV327696 JYR327696 KIN327696 KSJ327696 LCF327696 LMB327696 LVX327696 MFT327696 MPP327696 MZL327696 NJH327696 NTD327696 OCZ327696 OMV327696 OWR327696 PGN327696 PQJ327696 QAF327696 QKB327696 QTX327696 RDT327696 RNP327696 RXL327696 SHH327696 SRD327696 TAZ327696 TKV327696 TUR327696 UEN327696 UOJ327696 UYF327696 VIB327696 VRX327696 WBT327696 WLP327696 WVL327696 D393232 IZ393232 SV393232 ACR393232 AMN393232 AWJ393232 BGF393232 BQB393232 BZX393232 CJT393232 CTP393232 DDL393232 DNH393232 DXD393232 EGZ393232 EQV393232 FAR393232 FKN393232 FUJ393232 GEF393232 GOB393232 GXX393232 HHT393232 HRP393232 IBL393232 ILH393232 IVD393232 JEZ393232 JOV393232 JYR393232 KIN393232 KSJ393232 LCF393232 LMB393232 LVX393232 MFT393232 MPP393232 MZL393232 NJH393232 NTD393232 OCZ393232 OMV393232 OWR393232 PGN393232 PQJ393232 QAF393232 QKB393232 QTX393232 RDT393232 RNP393232 RXL393232 SHH393232 SRD393232 TAZ393232 TKV393232 TUR393232 UEN393232 UOJ393232 UYF393232 VIB393232 VRX393232 WBT393232 WLP393232 WVL393232 D458768 IZ458768 SV458768 ACR458768 AMN458768 AWJ458768 BGF458768 BQB458768 BZX458768 CJT458768 CTP458768 DDL458768 DNH458768 DXD458768 EGZ458768 EQV458768 FAR458768 FKN458768 FUJ458768 GEF458768 GOB458768 GXX458768 HHT458768 HRP458768 IBL458768 ILH458768 IVD458768 JEZ458768 JOV458768 JYR458768 KIN458768 KSJ458768 LCF458768 LMB458768 LVX458768 MFT458768 MPP458768 MZL458768 NJH458768 NTD458768 OCZ458768 OMV458768 OWR458768 PGN458768 PQJ458768 QAF458768 QKB458768 QTX458768 RDT458768 RNP458768 RXL458768 SHH458768 SRD458768 TAZ458768 TKV458768 TUR458768 UEN458768 UOJ458768 UYF458768 VIB458768 VRX458768 WBT458768 WLP458768 WVL458768 D524304 IZ524304 SV524304 ACR524304 AMN524304 AWJ524304 BGF524304 BQB524304 BZX524304 CJT524304 CTP524304 DDL524304 DNH524304 DXD524304 EGZ524304 EQV524304 FAR524304 FKN524304 FUJ524304 GEF524304 GOB524304 GXX524304 HHT524304 HRP524304 IBL524304 ILH524304 IVD524304 JEZ524304 JOV524304 JYR524304 KIN524304 KSJ524304 LCF524304 LMB524304 LVX524304 MFT524304 MPP524304 MZL524304 NJH524304 NTD524304 OCZ524304 OMV524304 OWR524304 PGN524304 PQJ524304 QAF524304 QKB524304 QTX524304 RDT524304 RNP524304 RXL524304 SHH524304 SRD524304 TAZ524304 TKV524304 TUR524304 UEN524304 UOJ524304 UYF524304 VIB524304 VRX524304 WBT524304 WLP524304 WVL524304 D589840 IZ589840 SV589840 ACR589840 AMN589840 AWJ589840 BGF589840 BQB589840 BZX589840 CJT589840 CTP589840 DDL589840 DNH589840 DXD589840 EGZ589840 EQV589840 FAR589840 FKN589840 FUJ589840 GEF589840 GOB589840 GXX589840 HHT589840 HRP589840 IBL589840 ILH589840 IVD589840 JEZ589840 JOV589840 JYR589840 KIN589840 KSJ589840 LCF589840 LMB589840 LVX589840 MFT589840 MPP589840 MZL589840 NJH589840 NTD589840 OCZ589840 OMV589840 OWR589840 PGN589840 PQJ589840 QAF589840 QKB589840 QTX589840 RDT589840 RNP589840 RXL589840 SHH589840 SRD589840 TAZ589840 TKV589840 TUR589840 UEN589840 UOJ589840 UYF589840 VIB589840 VRX589840 WBT589840 WLP589840 WVL589840 D655376 IZ655376 SV655376 ACR655376 AMN655376 AWJ655376 BGF655376 BQB655376 BZX655376 CJT655376 CTP655376 DDL655376 DNH655376 DXD655376 EGZ655376 EQV655376 FAR655376 FKN655376 FUJ655376 GEF655376 GOB655376 GXX655376 HHT655376 HRP655376 IBL655376 ILH655376 IVD655376 JEZ655376 JOV655376 JYR655376 KIN655376 KSJ655376 LCF655376 LMB655376 LVX655376 MFT655376 MPP655376 MZL655376 NJH655376 NTD655376 OCZ655376 OMV655376 OWR655376 PGN655376 PQJ655376 QAF655376 QKB655376 QTX655376 RDT655376 RNP655376 RXL655376 SHH655376 SRD655376 TAZ655376 TKV655376 TUR655376 UEN655376 UOJ655376 UYF655376 VIB655376 VRX655376 WBT655376 WLP655376 WVL655376 D720912 IZ720912 SV720912 ACR720912 AMN720912 AWJ720912 BGF720912 BQB720912 BZX720912 CJT720912 CTP720912 DDL720912 DNH720912 DXD720912 EGZ720912 EQV720912 FAR720912 FKN720912 FUJ720912 GEF720912 GOB720912 GXX720912 HHT720912 HRP720912 IBL720912 ILH720912 IVD720912 JEZ720912 JOV720912 JYR720912 KIN720912 KSJ720912 LCF720912 LMB720912 LVX720912 MFT720912 MPP720912 MZL720912 NJH720912 NTD720912 OCZ720912 OMV720912 OWR720912 PGN720912 PQJ720912 QAF720912 QKB720912 QTX720912 RDT720912 RNP720912 RXL720912 SHH720912 SRD720912 TAZ720912 TKV720912 TUR720912 UEN720912 UOJ720912 UYF720912 VIB720912 VRX720912 WBT720912 WLP720912 WVL720912 D786448 IZ786448 SV786448 ACR786448 AMN786448 AWJ786448 BGF786448 BQB786448 BZX786448 CJT786448 CTP786448 DDL786448 DNH786448 DXD786448 EGZ786448 EQV786448 FAR786448 FKN786448 FUJ786448 GEF786448 GOB786448 GXX786448 HHT786448 HRP786448 IBL786448 ILH786448 IVD786448 JEZ786448 JOV786448 JYR786448 KIN786448 KSJ786448 LCF786448 LMB786448 LVX786448 MFT786448 MPP786448 MZL786448 NJH786448 NTD786448 OCZ786448 OMV786448 OWR786448 PGN786448 PQJ786448 QAF786448 QKB786448 QTX786448 RDT786448 RNP786448 RXL786448 SHH786448 SRD786448 TAZ786448 TKV786448 TUR786448 UEN786448 UOJ786448 UYF786448 VIB786448 VRX786448 WBT786448 WLP786448 WVL786448 D851984 IZ851984 SV851984 ACR851984 AMN851984 AWJ851984 BGF851984 BQB851984 BZX851984 CJT851984 CTP851984 DDL851984 DNH851984 DXD851984 EGZ851984 EQV851984 FAR851984 FKN851984 FUJ851984 GEF851984 GOB851984 GXX851984 HHT851984 HRP851984 IBL851984 ILH851984 IVD851984 JEZ851984 JOV851984 JYR851984 KIN851984 KSJ851984 LCF851984 LMB851984 LVX851984 MFT851984 MPP851984 MZL851984 NJH851984 NTD851984 OCZ851984 OMV851984 OWR851984 PGN851984 PQJ851984 QAF851984 QKB851984 QTX851984 RDT851984 RNP851984 RXL851984 SHH851984 SRD851984 TAZ851984 TKV851984 TUR851984 UEN851984 UOJ851984 UYF851984 VIB851984 VRX851984 WBT851984 WLP851984 WVL851984 D917520 IZ917520 SV917520 ACR917520 AMN917520 AWJ917520 BGF917520 BQB917520 BZX917520 CJT917520 CTP917520 DDL917520 DNH917520 DXD917520 EGZ917520 EQV917520 FAR917520 FKN917520 FUJ917520 GEF917520 GOB917520 GXX917520 HHT917520 HRP917520 IBL917520 ILH917520 IVD917520 JEZ917520 JOV917520 JYR917520 KIN917520 KSJ917520 LCF917520 LMB917520 LVX917520 MFT917520 MPP917520 MZL917520 NJH917520 NTD917520 OCZ917520 OMV917520 OWR917520 PGN917520 PQJ917520 QAF917520 QKB917520 QTX917520 RDT917520 RNP917520 RXL917520 SHH917520 SRD917520 TAZ917520 TKV917520 TUR917520 UEN917520 UOJ917520 UYF917520 VIB917520 VRX917520 WBT917520 WLP917520 WVL917520 D983056 IZ983056 SV983056 ACR983056 AMN983056 AWJ983056 BGF983056 BQB983056 BZX983056 CJT983056 CTP983056 DDL983056 DNH983056 DXD983056 EGZ983056 EQV983056 FAR983056 FKN983056 FUJ983056 GEF983056 GOB983056 GXX983056 HHT983056 HRP983056 IBL983056 ILH983056 IVD983056 JEZ983056 JOV983056 JYR983056 KIN983056 KSJ983056 LCF983056 LMB983056 LVX983056 MFT983056 MPP983056 MZL983056 NJH983056 NTD983056 OCZ983056 OMV983056 OWR983056 PGN983056 PQJ983056 QAF983056 QKB983056 QTX983056 RDT983056 RNP983056 RXL983056 SHH983056 SRD983056 TAZ983056 TKV983056 TUR983056 UEN983056 UOJ983056 UYF983056 VIB983056 VRX983056 WBT983056 WLP983056 WVL983056">
      <formula1>"10,2.5,1,0.2"</formula1>
    </dataValidation>
    <dataValidation type="whole" operator="between" allowBlank="1" showInputMessage="1" showErrorMessage="1" errorTitle="错误提示" error="电源效率：η &#10;建议输入范围：75~85" promptTitle="电源效率" prompt="1.低电压（5V以下）输出时，建议取75%；&#10;2.中电压（5V~12V之间）输出时，建议取80%；&#10;3.高电压（12V以上）输出时，建议取85%；"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errorStyle="information">
      <formula1>75</formula1>
      <formula2>85</formula2>
    </dataValidation>
    <dataValidation showInputMessage="1" showErrorMessage="1" errorTitle="错误提示" error="超出VOR推荐范围：80~135V" promptTitle="输出反射电压VOR:" prompt="1.高功率输出，建议135V;&#10;2.高效率输出，建议100~120V;&#10;3.多输出设计，建议90~110V" sqref="C22 IY22 SU22 ACQ22 AMM22 AWI22 BGE22 BQA22 BZW22 CJS22 CTO22 DDK22 DNG22 DXC22 EGY22 EQU22 FAQ22 FKM22 FUI22 GEE22 GOA22 GXW22 HHS22 HRO22 IBK22 ILG22 IVC22 JEY22 JOU22 JYQ22 KIM22 KSI22 LCE22 LMA22 LVW22 MFS22 MPO22 MZK22 NJG22 NTC22 OCY22 OMU22 OWQ22 PGM22 PQI22 QAE22 QKA22 QTW22 RDS22 RNO22 RXK22 SHG22 SRC22 TAY22 TKU22 TUQ22 UEM22 UOI22 UYE22 VIA22 VRW22 WBS22 WLO22 WVK22 C65558 IY65558 SU65558 ACQ65558 AMM65558 AWI65558 BGE65558 BQA65558 BZW65558 CJS65558 CTO65558 DDK65558 DNG65558 DXC65558 EGY65558 EQU65558 FAQ65558 FKM65558 FUI65558 GEE65558 GOA65558 GXW65558 HHS65558 HRO65558 IBK65558 ILG65558 IVC65558 JEY65558 JOU65558 JYQ65558 KIM65558 KSI65558 LCE65558 LMA65558 LVW65558 MFS65558 MPO65558 MZK65558 NJG65558 NTC65558 OCY65558 OMU65558 OWQ65558 PGM65558 PQI65558 QAE65558 QKA65558 QTW65558 RDS65558 RNO65558 RXK65558 SHG65558 SRC65558 TAY65558 TKU65558 TUQ65558 UEM65558 UOI65558 UYE65558 VIA65558 VRW65558 WBS65558 WLO65558 WVK65558 C131094 IY131094 SU131094 ACQ131094 AMM131094 AWI131094 BGE131094 BQA131094 BZW131094 CJS131094 CTO131094 DDK131094 DNG131094 DXC131094 EGY131094 EQU131094 FAQ131094 FKM131094 FUI131094 GEE131094 GOA131094 GXW131094 HHS131094 HRO131094 IBK131094 ILG131094 IVC131094 JEY131094 JOU131094 JYQ131094 KIM131094 KSI131094 LCE131094 LMA131094 LVW131094 MFS131094 MPO131094 MZK131094 NJG131094 NTC131094 OCY131094 OMU131094 OWQ131094 PGM131094 PQI131094 QAE131094 QKA131094 QTW131094 RDS131094 RNO131094 RXK131094 SHG131094 SRC131094 TAY131094 TKU131094 TUQ131094 UEM131094 UOI131094 UYE131094 VIA131094 VRW131094 WBS131094 WLO131094 WVK131094 C196630 IY196630 SU196630 ACQ196630 AMM196630 AWI196630 BGE196630 BQA196630 BZW196630 CJS196630 CTO196630 DDK196630 DNG196630 DXC196630 EGY196630 EQU196630 FAQ196630 FKM196630 FUI196630 GEE196630 GOA196630 GXW196630 HHS196630 HRO196630 IBK196630 ILG196630 IVC196630 JEY196630 JOU196630 JYQ196630 KIM196630 KSI196630 LCE196630 LMA196630 LVW196630 MFS196630 MPO196630 MZK196630 NJG196630 NTC196630 OCY196630 OMU196630 OWQ196630 PGM196630 PQI196630 QAE196630 QKA196630 QTW196630 RDS196630 RNO196630 RXK196630 SHG196630 SRC196630 TAY196630 TKU196630 TUQ196630 UEM196630 UOI196630 UYE196630 VIA196630 VRW196630 WBS196630 WLO196630 WVK196630 C262166 IY262166 SU262166 ACQ262166 AMM262166 AWI262166 BGE262166 BQA262166 BZW262166 CJS262166 CTO262166 DDK262166 DNG262166 DXC262166 EGY262166 EQU262166 FAQ262166 FKM262166 FUI262166 GEE262166 GOA262166 GXW262166 HHS262166 HRO262166 IBK262166 ILG262166 IVC262166 JEY262166 JOU262166 JYQ262166 KIM262166 KSI262166 LCE262166 LMA262166 LVW262166 MFS262166 MPO262166 MZK262166 NJG262166 NTC262166 OCY262166 OMU262166 OWQ262166 PGM262166 PQI262166 QAE262166 QKA262166 QTW262166 RDS262166 RNO262166 RXK262166 SHG262166 SRC262166 TAY262166 TKU262166 TUQ262166 UEM262166 UOI262166 UYE262166 VIA262166 VRW262166 WBS262166 WLO262166 WVK262166 C327702 IY327702 SU327702 ACQ327702 AMM327702 AWI327702 BGE327702 BQA327702 BZW327702 CJS327702 CTO327702 DDK327702 DNG327702 DXC327702 EGY327702 EQU327702 FAQ327702 FKM327702 FUI327702 GEE327702 GOA327702 GXW327702 HHS327702 HRO327702 IBK327702 ILG327702 IVC327702 JEY327702 JOU327702 JYQ327702 KIM327702 KSI327702 LCE327702 LMA327702 LVW327702 MFS327702 MPO327702 MZK327702 NJG327702 NTC327702 OCY327702 OMU327702 OWQ327702 PGM327702 PQI327702 QAE327702 QKA327702 QTW327702 RDS327702 RNO327702 RXK327702 SHG327702 SRC327702 TAY327702 TKU327702 TUQ327702 UEM327702 UOI327702 UYE327702 VIA327702 VRW327702 WBS327702 WLO327702 WVK327702 C393238 IY393238 SU393238 ACQ393238 AMM393238 AWI393238 BGE393238 BQA393238 BZW393238 CJS393238 CTO393238 DDK393238 DNG393238 DXC393238 EGY393238 EQU393238 FAQ393238 FKM393238 FUI393238 GEE393238 GOA393238 GXW393238 HHS393238 HRO393238 IBK393238 ILG393238 IVC393238 JEY393238 JOU393238 JYQ393238 KIM393238 KSI393238 LCE393238 LMA393238 LVW393238 MFS393238 MPO393238 MZK393238 NJG393238 NTC393238 OCY393238 OMU393238 OWQ393238 PGM393238 PQI393238 QAE393238 QKA393238 QTW393238 RDS393238 RNO393238 RXK393238 SHG393238 SRC393238 TAY393238 TKU393238 TUQ393238 UEM393238 UOI393238 UYE393238 VIA393238 VRW393238 WBS393238 WLO393238 WVK393238 C458774 IY458774 SU458774 ACQ458774 AMM458774 AWI458774 BGE458774 BQA458774 BZW458774 CJS458774 CTO458774 DDK458774 DNG458774 DXC458774 EGY458774 EQU458774 FAQ458774 FKM458774 FUI458774 GEE458774 GOA458774 GXW458774 HHS458774 HRO458774 IBK458774 ILG458774 IVC458774 JEY458774 JOU458774 JYQ458774 KIM458774 KSI458774 LCE458774 LMA458774 LVW458774 MFS458774 MPO458774 MZK458774 NJG458774 NTC458774 OCY458774 OMU458774 OWQ458774 PGM458774 PQI458774 QAE458774 QKA458774 QTW458774 RDS458774 RNO458774 RXK458774 SHG458774 SRC458774 TAY458774 TKU458774 TUQ458774 UEM458774 UOI458774 UYE458774 VIA458774 VRW458774 WBS458774 WLO458774 WVK458774 C524310 IY524310 SU524310 ACQ524310 AMM524310 AWI524310 BGE524310 BQA524310 BZW524310 CJS524310 CTO524310 DDK524310 DNG524310 DXC524310 EGY524310 EQU524310 FAQ524310 FKM524310 FUI524310 GEE524310 GOA524310 GXW524310 HHS524310 HRO524310 IBK524310 ILG524310 IVC524310 JEY524310 JOU524310 JYQ524310 KIM524310 KSI524310 LCE524310 LMA524310 LVW524310 MFS524310 MPO524310 MZK524310 NJG524310 NTC524310 OCY524310 OMU524310 OWQ524310 PGM524310 PQI524310 QAE524310 QKA524310 QTW524310 RDS524310 RNO524310 RXK524310 SHG524310 SRC524310 TAY524310 TKU524310 TUQ524310 UEM524310 UOI524310 UYE524310 VIA524310 VRW524310 WBS524310 WLO524310 WVK524310 C589846 IY589846 SU589846 ACQ589846 AMM589846 AWI589846 BGE589846 BQA589846 BZW589846 CJS589846 CTO589846 DDK589846 DNG589846 DXC589846 EGY589846 EQU589846 FAQ589846 FKM589846 FUI589846 GEE589846 GOA589846 GXW589846 HHS589846 HRO589846 IBK589846 ILG589846 IVC589846 JEY589846 JOU589846 JYQ589846 KIM589846 KSI589846 LCE589846 LMA589846 LVW589846 MFS589846 MPO589846 MZK589846 NJG589846 NTC589846 OCY589846 OMU589846 OWQ589846 PGM589846 PQI589846 QAE589846 QKA589846 QTW589846 RDS589846 RNO589846 RXK589846 SHG589846 SRC589846 TAY589846 TKU589846 TUQ589846 UEM589846 UOI589846 UYE589846 VIA589846 VRW589846 WBS589846 WLO589846 WVK589846 C655382 IY655382 SU655382 ACQ655382 AMM655382 AWI655382 BGE655382 BQA655382 BZW655382 CJS655382 CTO655382 DDK655382 DNG655382 DXC655382 EGY655382 EQU655382 FAQ655382 FKM655382 FUI655382 GEE655382 GOA655382 GXW655382 HHS655382 HRO655382 IBK655382 ILG655382 IVC655382 JEY655382 JOU655382 JYQ655382 KIM655382 KSI655382 LCE655382 LMA655382 LVW655382 MFS655382 MPO655382 MZK655382 NJG655382 NTC655382 OCY655382 OMU655382 OWQ655382 PGM655382 PQI655382 QAE655382 QKA655382 QTW655382 RDS655382 RNO655382 RXK655382 SHG655382 SRC655382 TAY655382 TKU655382 TUQ655382 UEM655382 UOI655382 UYE655382 VIA655382 VRW655382 WBS655382 WLO655382 WVK655382 C720918 IY720918 SU720918 ACQ720918 AMM720918 AWI720918 BGE720918 BQA720918 BZW720918 CJS720918 CTO720918 DDK720918 DNG720918 DXC720918 EGY720918 EQU720918 FAQ720918 FKM720918 FUI720918 GEE720918 GOA720918 GXW720918 HHS720918 HRO720918 IBK720918 ILG720918 IVC720918 JEY720918 JOU720918 JYQ720918 KIM720918 KSI720918 LCE720918 LMA720918 LVW720918 MFS720918 MPO720918 MZK720918 NJG720918 NTC720918 OCY720918 OMU720918 OWQ720918 PGM720918 PQI720918 QAE720918 QKA720918 QTW720918 RDS720918 RNO720918 RXK720918 SHG720918 SRC720918 TAY720918 TKU720918 TUQ720918 UEM720918 UOI720918 UYE720918 VIA720918 VRW720918 WBS720918 WLO720918 WVK720918 C786454 IY786454 SU786454 ACQ786454 AMM786454 AWI786454 BGE786454 BQA786454 BZW786454 CJS786454 CTO786454 DDK786454 DNG786454 DXC786454 EGY786454 EQU786454 FAQ786454 FKM786454 FUI786454 GEE786454 GOA786454 GXW786454 HHS786454 HRO786454 IBK786454 ILG786454 IVC786454 JEY786454 JOU786454 JYQ786454 KIM786454 KSI786454 LCE786454 LMA786454 LVW786454 MFS786454 MPO786454 MZK786454 NJG786454 NTC786454 OCY786454 OMU786454 OWQ786454 PGM786454 PQI786454 QAE786454 QKA786454 QTW786454 RDS786454 RNO786454 RXK786454 SHG786454 SRC786454 TAY786454 TKU786454 TUQ786454 UEM786454 UOI786454 UYE786454 VIA786454 VRW786454 WBS786454 WLO786454 WVK786454 C851990 IY851990 SU851990 ACQ851990 AMM851990 AWI851990 BGE851990 BQA851990 BZW851990 CJS851990 CTO851990 DDK851990 DNG851990 DXC851990 EGY851990 EQU851990 FAQ851990 FKM851990 FUI851990 GEE851990 GOA851990 GXW851990 HHS851990 HRO851990 IBK851990 ILG851990 IVC851990 JEY851990 JOU851990 JYQ851990 KIM851990 KSI851990 LCE851990 LMA851990 LVW851990 MFS851990 MPO851990 MZK851990 NJG851990 NTC851990 OCY851990 OMU851990 OWQ851990 PGM851990 PQI851990 QAE851990 QKA851990 QTW851990 RDS851990 RNO851990 RXK851990 SHG851990 SRC851990 TAY851990 TKU851990 TUQ851990 UEM851990 UOI851990 UYE851990 VIA851990 VRW851990 WBS851990 WLO851990 WVK851990 C917526 IY917526 SU917526 ACQ917526 AMM917526 AWI917526 BGE917526 BQA917526 BZW917526 CJS917526 CTO917526 DDK917526 DNG917526 DXC917526 EGY917526 EQU917526 FAQ917526 FKM917526 FUI917526 GEE917526 GOA917526 GXW917526 HHS917526 HRO917526 IBK917526 ILG917526 IVC917526 JEY917526 JOU917526 JYQ917526 KIM917526 KSI917526 LCE917526 LMA917526 LVW917526 MFS917526 MPO917526 MZK917526 NJG917526 NTC917526 OCY917526 OMU917526 OWQ917526 PGM917526 PQI917526 QAE917526 QKA917526 QTW917526 RDS917526 RNO917526 RXK917526 SHG917526 SRC917526 TAY917526 TKU917526 TUQ917526 UEM917526 UOI917526 UYE917526 VIA917526 VRW917526 WBS917526 WLO917526 WVK917526 C983062 IY983062 SU983062 ACQ983062 AMM983062 AWI983062 BGE983062 BQA983062 BZW983062 CJS983062 CTO983062 DDK983062 DNG983062 DXC983062 EGY983062 EQU983062 FAQ983062 FKM983062 FUI983062 GEE983062 GOA983062 GXW983062 HHS983062 HRO983062 IBK983062 ILG983062 IVC983062 JEY983062 JOU983062 JYQ983062 KIM983062 KSI983062 LCE983062 LMA983062 LVW983062 MFS983062 MPO983062 MZK983062 NJG983062 NTC983062 OCY983062 OMU983062 OWQ983062 PGM983062 PQI983062 QAE983062 QKA983062 QTW983062 RDS983062 RNO983062 RXK983062 SHG983062 SRC983062 TAY983062 TKU983062 TUQ983062 UEM983062 UOI983062 UYE983062 VIA983062 VRW983062 WBS983062 WLO983062 WVK983062" errorStyle="warning"/>
    <dataValidation allowBlank="1" showInputMessage="1" showErrorMessage="1" promptTitle="电流脉动系数KP" prompt="CCM模式：&#10;宽电压输入:KRP取0.4~1&#10;窄电压输入:KRP取0.6~1&#10;DCM模式：&#10;KP=1;" sqref="C23 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C65559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C131095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C196631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C262167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C327703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C393239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C458775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C524311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C589847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C655383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C720919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C786455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C851991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C917527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C983063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WVK983063"/>
    <dataValidation type="decimal" operator="between" allowBlank="1" showInputMessage="1" showErrorMessage="1" errorTitle="错误提示" error="Ap值超出“磁芯参数对照表”范围" sqref="C75 IY75 SU75 ACQ75 AMM75 AWI75 BGE75 BQA75 BZW75 CJS75 CTO75 DDK75 DNG75 DXC75 EGY75 EQU75 FAQ75 FKM75 FUI75 GEE75 GOA75 GXW75 HHS75 HRO75 IBK75 ILG75 IVC75 JEY75 JOU75 JYQ75 KIM75 KSI75 LCE75 LMA75 LVW75 MFS75 MPO75 MZK75 NJG75 NTC75 OCY75 OMU75 OWQ75 PGM75 PQI75 QAE75 QKA75 QTW75 RDS75 RNO75 RXK75 SHG75 SRC75 TAY75 TKU75 TUQ75 UEM75 UOI75 UYE75 VIA75 VRW75 WBS75 WLO75 WVK75 C65611 IY65611 SU65611 ACQ65611 AMM65611 AWI65611 BGE65611 BQA65611 BZW65611 CJS65611 CTO65611 DDK65611 DNG65611 DXC65611 EGY65611 EQU65611 FAQ65611 FKM65611 FUI65611 GEE65611 GOA65611 GXW65611 HHS65611 HRO65611 IBK65611 ILG65611 IVC65611 JEY65611 JOU65611 JYQ65611 KIM65611 KSI65611 LCE65611 LMA65611 LVW65611 MFS65611 MPO65611 MZK65611 NJG65611 NTC65611 OCY65611 OMU65611 OWQ65611 PGM65611 PQI65611 QAE65611 QKA65611 QTW65611 RDS65611 RNO65611 RXK65611 SHG65611 SRC65611 TAY65611 TKU65611 TUQ65611 UEM65611 UOI65611 UYE65611 VIA65611 VRW65611 WBS65611 WLO65611 WVK65611 C131147 IY131147 SU131147 ACQ131147 AMM131147 AWI131147 BGE131147 BQA131147 BZW131147 CJS131147 CTO131147 DDK131147 DNG131147 DXC131147 EGY131147 EQU131147 FAQ131147 FKM131147 FUI131147 GEE131147 GOA131147 GXW131147 HHS131147 HRO131147 IBK131147 ILG131147 IVC131147 JEY131147 JOU131147 JYQ131147 KIM131147 KSI131147 LCE131147 LMA131147 LVW131147 MFS131147 MPO131147 MZK131147 NJG131147 NTC131147 OCY131147 OMU131147 OWQ131147 PGM131147 PQI131147 QAE131147 QKA131147 QTW131147 RDS131147 RNO131147 RXK131147 SHG131147 SRC131147 TAY131147 TKU131147 TUQ131147 UEM131147 UOI131147 UYE131147 VIA131147 VRW131147 WBS131147 WLO131147 WVK131147 C196683 IY196683 SU196683 ACQ196683 AMM196683 AWI196683 BGE196683 BQA196683 BZW196683 CJS196683 CTO196683 DDK196683 DNG196683 DXC196683 EGY196683 EQU196683 FAQ196683 FKM196683 FUI196683 GEE196683 GOA196683 GXW196683 HHS196683 HRO196683 IBK196683 ILG196683 IVC196683 JEY196683 JOU196683 JYQ196683 KIM196683 KSI196683 LCE196683 LMA196683 LVW196683 MFS196683 MPO196683 MZK196683 NJG196683 NTC196683 OCY196683 OMU196683 OWQ196683 PGM196683 PQI196683 QAE196683 QKA196683 QTW196683 RDS196683 RNO196683 RXK196683 SHG196683 SRC196683 TAY196683 TKU196683 TUQ196683 UEM196683 UOI196683 UYE196683 VIA196683 VRW196683 WBS196683 WLO196683 WVK196683 C262219 IY262219 SU262219 ACQ262219 AMM262219 AWI262219 BGE262219 BQA262219 BZW262219 CJS262219 CTO262219 DDK262219 DNG262219 DXC262219 EGY262219 EQU262219 FAQ262219 FKM262219 FUI262219 GEE262219 GOA262219 GXW262219 HHS262219 HRO262219 IBK262219 ILG262219 IVC262219 JEY262219 JOU262219 JYQ262219 KIM262219 KSI262219 LCE262219 LMA262219 LVW262219 MFS262219 MPO262219 MZK262219 NJG262219 NTC262219 OCY262219 OMU262219 OWQ262219 PGM262219 PQI262219 QAE262219 QKA262219 QTW262219 RDS262219 RNO262219 RXK262219 SHG262219 SRC262219 TAY262219 TKU262219 TUQ262219 UEM262219 UOI262219 UYE262219 VIA262219 VRW262219 WBS262219 WLO262219 WVK262219 C327755 IY327755 SU327755 ACQ327755 AMM327755 AWI327755 BGE327755 BQA327755 BZW327755 CJS327755 CTO327755 DDK327755 DNG327755 DXC327755 EGY327755 EQU327755 FAQ327755 FKM327755 FUI327755 GEE327755 GOA327755 GXW327755 HHS327755 HRO327755 IBK327755 ILG327755 IVC327755 JEY327755 JOU327755 JYQ327755 KIM327755 KSI327755 LCE327755 LMA327755 LVW327755 MFS327755 MPO327755 MZK327755 NJG327755 NTC327755 OCY327755 OMU327755 OWQ327755 PGM327755 PQI327755 QAE327755 QKA327755 QTW327755 RDS327755 RNO327755 RXK327755 SHG327755 SRC327755 TAY327755 TKU327755 TUQ327755 UEM327755 UOI327755 UYE327755 VIA327755 VRW327755 WBS327755 WLO327755 WVK327755 C393291 IY393291 SU393291 ACQ393291 AMM393291 AWI393291 BGE393291 BQA393291 BZW393291 CJS393291 CTO393291 DDK393291 DNG393291 DXC393291 EGY393291 EQU393291 FAQ393291 FKM393291 FUI393291 GEE393291 GOA393291 GXW393291 HHS393291 HRO393291 IBK393291 ILG393291 IVC393291 JEY393291 JOU393291 JYQ393291 KIM393291 KSI393291 LCE393291 LMA393291 LVW393291 MFS393291 MPO393291 MZK393291 NJG393291 NTC393291 OCY393291 OMU393291 OWQ393291 PGM393291 PQI393291 QAE393291 QKA393291 QTW393291 RDS393291 RNO393291 RXK393291 SHG393291 SRC393291 TAY393291 TKU393291 TUQ393291 UEM393291 UOI393291 UYE393291 VIA393291 VRW393291 WBS393291 WLO393291 WVK393291 C458827 IY458827 SU458827 ACQ458827 AMM458827 AWI458827 BGE458827 BQA458827 BZW458827 CJS458827 CTO458827 DDK458827 DNG458827 DXC458827 EGY458827 EQU458827 FAQ458827 FKM458827 FUI458827 GEE458827 GOA458827 GXW458827 HHS458827 HRO458827 IBK458827 ILG458827 IVC458827 JEY458827 JOU458827 JYQ458827 KIM458827 KSI458827 LCE458827 LMA458827 LVW458827 MFS458827 MPO458827 MZK458827 NJG458827 NTC458827 OCY458827 OMU458827 OWQ458827 PGM458827 PQI458827 QAE458827 QKA458827 QTW458827 RDS458827 RNO458827 RXK458827 SHG458827 SRC458827 TAY458827 TKU458827 TUQ458827 UEM458827 UOI458827 UYE458827 VIA458827 VRW458827 WBS458827 WLO458827 WVK458827 C524363 IY524363 SU524363 ACQ524363 AMM524363 AWI524363 BGE524363 BQA524363 BZW524363 CJS524363 CTO524363 DDK524363 DNG524363 DXC524363 EGY524363 EQU524363 FAQ524363 FKM524363 FUI524363 GEE524363 GOA524363 GXW524363 HHS524363 HRO524363 IBK524363 ILG524363 IVC524363 JEY524363 JOU524363 JYQ524363 KIM524363 KSI524363 LCE524363 LMA524363 LVW524363 MFS524363 MPO524363 MZK524363 NJG524363 NTC524363 OCY524363 OMU524363 OWQ524363 PGM524363 PQI524363 QAE524363 QKA524363 QTW524363 RDS524363 RNO524363 RXK524363 SHG524363 SRC524363 TAY524363 TKU524363 TUQ524363 UEM524363 UOI524363 UYE524363 VIA524363 VRW524363 WBS524363 WLO524363 WVK524363 C589899 IY589899 SU589899 ACQ589899 AMM589899 AWI589899 BGE589899 BQA589899 BZW589899 CJS589899 CTO589899 DDK589899 DNG589899 DXC589899 EGY589899 EQU589899 FAQ589899 FKM589899 FUI589899 GEE589899 GOA589899 GXW589899 HHS589899 HRO589899 IBK589899 ILG589899 IVC589899 JEY589899 JOU589899 JYQ589899 KIM589899 KSI589899 LCE589899 LMA589899 LVW589899 MFS589899 MPO589899 MZK589899 NJG589899 NTC589899 OCY589899 OMU589899 OWQ589899 PGM589899 PQI589899 QAE589899 QKA589899 QTW589899 RDS589899 RNO589899 RXK589899 SHG589899 SRC589899 TAY589899 TKU589899 TUQ589899 UEM589899 UOI589899 UYE589899 VIA589899 VRW589899 WBS589899 WLO589899 WVK589899 C655435 IY655435 SU655435 ACQ655435 AMM655435 AWI655435 BGE655435 BQA655435 BZW655435 CJS655435 CTO655435 DDK655435 DNG655435 DXC655435 EGY655435 EQU655435 FAQ655435 FKM655435 FUI655435 GEE655435 GOA655435 GXW655435 HHS655435 HRO655435 IBK655435 ILG655435 IVC655435 JEY655435 JOU655435 JYQ655435 KIM655435 KSI655435 LCE655435 LMA655435 LVW655435 MFS655435 MPO655435 MZK655435 NJG655435 NTC655435 OCY655435 OMU655435 OWQ655435 PGM655435 PQI655435 QAE655435 QKA655435 QTW655435 RDS655435 RNO655435 RXK655435 SHG655435 SRC655435 TAY655435 TKU655435 TUQ655435 UEM655435 UOI655435 UYE655435 VIA655435 VRW655435 WBS655435 WLO655435 WVK655435 C720971 IY720971 SU720971 ACQ720971 AMM720971 AWI720971 BGE720971 BQA720971 BZW720971 CJS720971 CTO720971 DDK720971 DNG720971 DXC720971 EGY720971 EQU720971 FAQ720971 FKM720971 FUI720971 GEE720971 GOA720971 GXW720971 HHS720971 HRO720971 IBK720971 ILG720971 IVC720971 JEY720971 JOU720971 JYQ720971 KIM720971 KSI720971 LCE720971 LMA720971 LVW720971 MFS720971 MPO720971 MZK720971 NJG720971 NTC720971 OCY720971 OMU720971 OWQ720971 PGM720971 PQI720971 QAE720971 QKA720971 QTW720971 RDS720971 RNO720971 RXK720971 SHG720971 SRC720971 TAY720971 TKU720971 TUQ720971 UEM720971 UOI720971 UYE720971 VIA720971 VRW720971 WBS720971 WLO720971 WVK720971 C786507 IY786507 SU786507 ACQ786507 AMM786507 AWI786507 BGE786507 BQA786507 BZW786507 CJS786507 CTO786507 DDK786507 DNG786507 DXC786507 EGY786507 EQU786507 FAQ786507 FKM786507 FUI786507 GEE786507 GOA786507 GXW786507 HHS786507 HRO786507 IBK786507 ILG786507 IVC786507 JEY786507 JOU786507 JYQ786507 KIM786507 KSI786507 LCE786507 LMA786507 LVW786507 MFS786507 MPO786507 MZK786507 NJG786507 NTC786507 OCY786507 OMU786507 OWQ786507 PGM786507 PQI786507 QAE786507 QKA786507 QTW786507 RDS786507 RNO786507 RXK786507 SHG786507 SRC786507 TAY786507 TKU786507 TUQ786507 UEM786507 UOI786507 UYE786507 VIA786507 VRW786507 WBS786507 WLO786507 WVK786507 C852043 IY852043 SU852043 ACQ852043 AMM852043 AWI852043 BGE852043 BQA852043 BZW852043 CJS852043 CTO852043 DDK852043 DNG852043 DXC852043 EGY852043 EQU852043 FAQ852043 FKM852043 FUI852043 GEE852043 GOA852043 GXW852043 HHS852043 HRO852043 IBK852043 ILG852043 IVC852043 JEY852043 JOU852043 JYQ852043 KIM852043 KSI852043 LCE852043 LMA852043 LVW852043 MFS852043 MPO852043 MZK852043 NJG852043 NTC852043 OCY852043 OMU852043 OWQ852043 PGM852043 PQI852043 QAE852043 QKA852043 QTW852043 RDS852043 RNO852043 RXK852043 SHG852043 SRC852043 TAY852043 TKU852043 TUQ852043 UEM852043 UOI852043 UYE852043 VIA852043 VRW852043 WBS852043 WLO852043 WVK852043 C917579 IY917579 SU917579 ACQ917579 AMM917579 AWI917579 BGE917579 BQA917579 BZW917579 CJS917579 CTO917579 DDK917579 DNG917579 DXC917579 EGY917579 EQU917579 FAQ917579 FKM917579 FUI917579 GEE917579 GOA917579 GXW917579 HHS917579 HRO917579 IBK917579 ILG917579 IVC917579 JEY917579 JOU917579 JYQ917579 KIM917579 KSI917579 LCE917579 LMA917579 LVW917579 MFS917579 MPO917579 MZK917579 NJG917579 NTC917579 OCY917579 OMU917579 OWQ917579 PGM917579 PQI917579 QAE917579 QKA917579 QTW917579 RDS917579 RNO917579 RXK917579 SHG917579 SRC917579 TAY917579 TKU917579 TUQ917579 UEM917579 UOI917579 UYE917579 VIA917579 VRW917579 WBS917579 WLO917579 WVK917579 C983115 IY983115 SU983115 ACQ983115 AMM983115 AWI983115 BGE983115 BQA983115 BZW983115 CJS983115 CTO983115 DDK983115 DNG983115 DXC983115 EGY983115 EQU983115 FAQ983115 FKM983115 FUI983115 GEE983115 GOA983115 GXW983115 HHS983115 HRO983115 IBK983115 ILG983115 IVC983115 JEY983115 JOU983115 JYQ983115 KIM983115 KSI983115 LCE983115 LMA983115 LVW983115 MFS983115 MPO983115 MZK983115 NJG983115 NTC983115 OCY983115 OMU983115 OWQ983115 PGM983115 PQI983115 QAE983115 QKA983115 QTW983115 RDS983115 RNO983115 RXK983115 SHG983115 SRC983115 TAY983115 TKU983115 TUQ983115 UEM983115 UOI983115 UYE983115 VIA983115 VRW983115 WBS983115 WLO983115 WVK983115">
      <formula1>0.0013</formula1>
      <formula2>38</formula2>
    </dataValidation>
    <dataValidation allowBlank="1" showInputMessage="1" showErrorMessage="1" prompt="没有特殊要求时建议选择输出电压*1%" sqref="D160:G160 IZ160:JC160 SV160:SY160 ACR160:ACU160 AMN160:AMQ160 AWJ160:AWM160 BGF160:BGI160 BQB160:BQE160 BZX160:CAA160 CJT160:CJW160 CTP160:CTS160 DDL160:DDO160 DNH160:DNK160 DXD160:DXG160 EGZ160:EHC160 EQV160:EQY160 FAR160:FAU160 FKN160:FKQ160 FUJ160:FUM160 GEF160:GEI160 GOB160:GOE160 GXX160:GYA160 HHT160:HHW160 HRP160:HRS160 IBL160:IBO160 ILH160:ILK160 IVD160:IVG160 JEZ160:JFC160 JOV160:JOY160 JYR160:JYU160 KIN160:KIQ160 KSJ160:KSM160 LCF160:LCI160 LMB160:LME160 LVX160:LWA160 MFT160:MFW160 MPP160:MPS160 MZL160:MZO160 NJH160:NJK160 NTD160:NTG160 OCZ160:ODC160 OMV160:OMY160 OWR160:OWU160 PGN160:PGQ160 PQJ160:PQM160 QAF160:QAI160 QKB160:QKE160 QTX160:QUA160 RDT160:RDW160 RNP160:RNS160 RXL160:RXO160 SHH160:SHK160 SRD160:SRG160 TAZ160:TBC160 TKV160:TKY160 TUR160:TUU160 UEN160:UEQ160 UOJ160:UOM160 UYF160:UYI160 VIB160:VIE160 VRX160:VSA160 WBT160:WBW160 WLP160:WLS160 WVL160:WVO160 D65696:G65696 IZ65696:JC65696 SV65696:SY65696 ACR65696:ACU65696 AMN65696:AMQ65696 AWJ65696:AWM65696 BGF65696:BGI65696 BQB65696:BQE65696 BZX65696:CAA65696 CJT65696:CJW65696 CTP65696:CTS65696 DDL65696:DDO65696 DNH65696:DNK65696 DXD65696:DXG65696 EGZ65696:EHC65696 EQV65696:EQY65696 FAR65696:FAU65696 FKN65696:FKQ65696 FUJ65696:FUM65696 GEF65696:GEI65696 GOB65696:GOE65696 GXX65696:GYA65696 HHT65696:HHW65696 HRP65696:HRS65696 IBL65696:IBO65696 ILH65696:ILK65696 IVD65696:IVG65696 JEZ65696:JFC65696 JOV65696:JOY65696 JYR65696:JYU65696 KIN65696:KIQ65696 KSJ65696:KSM65696 LCF65696:LCI65696 LMB65696:LME65696 LVX65696:LWA65696 MFT65696:MFW65696 MPP65696:MPS65696 MZL65696:MZO65696 NJH65696:NJK65696 NTD65696:NTG65696 OCZ65696:ODC65696 OMV65696:OMY65696 OWR65696:OWU65696 PGN65696:PGQ65696 PQJ65696:PQM65696 QAF65696:QAI65696 QKB65696:QKE65696 QTX65696:QUA65696 RDT65696:RDW65696 RNP65696:RNS65696 RXL65696:RXO65696 SHH65696:SHK65696 SRD65696:SRG65696 TAZ65696:TBC65696 TKV65696:TKY65696 TUR65696:TUU65696 UEN65696:UEQ65696 UOJ65696:UOM65696 UYF65696:UYI65696 VIB65696:VIE65696 VRX65696:VSA65696 WBT65696:WBW65696 WLP65696:WLS65696 WVL65696:WVO65696 D131232:G131232 IZ131232:JC131232 SV131232:SY131232 ACR131232:ACU131232 AMN131232:AMQ131232 AWJ131232:AWM131232 BGF131232:BGI131232 BQB131232:BQE131232 BZX131232:CAA131232 CJT131232:CJW131232 CTP131232:CTS131232 DDL131232:DDO131232 DNH131232:DNK131232 DXD131232:DXG131232 EGZ131232:EHC131232 EQV131232:EQY131232 FAR131232:FAU131232 FKN131232:FKQ131232 FUJ131232:FUM131232 GEF131232:GEI131232 GOB131232:GOE131232 GXX131232:GYA131232 HHT131232:HHW131232 HRP131232:HRS131232 IBL131232:IBO131232 ILH131232:ILK131232 IVD131232:IVG131232 JEZ131232:JFC131232 JOV131232:JOY131232 JYR131232:JYU131232 KIN131232:KIQ131232 KSJ131232:KSM131232 LCF131232:LCI131232 LMB131232:LME131232 LVX131232:LWA131232 MFT131232:MFW131232 MPP131232:MPS131232 MZL131232:MZO131232 NJH131232:NJK131232 NTD131232:NTG131232 OCZ131232:ODC131232 OMV131232:OMY131232 OWR131232:OWU131232 PGN131232:PGQ131232 PQJ131232:PQM131232 QAF131232:QAI131232 QKB131232:QKE131232 QTX131232:QUA131232 RDT131232:RDW131232 RNP131232:RNS131232 RXL131232:RXO131232 SHH131232:SHK131232 SRD131232:SRG131232 TAZ131232:TBC131232 TKV131232:TKY131232 TUR131232:TUU131232 UEN131232:UEQ131232 UOJ131232:UOM131232 UYF131232:UYI131232 VIB131232:VIE131232 VRX131232:VSA131232 WBT131232:WBW131232 WLP131232:WLS131232 WVL131232:WVO131232 D196768:G196768 IZ196768:JC196768 SV196768:SY196768 ACR196768:ACU196768 AMN196768:AMQ196768 AWJ196768:AWM196768 BGF196768:BGI196768 BQB196768:BQE196768 BZX196768:CAA196768 CJT196768:CJW196768 CTP196768:CTS196768 DDL196768:DDO196768 DNH196768:DNK196768 DXD196768:DXG196768 EGZ196768:EHC196768 EQV196768:EQY196768 FAR196768:FAU196768 FKN196768:FKQ196768 FUJ196768:FUM196768 GEF196768:GEI196768 GOB196768:GOE196768 GXX196768:GYA196768 HHT196768:HHW196768 HRP196768:HRS196768 IBL196768:IBO196768 ILH196768:ILK196768 IVD196768:IVG196768 JEZ196768:JFC196768 JOV196768:JOY196768 JYR196768:JYU196768 KIN196768:KIQ196768 KSJ196768:KSM196768 LCF196768:LCI196768 LMB196768:LME196768 LVX196768:LWA196768 MFT196768:MFW196768 MPP196768:MPS196768 MZL196768:MZO196768 NJH196768:NJK196768 NTD196768:NTG196768 OCZ196768:ODC196768 OMV196768:OMY196768 OWR196768:OWU196768 PGN196768:PGQ196768 PQJ196768:PQM196768 QAF196768:QAI196768 QKB196768:QKE196768 QTX196768:QUA196768 RDT196768:RDW196768 RNP196768:RNS196768 RXL196768:RXO196768 SHH196768:SHK196768 SRD196768:SRG196768 TAZ196768:TBC196768 TKV196768:TKY196768 TUR196768:TUU196768 UEN196768:UEQ196768 UOJ196768:UOM196768 UYF196768:UYI196768 VIB196768:VIE196768 VRX196768:VSA196768 WBT196768:WBW196768 WLP196768:WLS196768 WVL196768:WVO196768 D262304:G262304 IZ262304:JC262304 SV262304:SY262304 ACR262304:ACU262304 AMN262304:AMQ262304 AWJ262304:AWM262304 BGF262304:BGI262304 BQB262304:BQE262304 BZX262304:CAA262304 CJT262304:CJW262304 CTP262304:CTS262304 DDL262304:DDO262304 DNH262304:DNK262304 DXD262304:DXG262304 EGZ262304:EHC262304 EQV262304:EQY262304 FAR262304:FAU262304 FKN262304:FKQ262304 FUJ262304:FUM262304 GEF262304:GEI262304 GOB262304:GOE262304 GXX262304:GYA262304 HHT262304:HHW262304 HRP262304:HRS262304 IBL262304:IBO262304 ILH262304:ILK262304 IVD262304:IVG262304 JEZ262304:JFC262304 JOV262304:JOY262304 JYR262304:JYU262304 KIN262304:KIQ262304 KSJ262304:KSM262304 LCF262304:LCI262304 LMB262304:LME262304 LVX262304:LWA262304 MFT262304:MFW262304 MPP262304:MPS262304 MZL262304:MZO262304 NJH262304:NJK262304 NTD262304:NTG262304 OCZ262304:ODC262304 OMV262304:OMY262304 OWR262304:OWU262304 PGN262304:PGQ262304 PQJ262304:PQM262304 QAF262304:QAI262304 QKB262304:QKE262304 QTX262304:QUA262304 RDT262304:RDW262304 RNP262304:RNS262304 RXL262304:RXO262304 SHH262304:SHK262304 SRD262304:SRG262304 TAZ262304:TBC262304 TKV262304:TKY262304 TUR262304:TUU262304 UEN262304:UEQ262304 UOJ262304:UOM262304 UYF262304:UYI262304 VIB262304:VIE262304 VRX262304:VSA262304 WBT262304:WBW262304 WLP262304:WLS262304 WVL262304:WVO262304 D327840:G327840 IZ327840:JC327840 SV327840:SY327840 ACR327840:ACU327840 AMN327840:AMQ327840 AWJ327840:AWM327840 BGF327840:BGI327840 BQB327840:BQE327840 BZX327840:CAA327840 CJT327840:CJW327840 CTP327840:CTS327840 DDL327840:DDO327840 DNH327840:DNK327840 DXD327840:DXG327840 EGZ327840:EHC327840 EQV327840:EQY327840 FAR327840:FAU327840 FKN327840:FKQ327840 FUJ327840:FUM327840 GEF327840:GEI327840 GOB327840:GOE327840 GXX327840:GYA327840 HHT327840:HHW327840 HRP327840:HRS327840 IBL327840:IBO327840 ILH327840:ILK327840 IVD327840:IVG327840 JEZ327840:JFC327840 JOV327840:JOY327840 JYR327840:JYU327840 KIN327840:KIQ327840 KSJ327840:KSM327840 LCF327840:LCI327840 LMB327840:LME327840 LVX327840:LWA327840 MFT327840:MFW327840 MPP327840:MPS327840 MZL327840:MZO327840 NJH327840:NJK327840 NTD327840:NTG327840 OCZ327840:ODC327840 OMV327840:OMY327840 OWR327840:OWU327840 PGN327840:PGQ327840 PQJ327840:PQM327840 QAF327840:QAI327840 QKB327840:QKE327840 QTX327840:QUA327840 RDT327840:RDW327840 RNP327840:RNS327840 RXL327840:RXO327840 SHH327840:SHK327840 SRD327840:SRG327840 TAZ327840:TBC327840 TKV327840:TKY327840 TUR327840:TUU327840 UEN327840:UEQ327840 UOJ327840:UOM327840 UYF327840:UYI327840 VIB327840:VIE327840 VRX327840:VSA327840 WBT327840:WBW327840 WLP327840:WLS327840 WVL327840:WVO327840 D393376:G393376 IZ393376:JC393376 SV393376:SY393376 ACR393376:ACU393376 AMN393376:AMQ393376 AWJ393376:AWM393376 BGF393376:BGI393376 BQB393376:BQE393376 BZX393376:CAA393376 CJT393376:CJW393376 CTP393376:CTS393376 DDL393376:DDO393376 DNH393376:DNK393376 DXD393376:DXG393376 EGZ393376:EHC393376 EQV393376:EQY393376 FAR393376:FAU393376 FKN393376:FKQ393376 FUJ393376:FUM393376 GEF393376:GEI393376 GOB393376:GOE393376 GXX393376:GYA393376 HHT393376:HHW393376 HRP393376:HRS393376 IBL393376:IBO393376 ILH393376:ILK393376 IVD393376:IVG393376 JEZ393376:JFC393376 JOV393376:JOY393376 JYR393376:JYU393376 KIN393376:KIQ393376 KSJ393376:KSM393376 LCF393376:LCI393376 LMB393376:LME393376 LVX393376:LWA393376 MFT393376:MFW393376 MPP393376:MPS393376 MZL393376:MZO393376 NJH393376:NJK393376 NTD393376:NTG393376 OCZ393376:ODC393376 OMV393376:OMY393376 OWR393376:OWU393376 PGN393376:PGQ393376 PQJ393376:PQM393376 QAF393376:QAI393376 QKB393376:QKE393376 QTX393376:QUA393376 RDT393376:RDW393376 RNP393376:RNS393376 RXL393376:RXO393376 SHH393376:SHK393376 SRD393376:SRG393376 TAZ393376:TBC393376 TKV393376:TKY393376 TUR393376:TUU393376 UEN393376:UEQ393376 UOJ393376:UOM393376 UYF393376:UYI393376 VIB393376:VIE393376 VRX393376:VSA393376 WBT393376:WBW393376 WLP393376:WLS393376 WVL393376:WVO393376 D458912:G458912 IZ458912:JC458912 SV458912:SY458912 ACR458912:ACU458912 AMN458912:AMQ458912 AWJ458912:AWM458912 BGF458912:BGI458912 BQB458912:BQE458912 BZX458912:CAA458912 CJT458912:CJW458912 CTP458912:CTS458912 DDL458912:DDO458912 DNH458912:DNK458912 DXD458912:DXG458912 EGZ458912:EHC458912 EQV458912:EQY458912 FAR458912:FAU458912 FKN458912:FKQ458912 FUJ458912:FUM458912 GEF458912:GEI458912 GOB458912:GOE458912 GXX458912:GYA458912 HHT458912:HHW458912 HRP458912:HRS458912 IBL458912:IBO458912 ILH458912:ILK458912 IVD458912:IVG458912 JEZ458912:JFC458912 JOV458912:JOY458912 JYR458912:JYU458912 KIN458912:KIQ458912 KSJ458912:KSM458912 LCF458912:LCI458912 LMB458912:LME458912 LVX458912:LWA458912 MFT458912:MFW458912 MPP458912:MPS458912 MZL458912:MZO458912 NJH458912:NJK458912 NTD458912:NTG458912 OCZ458912:ODC458912 OMV458912:OMY458912 OWR458912:OWU458912 PGN458912:PGQ458912 PQJ458912:PQM458912 QAF458912:QAI458912 QKB458912:QKE458912 QTX458912:QUA458912 RDT458912:RDW458912 RNP458912:RNS458912 RXL458912:RXO458912 SHH458912:SHK458912 SRD458912:SRG458912 TAZ458912:TBC458912 TKV458912:TKY458912 TUR458912:TUU458912 UEN458912:UEQ458912 UOJ458912:UOM458912 UYF458912:UYI458912 VIB458912:VIE458912 VRX458912:VSA458912 WBT458912:WBW458912 WLP458912:WLS458912 WVL458912:WVO458912 D524448:G524448 IZ524448:JC524448 SV524448:SY524448 ACR524448:ACU524448 AMN524448:AMQ524448 AWJ524448:AWM524448 BGF524448:BGI524448 BQB524448:BQE524448 BZX524448:CAA524448 CJT524448:CJW524448 CTP524448:CTS524448 DDL524448:DDO524448 DNH524448:DNK524448 DXD524448:DXG524448 EGZ524448:EHC524448 EQV524448:EQY524448 FAR524448:FAU524448 FKN524448:FKQ524448 FUJ524448:FUM524448 GEF524448:GEI524448 GOB524448:GOE524448 GXX524448:GYA524448 HHT524448:HHW524448 HRP524448:HRS524448 IBL524448:IBO524448 ILH524448:ILK524448 IVD524448:IVG524448 JEZ524448:JFC524448 JOV524448:JOY524448 JYR524448:JYU524448 KIN524448:KIQ524448 KSJ524448:KSM524448 LCF524448:LCI524448 LMB524448:LME524448 LVX524448:LWA524448 MFT524448:MFW524448 MPP524448:MPS524448 MZL524448:MZO524448 NJH524448:NJK524448 NTD524448:NTG524448 OCZ524448:ODC524448 OMV524448:OMY524448 OWR524448:OWU524448 PGN524448:PGQ524448 PQJ524448:PQM524448 QAF524448:QAI524448 QKB524448:QKE524448 QTX524448:QUA524448 RDT524448:RDW524448 RNP524448:RNS524448 RXL524448:RXO524448 SHH524448:SHK524448 SRD524448:SRG524448 TAZ524448:TBC524448 TKV524448:TKY524448 TUR524448:TUU524448 UEN524448:UEQ524448 UOJ524448:UOM524448 UYF524448:UYI524448 VIB524448:VIE524448 VRX524448:VSA524448 WBT524448:WBW524448 WLP524448:WLS524448 WVL524448:WVO524448 D589984:G589984 IZ589984:JC589984 SV589984:SY589984 ACR589984:ACU589984 AMN589984:AMQ589984 AWJ589984:AWM589984 BGF589984:BGI589984 BQB589984:BQE589984 BZX589984:CAA589984 CJT589984:CJW589984 CTP589984:CTS589984 DDL589984:DDO589984 DNH589984:DNK589984 DXD589984:DXG589984 EGZ589984:EHC589984 EQV589984:EQY589984 FAR589984:FAU589984 FKN589984:FKQ589984 FUJ589984:FUM589984 GEF589984:GEI589984 GOB589984:GOE589984 GXX589984:GYA589984 HHT589984:HHW589984 HRP589984:HRS589984 IBL589984:IBO589984 ILH589984:ILK589984 IVD589984:IVG589984 JEZ589984:JFC589984 JOV589984:JOY589984 JYR589984:JYU589984 KIN589984:KIQ589984 KSJ589984:KSM589984 LCF589984:LCI589984 LMB589984:LME589984 LVX589984:LWA589984 MFT589984:MFW589984 MPP589984:MPS589984 MZL589984:MZO589984 NJH589984:NJK589984 NTD589984:NTG589984 OCZ589984:ODC589984 OMV589984:OMY589984 OWR589984:OWU589984 PGN589984:PGQ589984 PQJ589984:PQM589984 QAF589984:QAI589984 QKB589984:QKE589984 QTX589984:QUA589984 RDT589984:RDW589984 RNP589984:RNS589984 RXL589984:RXO589984 SHH589984:SHK589984 SRD589984:SRG589984 TAZ589984:TBC589984 TKV589984:TKY589984 TUR589984:TUU589984 UEN589984:UEQ589984 UOJ589984:UOM589984 UYF589984:UYI589984 VIB589984:VIE589984 VRX589984:VSA589984 WBT589984:WBW589984 WLP589984:WLS589984 WVL589984:WVO589984 D655520:G655520 IZ655520:JC655520 SV655520:SY655520 ACR655520:ACU655520 AMN655520:AMQ655520 AWJ655520:AWM655520 BGF655520:BGI655520 BQB655520:BQE655520 BZX655520:CAA655520 CJT655520:CJW655520 CTP655520:CTS655520 DDL655520:DDO655520 DNH655520:DNK655520 DXD655520:DXG655520 EGZ655520:EHC655520 EQV655520:EQY655520 FAR655520:FAU655520 FKN655520:FKQ655520 FUJ655520:FUM655520 GEF655520:GEI655520 GOB655520:GOE655520 GXX655520:GYA655520 HHT655520:HHW655520 HRP655520:HRS655520 IBL655520:IBO655520 ILH655520:ILK655520 IVD655520:IVG655520 JEZ655520:JFC655520 JOV655520:JOY655520 JYR655520:JYU655520 KIN655520:KIQ655520 KSJ655520:KSM655520 LCF655520:LCI655520 LMB655520:LME655520 LVX655520:LWA655520 MFT655520:MFW655520 MPP655520:MPS655520 MZL655520:MZO655520 NJH655520:NJK655520 NTD655520:NTG655520 OCZ655520:ODC655520 OMV655520:OMY655520 OWR655520:OWU655520 PGN655520:PGQ655520 PQJ655520:PQM655520 QAF655520:QAI655520 QKB655520:QKE655520 QTX655520:QUA655520 RDT655520:RDW655520 RNP655520:RNS655520 RXL655520:RXO655520 SHH655520:SHK655520 SRD655520:SRG655520 TAZ655520:TBC655520 TKV655520:TKY655520 TUR655520:TUU655520 UEN655520:UEQ655520 UOJ655520:UOM655520 UYF655520:UYI655520 VIB655520:VIE655520 VRX655520:VSA655520 WBT655520:WBW655520 WLP655520:WLS655520 WVL655520:WVO655520 D721056:G721056 IZ721056:JC721056 SV721056:SY721056 ACR721056:ACU721056 AMN721056:AMQ721056 AWJ721056:AWM721056 BGF721056:BGI721056 BQB721056:BQE721056 BZX721056:CAA721056 CJT721056:CJW721056 CTP721056:CTS721056 DDL721056:DDO721056 DNH721056:DNK721056 DXD721056:DXG721056 EGZ721056:EHC721056 EQV721056:EQY721056 FAR721056:FAU721056 FKN721056:FKQ721056 FUJ721056:FUM721056 GEF721056:GEI721056 GOB721056:GOE721056 GXX721056:GYA721056 HHT721056:HHW721056 HRP721056:HRS721056 IBL721056:IBO721056 ILH721056:ILK721056 IVD721056:IVG721056 JEZ721056:JFC721056 JOV721056:JOY721056 JYR721056:JYU721056 KIN721056:KIQ721056 KSJ721056:KSM721056 LCF721056:LCI721056 LMB721056:LME721056 LVX721056:LWA721056 MFT721056:MFW721056 MPP721056:MPS721056 MZL721056:MZO721056 NJH721056:NJK721056 NTD721056:NTG721056 OCZ721056:ODC721056 OMV721056:OMY721056 OWR721056:OWU721056 PGN721056:PGQ721056 PQJ721056:PQM721056 QAF721056:QAI721056 QKB721056:QKE721056 QTX721056:QUA721056 RDT721056:RDW721056 RNP721056:RNS721056 RXL721056:RXO721056 SHH721056:SHK721056 SRD721056:SRG721056 TAZ721056:TBC721056 TKV721056:TKY721056 TUR721056:TUU721056 UEN721056:UEQ721056 UOJ721056:UOM721056 UYF721056:UYI721056 VIB721056:VIE721056 VRX721056:VSA721056 WBT721056:WBW721056 WLP721056:WLS721056 WVL721056:WVO721056 D786592:G786592 IZ786592:JC786592 SV786592:SY786592 ACR786592:ACU786592 AMN786592:AMQ786592 AWJ786592:AWM786592 BGF786592:BGI786592 BQB786592:BQE786592 BZX786592:CAA786592 CJT786592:CJW786592 CTP786592:CTS786592 DDL786592:DDO786592 DNH786592:DNK786592 DXD786592:DXG786592 EGZ786592:EHC786592 EQV786592:EQY786592 FAR786592:FAU786592 FKN786592:FKQ786592 FUJ786592:FUM786592 GEF786592:GEI786592 GOB786592:GOE786592 GXX786592:GYA786592 HHT786592:HHW786592 HRP786592:HRS786592 IBL786592:IBO786592 ILH786592:ILK786592 IVD786592:IVG786592 JEZ786592:JFC786592 JOV786592:JOY786592 JYR786592:JYU786592 KIN786592:KIQ786592 KSJ786592:KSM786592 LCF786592:LCI786592 LMB786592:LME786592 LVX786592:LWA786592 MFT786592:MFW786592 MPP786592:MPS786592 MZL786592:MZO786592 NJH786592:NJK786592 NTD786592:NTG786592 OCZ786592:ODC786592 OMV786592:OMY786592 OWR786592:OWU786592 PGN786592:PGQ786592 PQJ786592:PQM786592 QAF786592:QAI786592 QKB786592:QKE786592 QTX786592:QUA786592 RDT786592:RDW786592 RNP786592:RNS786592 RXL786592:RXO786592 SHH786592:SHK786592 SRD786592:SRG786592 TAZ786592:TBC786592 TKV786592:TKY786592 TUR786592:TUU786592 UEN786592:UEQ786592 UOJ786592:UOM786592 UYF786592:UYI786592 VIB786592:VIE786592 VRX786592:VSA786592 WBT786592:WBW786592 WLP786592:WLS786592 WVL786592:WVO786592 D852128:G852128 IZ852128:JC852128 SV852128:SY852128 ACR852128:ACU852128 AMN852128:AMQ852128 AWJ852128:AWM852128 BGF852128:BGI852128 BQB852128:BQE852128 BZX852128:CAA852128 CJT852128:CJW852128 CTP852128:CTS852128 DDL852128:DDO852128 DNH852128:DNK852128 DXD852128:DXG852128 EGZ852128:EHC852128 EQV852128:EQY852128 FAR852128:FAU852128 FKN852128:FKQ852128 FUJ852128:FUM852128 GEF852128:GEI852128 GOB852128:GOE852128 GXX852128:GYA852128 HHT852128:HHW852128 HRP852128:HRS852128 IBL852128:IBO852128 ILH852128:ILK852128 IVD852128:IVG852128 JEZ852128:JFC852128 JOV852128:JOY852128 JYR852128:JYU852128 KIN852128:KIQ852128 KSJ852128:KSM852128 LCF852128:LCI852128 LMB852128:LME852128 LVX852128:LWA852128 MFT852128:MFW852128 MPP852128:MPS852128 MZL852128:MZO852128 NJH852128:NJK852128 NTD852128:NTG852128 OCZ852128:ODC852128 OMV852128:OMY852128 OWR852128:OWU852128 PGN852128:PGQ852128 PQJ852128:PQM852128 QAF852128:QAI852128 QKB852128:QKE852128 QTX852128:QUA852128 RDT852128:RDW852128 RNP852128:RNS852128 RXL852128:RXO852128 SHH852128:SHK852128 SRD852128:SRG852128 TAZ852128:TBC852128 TKV852128:TKY852128 TUR852128:TUU852128 UEN852128:UEQ852128 UOJ852128:UOM852128 UYF852128:UYI852128 VIB852128:VIE852128 VRX852128:VSA852128 WBT852128:WBW852128 WLP852128:WLS852128 WVL852128:WVO852128 D917664:G917664 IZ917664:JC917664 SV917664:SY917664 ACR917664:ACU917664 AMN917664:AMQ917664 AWJ917664:AWM917664 BGF917664:BGI917664 BQB917664:BQE917664 BZX917664:CAA917664 CJT917664:CJW917664 CTP917664:CTS917664 DDL917664:DDO917664 DNH917664:DNK917664 DXD917664:DXG917664 EGZ917664:EHC917664 EQV917664:EQY917664 FAR917664:FAU917664 FKN917664:FKQ917664 FUJ917664:FUM917664 GEF917664:GEI917664 GOB917664:GOE917664 GXX917664:GYA917664 HHT917664:HHW917664 HRP917664:HRS917664 IBL917664:IBO917664 ILH917664:ILK917664 IVD917664:IVG917664 JEZ917664:JFC917664 JOV917664:JOY917664 JYR917664:JYU917664 KIN917664:KIQ917664 KSJ917664:KSM917664 LCF917664:LCI917664 LMB917664:LME917664 LVX917664:LWA917664 MFT917664:MFW917664 MPP917664:MPS917664 MZL917664:MZO917664 NJH917664:NJK917664 NTD917664:NTG917664 OCZ917664:ODC917664 OMV917664:OMY917664 OWR917664:OWU917664 PGN917664:PGQ917664 PQJ917664:PQM917664 QAF917664:QAI917664 QKB917664:QKE917664 QTX917664:QUA917664 RDT917664:RDW917664 RNP917664:RNS917664 RXL917664:RXO917664 SHH917664:SHK917664 SRD917664:SRG917664 TAZ917664:TBC917664 TKV917664:TKY917664 TUR917664:TUU917664 UEN917664:UEQ917664 UOJ917664:UOM917664 UYF917664:UYI917664 VIB917664:VIE917664 VRX917664:VSA917664 WBT917664:WBW917664 WLP917664:WLS917664 WVL917664:WVO917664 D983200:G983200 IZ983200:JC983200 SV983200:SY983200 ACR983200:ACU983200 AMN983200:AMQ983200 AWJ983200:AWM983200 BGF983200:BGI983200 BQB983200:BQE983200 BZX983200:CAA983200 CJT983200:CJW983200 CTP983200:CTS983200 DDL983200:DDO983200 DNH983200:DNK983200 DXD983200:DXG983200 EGZ983200:EHC983200 EQV983200:EQY983200 FAR983200:FAU983200 FKN983200:FKQ983200 FUJ983200:FUM983200 GEF983200:GEI983200 GOB983200:GOE983200 GXX983200:GYA983200 HHT983200:HHW983200 HRP983200:HRS983200 IBL983200:IBO983200 ILH983200:ILK983200 IVD983200:IVG983200 JEZ983200:JFC983200 JOV983200:JOY983200 JYR983200:JYU983200 KIN983200:KIQ983200 KSJ983200:KSM983200 LCF983200:LCI983200 LMB983200:LME983200 LVX983200:LWA983200 MFT983200:MFW983200 MPP983200:MPS983200 MZL983200:MZO983200 NJH983200:NJK983200 NTD983200:NTG983200 OCZ983200:ODC983200 OMV983200:OMY983200 OWR983200:OWU983200 PGN983200:PGQ983200 PQJ983200:PQM983200 QAF983200:QAI983200 QKB983200:QKE983200 QTX983200:QUA983200 RDT983200:RDW983200 RNP983200:RNS983200 RXL983200:RXO983200 SHH983200:SHK983200 SRD983200:SRG983200 TAZ983200:TBC983200 TKV983200:TKY983200 TUR983200:TUU983200 UEN983200:UEQ983200 UOJ983200:UOM983200 UYF983200:UYI983200 VIB983200:VIE983200 VRX983200:VSA983200 WBT983200:WBW983200 WLP983200:WLS983200 WVL983200:WVO983200"/>
  </dataValidations>
  <pageMargins left="0.8" right="0.8" top="1" bottom="1" header="0.5" footer="0.5"/>
  <pageSetup paperSize="9" orientation="landscape" verticalDpi="300"/>
  <headerFooter alignWithMargins="0"/>
  <drawing r:id="rId2"/>
  <legacyDrawing r:id="rId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8000"/>
  </sheetPr>
  <dimension ref="A1:AD28"/>
  <sheetViews>
    <sheetView zoomScale="85" zoomScaleNormal="85" workbookViewId="0">
      <selection activeCell="R23" sqref="R23"/>
    </sheetView>
  </sheetViews>
  <sheetFormatPr defaultColWidth="9" defaultRowHeight="13.5"/>
  <cols>
    <col min="1" max="1" width="9" customWidth="1"/>
    <col min="4" max="4" width="4.625" customWidth="1"/>
    <col min="5" max="5" width="7.125" customWidth="1"/>
  </cols>
  <sheetData>
    <row r="1" s="324" customFormat="1" ht="18" customHeight="1" spans="1:30">
      <c r="A1" s="325"/>
      <c r="B1" s="325"/>
      <c r="C1" s="325"/>
      <c r="D1" s="325"/>
      <c r="E1" s="325"/>
      <c r="F1" s="325"/>
      <c r="G1" s="325"/>
      <c r="H1" s="325"/>
      <c r="I1" s="325"/>
      <c r="J1" s="325"/>
      <c r="K1" s="325"/>
      <c r="L1" s="325"/>
      <c r="M1" s="325"/>
      <c r="N1" s="325"/>
      <c r="O1" s="349"/>
      <c r="P1" s="349"/>
      <c r="Q1" s="349"/>
      <c r="R1" s="349"/>
      <c r="S1" s="349"/>
      <c r="T1" s="349"/>
      <c r="U1" s="349"/>
      <c r="V1" s="349"/>
      <c r="W1" s="349"/>
      <c r="X1" s="349"/>
      <c r="Y1" s="349"/>
      <c r="Z1" s="349"/>
      <c r="AA1" s="349"/>
      <c r="AB1" s="349"/>
      <c r="AC1" s="349"/>
      <c r="AD1" s="349"/>
    </row>
    <row r="2" s="324" customFormat="1" ht="18" customHeight="1" spans="1:30">
      <c r="A2" s="325"/>
      <c r="B2" s="325"/>
      <c r="C2" s="325"/>
      <c r="D2" s="325"/>
      <c r="E2" s="325"/>
      <c r="F2" s="325"/>
      <c r="G2" s="325"/>
      <c r="H2" s="325"/>
      <c r="I2" s="325"/>
      <c r="J2" s="325"/>
      <c r="K2" s="325"/>
      <c r="L2" s="350">
        <f>3.14*F13</f>
        <v>9.42</v>
      </c>
      <c r="M2" s="325">
        <f>1000*L2*(1/25.4)</f>
        <v>370.866141732283</v>
      </c>
      <c r="N2" s="325"/>
      <c r="O2" s="349"/>
      <c r="P2" s="349"/>
      <c r="Q2" s="349"/>
      <c r="R2" s="349"/>
      <c r="S2" s="349"/>
      <c r="T2" s="349"/>
      <c r="U2" s="349"/>
      <c r="V2" s="349"/>
      <c r="W2" s="349"/>
      <c r="X2" s="349"/>
      <c r="Y2" s="349"/>
      <c r="Z2" s="349"/>
      <c r="AA2" s="349"/>
      <c r="AB2" s="349"/>
      <c r="AC2" s="349"/>
      <c r="AD2" s="349"/>
    </row>
    <row r="3" s="324" customFormat="1" ht="18" customHeight="1" spans="1:30">
      <c r="A3" s="325"/>
      <c r="B3" s="325"/>
      <c r="C3" s="325"/>
      <c r="D3" s="325"/>
      <c r="E3" s="325"/>
      <c r="F3" s="325"/>
      <c r="G3" s="325"/>
      <c r="H3" s="325"/>
      <c r="I3" s="325"/>
      <c r="J3" s="325"/>
      <c r="K3" s="325"/>
      <c r="L3" s="351">
        <f>1000*F13*(1/25.4)</f>
        <v>118.110236220472</v>
      </c>
      <c r="M3" s="325">
        <f>1.44*C11</f>
        <v>1.44</v>
      </c>
      <c r="N3" s="325"/>
      <c r="O3" s="349"/>
      <c r="P3" s="349"/>
      <c r="Q3" s="349"/>
      <c r="R3" s="349"/>
      <c r="S3" s="349"/>
      <c r="T3" s="349"/>
      <c r="U3" s="349"/>
      <c r="V3" s="349"/>
      <c r="W3" s="349"/>
      <c r="X3" s="349"/>
      <c r="Y3" s="349"/>
      <c r="Z3" s="349"/>
      <c r="AA3" s="349"/>
      <c r="AB3" s="349"/>
      <c r="AC3" s="349"/>
      <c r="AD3" s="349"/>
    </row>
    <row r="4" s="324" customFormat="1" ht="18" customHeight="1" spans="1:30">
      <c r="A4" s="325"/>
      <c r="B4" s="325"/>
      <c r="C4" s="325"/>
      <c r="D4" s="325"/>
      <c r="E4" s="325"/>
      <c r="F4" s="325"/>
      <c r="G4" s="325"/>
      <c r="H4" s="325"/>
      <c r="I4" s="325"/>
      <c r="J4" s="325"/>
      <c r="K4" s="325"/>
      <c r="L4" s="325">
        <f>M2*M3</f>
        <v>534.047244094488</v>
      </c>
      <c r="M4" s="325"/>
      <c r="N4" s="325"/>
      <c r="O4" s="349"/>
      <c r="P4" s="349"/>
      <c r="Q4" s="349"/>
      <c r="R4" s="349"/>
      <c r="S4" s="349"/>
      <c r="T4" s="349"/>
      <c r="U4" s="349"/>
      <c r="V4" s="349"/>
      <c r="W4" s="349"/>
      <c r="X4" s="349"/>
      <c r="Y4" s="349"/>
      <c r="Z4" s="349"/>
      <c r="AA4" s="349"/>
      <c r="AB4" s="349"/>
      <c r="AC4" s="349"/>
      <c r="AD4" s="349"/>
    </row>
    <row r="5" s="324" customFormat="1" ht="18" customHeight="1" spans="1:30">
      <c r="A5" s="325"/>
      <c r="B5" s="325"/>
      <c r="C5" s="325"/>
      <c r="D5" s="325"/>
      <c r="E5" s="325"/>
      <c r="F5" s="325"/>
      <c r="G5" s="325"/>
      <c r="H5" s="325"/>
      <c r="I5" s="325"/>
      <c r="J5" s="325"/>
      <c r="K5" s="325"/>
      <c r="L5" s="325"/>
      <c r="M5" s="325"/>
      <c r="N5" s="325"/>
      <c r="O5" s="349"/>
      <c r="P5" s="349"/>
      <c r="Q5" s="349"/>
      <c r="R5" s="349"/>
      <c r="S5" s="349"/>
      <c r="T5" s="349"/>
      <c r="U5" s="349"/>
      <c r="V5" s="349"/>
      <c r="W5" s="349"/>
      <c r="X5" s="349"/>
      <c r="Y5" s="349"/>
      <c r="Z5" s="349"/>
      <c r="AA5" s="349"/>
      <c r="AB5" s="349"/>
      <c r="AC5" s="349"/>
      <c r="AD5" s="349"/>
    </row>
    <row r="6" s="324" customFormat="1" ht="18" customHeight="1" spans="1:30">
      <c r="A6" s="325"/>
      <c r="B6" s="325"/>
      <c r="C6" s="325"/>
      <c r="D6" s="325"/>
      <c r="E6" s="325"/>
      <c r="F6" s="325"/>
      <c r="G6" s="325"/>
      <c r="H6" s="325"/>
      <c r="I6" s="325"/>
      <c r="J6" s="325"/>
      <c r="K6" s="352" t="s">
        <v>1539</v>
      </c>
      <c r="L6" s="353"/>
      <c r="M6" s="353"/>
      <c r="N6" s="353"/>
      <c r="O6" s="354"/>
      <c r="P6" s="349"/>
      <c r="Q6" s="349"/>
      <c r="R6" s="349"/>
      <c r="S6" s="349"/>
      <c r="T6" s="349"/>
      <c r="U6" s="349"/>
      <c r="V6" s="349"/>
      <c r="W6" s="349"/>
      <c r="X6" s="349"/>
      <c r="Y6" s="349"/>
      <c r="Z6" s="349"/>
      <c r="AA6" s="349"/>
      <c r="AB6" s="349"/>
      <c r="AC6" s="349"/>
      <c r="AD6" s="349"/>
    </row>
    <row r="7" s="324" customFormat="1" ht="8.25" customHeight="1" spans="1:30">
      <c r="A7" s="325"/>
      <c r="B7" s="325"/>
      <c r="C7" s="325"/>
      <c r="D7" s="325"/>
      <c r="E7" s="325"/>
      <c r="F7" s="325"/>
      <c r="G7" s="325"/>
      <c r="H7" s="325"/>
      <c r="I7" s="325"/>
      <c r="J7" s="325"/>
      <c r="K7" s="325"/>
      <c r="L7" s="325"/>
      <c r="M7" s="325"/>
      <c r="N7" s="325"/>
      <c r="O7" s="349"/>
      <c r="P7" s="349"/>
      <c r="Q7" s="349"/>
      <c r="R7" s="349"/>
      <c r="S7" s="349"/>
      <c r="T7" s="349"/>
      <c r="U7" s="349"/>
      <c r="V7" s="349"/>
      <c r="W7" s="349"/>
      <c r="X7" s="349"/>
      <c r="Y7" s="349"/>
      <c r="Z7" s="349"/>
      <c r="AA7" s="349"/>
      <c r="AB7" s="349"/>
      <c r="AC7" s="349"/>
      <c r="AD7" s="349"/>
    </row>
    <row r="8" s="324" customFormat="1" ht="18" customHeight="1" spans="1:30">
      <c r="A8" s="325"/>
      <c r="B8" s="325"/>
      <c r="C8" s="325"/>
      <c r="D8" s="325"/>
      <c r="E8" s="325"/>
      <c r="F8" s="325"/>
      <c r="G8" s="325"/>
      <c r="H8" s="325"/>
      <c r="I8" s="325"/>
      <c r="J8" s="325"/>
      <c r="K8" s="355" t="s">
        <v>1540</v>
      </c>
      <c r="L8" s="356"/>
      <c r="M8" s="357">
        <v>20</v>
      </c>
      <c r="N8" s="358" t="s">
        <v>1541</v>
      </c>
      <c r="O8" s="349"/>
      <c r="P8" s="359" t="s">
        <v>1542</v>
      </c>
      <c r="Q8" s="349"/>
      <c r="R8" s="349"/>
      <c r="S8" s="349"/>
      <c r="T8" s="349"/>
      <c r="U8" s="349"/>
      <c r="V8" s="349"/>
      <c r="W8" s="349"/>
      <c r="X8" s="349"/>
      <c r="Y8" s="349"/>
      <c r="Z8" s="349"/>
      <c r="AA8" s="349"/>
      <c r="AB8" s="349"/>
      <c r="AC8" s="349"/>
      <c r="AD8" s="349"/>
    </row>
    <row r="9" s="324" customFormat="1" ht="18" customHeight="1" spans="1:30">
      <c r="A9" s="325"/>
      <c r="B9" s="325"/>
      <c r="C9" s="325"/>
      <c r="D9" s="325"/>
      <c r="E9" s="325"/>
      <c r="F9" s="325"/>
      <c r="G9" s="325"/>
      <c r="H9" s="325"/>
      <c r="I9" s="325"/>
      <c r="J9" s="325"/>
      <c r="K9" s="360" t="s">
        <v>1543</v>
      </c>
      <c r="L9" s="325"/>
      <c r="M9" s="325"/>
      <c r="N9" s="325"/>
      <c r="O9" s="349"/>
      <c r="P9" s="349"/>
      <c r="Q9" s="349"/>
      <c r="R9" s="349"/>
      <c r="S9" s="349"/>
      <c r="T9" s="349"/>
      <c r="U9" s="349"/>
      <c r="V9" s="349"/>
      <c r="W9" s="349"/>
      <c r="X9" s="349"/>
      <c r="Y9" s="349"/>
      <c r="Z9" s="349"/>
      <c r="AA9" s="349"/>
      <c r="AB9" s="349"/>
      <c r="AC9" s="349"/>
      <c r="AD9" s="349"/>
    </row>
    <row r="10" s="324" customFormat="1" ht="6" customHeight="1" spans="1:30">
      <c r="A10" s="325"/>
      <c r="B10" s="325"/>
      <c r="C10" s="325"/>
      <c r="D10" s="325"/>
      <c r="E10" s="325"/>
      <c r="F10" s="325"/>
      <c r="G10" s="325"/>
      <c r="H10" s="325"/>
      <c r="I10" s="325"/>
      <c r="J10" s="325"/>
      <c r="K10" s="361" t="s">
        <v>1544</v>
      </c>
      <c r="L10" s="362"/>
      <c r="M10" s="363">
        <f>0.02*POWER(M8,0.44)*POWER(L4,0.725)</f>
        <v>7.09542576240822</v>
      </c>
      <c r="N10" s="325"/>
      <c r="O10" s="349"/>
      <c r="P10" s="349"/>
      <c r="Q10" s="349"/>
      <c r="R10" s="349"/>
      <c r="S10" s="349"/>
      <c r="T10" s="349"/>
      <c r="U10" s="349"/>
      <c r="V10" s="349"/>
      <c r="W10" s="349"/>
      <c r="X10" s="349"/>
      <c r="Y10" s="349"/>
      <c r="Z10" s="349"/>
      <c r="AA10" s="349"/>
      <c r="AB10" s="349"/>
      <c r="AC10" s="349"/>
      <c r="AD10" s="349"/>
    </row>
    <row r="11" s="324" customFormat="1" ht="12.75" customHeight="1" spans="1:30">
      <c r="A11" s="325"/>
      <c r="B11" s="325"/>
      <c r="C11" s="326">
        <v>1</v>
      </c>
      <c r="D11" s="325"/>
      <c r="E11" s="325"/>
      <c r="F11" s="325"/>
      <c r="G11" s="325"/>
      <c r="H11" s="325"/>
      <c r="I11" s="325"/>
      <c r="J11" s="325"/>
      <c r="K11" s="364"/>
      <c r="L11" s="365"/>
      <c r="M11" s="366"/>
      <c r="N11" s="325"/>
      <c r="O11" s="349"/>
      <c r="P11" s="349"/>
      <c r="Q11" s="349"/>
      <c r="R11" s="349"/>
      <c r="S11" s="349"/>
      <c r="T11" s="349"/>
      <c r="U11" s="349"/>
      <c r="V11" s="349"/>
      <c r="W11" s="349"/>
      <c r="X11" s="349"/>
      <c r="Y11" s="349"/>
      <c r="Z11" s="349"/>
      <c r="AA11" s="349"/>
      <c r="AB11" s="349"/>
      <c r="AC11" s="349"/>
      <c r="AD11" s="349"/>
    </row>
    <row r="12" s="324" customFormat="1" ht="8.25" hidden="1" customHeight="1" spans="1:30">
      <c r="A12" s="325"/>
      <c r="B12" s="325"/>
      <c r="C12" s="325"/>
      <c r="D12" s="325"/>
      <c r="E12" s="325"/>
      <c r="F12" s="325"/>
      <c r="G12" s="325"/>
      <c r="H12" s="325"/>
      <c r="I12" s="325"/>
      <c r="J12" s="325"/>
      <c r="K12" s="325"/>
      <c r="L12" s="325"/>
      <c r="M12" s="325"/>
      <c r="N12" s="325"/>
      <c r="O12" s="349"/>
      <c r="P12" s="349"/>
      <c r="Q12" s="349"/>
      <c r="R12" s="349"/>
      <c r="S12" s="349"/>
      <c r="T12" s="349"/>
      <c r="U12" s="349"/>
      <c r="V12" s="349"/>
      <c r="W12" s="349"/>
      <c r="X12" s="349"/>
      <c r="Y12" s="349"/>
      <c r="Z12" s="349"/>
      <c r="AA12" s="349"/>
      <c r="AB12" s="349"/>
      <c r="AC12" s="349"/>
      <c r="AD12" s="349"/>
    </row>
    <row r="13" s="324" customFormat="1" ht="14.25" customHeight="1" spans="1:30">
      <c r="A13" s="325"/>
      <c r="B13" s="325"/>
      <c r="C13" s="325"/>
      <c r="D13" s="325"/>
      <c r="E13" s="325"/>
      <c r="F13" s="327">
        <v>3</v>
      </c>
      <c r="G13" s="325"/>
      <c r="H13" s="325"/>
      <c r="I13" s="325"/>
      <c r="J13" s="325"/>
      <c r="K13" s="360" t="s">
        <v>1545</v>
      </c>
      <c r="L13" s="325"/>
      <c r="M13" s="325"/>
      <c r="N13" s="325"/>
      <c r="O13" s="349"/>
      <c r="P13" s="349"/>
      <c r="Q13" s="349"/>
      <c r="R13" s="349"/>
      <c r="S13" s="349"/>
      <c r="T13" s="349"/>
      <c r="U13" s="349"/>
      <c r="V13" s="349"/>
      <c r="W13" s="349"/>
      <c r="X13" s="349"/>
      <c r="Y13" s="349"/>
      <c r="Z13" s="349"/>
      <c r="AA13" s="349"/>
      <c r="AB13" s="349"/>
      <c r="AC13" s="349"/>
      <c r="AD13" s="349"/>
    </row>
    <row r="14" s="324" customFormat="1" ht="15.75" customHeight="1" spans="1:30">
      <c r="A14" s="325"/>
      <c r="B14" s="325"/>
      <c r="C14" s="325"/>
      <c r="D14" s="325"/>
      <c r="E14" s="325"/>
      <c r="F14" s="325"/>
      <c r="G14" s="325"/>
      <c r="H14" s="325"/>
      <c r="I14" s="325"/>
      <c r="J14" s="325"/>
      <c r="K14" s="355" t="s">
        <v>1546</v>
      </c>
      <c r="L14" s="356"/>
      <c r="M14" s="367">
        <v>20</v>
      </c>
      <c r="N14" s="325"/>
      <c r="O14" s="349"/>
      <c r="P14" s="359" t="s">
        <v>1542</v>
      </c>
      <c r="Q14" s="349"/>
      <c r="R14" s="349"/>
      <c r="S14" s="349"/>
      <c r="T14" s="349"/>
      <c r="U14" s="349"/>
      <c r="V14" s="349"/>
      <c r="W14" s="349"/>
      <c r="X14" s="349"/>
      <c r="Y14" s="349"/>
      <c r="Z14" s="349"/>
      <c r="AA14" s="349"/>
      <c r="AB14" s="349"/>
      <c r="AC14" s="349"/>
      <c r="AD14" s="349"/>
    </row>
    <row r="15" s="324" customFormat="1" ht="18" customHeight="1" spans="1:30">
      <c r="A15" s="325"/>
      <c r="B15" s="325"/>
      <c r="C15" s="325"/>
      <c r="D15" s="325"/>
      <c r="E15" s="325"/>
      <c r="F15" s="325"/>
      <c r="G15" s="325"/>
      <c r="H15" s="325"/>
      <c r="I15" s="325"/>
      <c r="J15" s="325"/>
      <c r="K15" s="368" t="s">
        <v>1547</v>
      </c>
      <c r="L15" s="369"/>
      <c r="M15" s="370">
        <f>M14/M10+1</f>
        <v>3.81871739197958</v>
      </c>
      <c r="N15" s="325"/>
      <c r="O15" s="349"/>
      <c r="P15" s="349"/>
      <c r="Q15" s="349"/>
      <c r="R15" s="349"/>
      <c r="S15" s="349"/>
      <c r="T15" s="349"/>
      <c r="U15" s="349"/>
      <c r="V15" s="349"/>
      <c r="W15" s="349"/>
      <c r="X15" s="349"/>
      <c r="Y15" s="349"/>
      <c r="Z15" s="349"/>
      <c r="AA15" s="349"/>
      <c r="AB15" s="349"/>
      <c r="AC15" s="349"/>
      <c r="AD15" s="349"/>
    </row>
    <row r="16" s="324" customFormat="1" ht="18" customHeight="1" spans="1:30">
      <c r="A16" s="325"/>
      <c r="B16" s="325"/>
      <c r="C16" s="325"/>
      <c r="D16" s="325"/>
      <c r="E16" s="325"/>
      <c r="F16" s="325"/>
      <c r="G16" s="325"/>
      <c r="H16" s="325"/>
      <c r="I16" s="325"/>
      <c r="J16" s="325"/>
      <c r="K16" s="325"/>
      <c r="L16" s="325"/>
      <c r="M16" s="325"/>
      <c r="N16" s="325"/>
      <c r="O16" s="349"/>
      <c r="P16" s="349"/>
      <c r="Q16" s="349"/>
      <c r="R16" s="349"/>
      <c r="S16" s="349"/>
      <c r="T16" s="349"/>
      <c r="U16" s="349"/>
      <c r="V16" s="349"/>
      <c r="W16" s="349"/>
      <c r="X16" s="349"/>
      <c r="Y16" s="349"/>
      <c r="Z16" s="349"/>
      <c r="AA16" s="349"/>
      <c r="AB16" s="349"/>
      <c r="AC16" s="349"/>
      <c r="AD16" s="349"/>
    </row>
    <row r="17" s="324" customFormat="1" ht="18" customHeight="1" spans="1:30">
      <c r="A17" s="325"/>
      <c r="B17" s="325"/>
      <c r="C17" s="325"/>
      <c r="D17" s="325"/>
      <c r="E17" s="325"/>
      <c r="F17" s="325"/>
      <c r="G17" s="325"/>
      <c r="H17" s="325"/>
      <c r="I17" s="325"/>
      <c r="J17" s="325"/>
      <c r="K17" s="325"/>
      <c r="L17" s="325"/>
      <c r="M17" s="325"/>
      <c r="N17" s="325"/>
      <c r="O17" s="349"/>
      <c r="P17" s="349"/>
      <c r="Q17" s="349"/>
      <c r="R17" s="349"/>
      <c r="S17" s="349"/>
      <c r="T17" s="349"/>
      <c r="U17" s="349"/>
      <c r="V17" s="349"/>
      <c r="W17" s="349"/>
      <c r="X17" s="349"/>
      <c r="Y17" s="349"/>
      <c r="Z17" s="349"/>
      <c r="AA17" s="349"/>
      <c r="AB17" s="349"/>
      <c r="AC17" s="349"/>
      <c r="AD17" s="349"/>
    </row>
    <row r="18" s="324" customFormat="1" ht="18" customHeight="1" spans="1:30">
      <c r="A18" s="325"/>
      <c r="B18" s="328" t="s">
        <v>17</v>
      </c>
      <c r="C18" s="325"/>
      <c r="D18" s="325"/>
      <c r="E18" s="325"/>
      <c r="F18" s="325"/>
      <c r="G18" s="325"/>
      <c r="H18" s="325"/>
      <c r="I18" s="325"/>
      <c r="J18" s="325"/>
      <c r="K18" s="325"/>
      <c r="L18" s="325"/>
      <c r="M18" s="325"/>
      <c r="N18" s="325"/>
      <c r="O18" s="349"/>
      <c r="P18" s="349"/>
      <c r="Q18" s="349"/>
      <c r="R18" s="349"/>
      <c r="S18" s="349"/>
      <c r="T18" s="349"/>
      <c r="U18" s="349"/>
      <c r="V18" s="349"/>
      <c r="W18" s="349"/>
      <c r="X18" s="349"/>
      <c r="Y18" s="349"/>
      <c r="Z18" s="349"/>
      <c r="AA18" s="349"/>
      <c r="AB18" s="349"/>
      <c r="AC18" s="349"/>
      <c r="AD18" s="349"/>
    </row>
    <row r="19" s="324" customFormat="1" ht="18" customHeight="1" spans="1:30">
      <c r="A19" s="325"/>
      <c r="B19" s="329" t="s">
        <v>1548</v>
      </c>
      <c r="C19" s="330">
        <v>1</v>
      </c>
      <c r="D19" s="331" t="s">
        <v>1007</v>
      </c>
      <c r="E19" s="332" t="s">
        <v>1549</v>
      </c>
      <c r="F19" s="333"/>
      <c r="G19" s="334">
        <f>C19*25.4/1000</f>
        <v>0.0254</v>
      </c>
      <c r="H19" s="335" t="s">
        <v>1550</v>
      </c>
      <c r="I19" s="325"/>
      <c r="J19" s="325"/>
      <c r="K19" s="325"/>
      <c r="L19" s="325"/>
      <c r="M19" s="325"/>
      <c r="N19" s="325"/>
      <c r="O19" s="349"/>
      <c r="P19" s="349"/>
      <c r="Q19" s="349"/>
      <c r="R19" s="349"/>
      <c r="S19" s="349"/>
      <c r="T19" s="349"/>
      <c r="U19" s="349"/>
      <c r="V19" s="349"/>
      <c r="W19" s="349"/>
      <c r="X19" s="349"/>
      <c r="Y19" s="349"/>
      <c r="Z19" s="349"/>
      <c r="AA19" s="349"/>
      <c r="AB19" s="349"/>
      <c r="AC19" s="349"/>
      <c r="AD19" s="349"/>
    </row>
    <row r="20" s="324" customFormat="1" ht="4.5" customHeight="1" spans="1:30">
      <c r="A20" s="325"/>
      <c r="B20" s="325"/>
      <c r="C20" s="325"/>
      <c r="D20" s="325"/>
      <c r="E20" s="325"/>
      <c r="F20" s="325"/>
      <c r="G20" s="325"/>
      <c r="H20" s="325"/>
      <c r="I20" s="325"/>
      <c r="J20" s="325"/>
      <c r="K20" s="325"/>
      <c r="L20" s="325"/>
      <c r="M20" s="325"/>
      <c r="N20" s="325"/>
      <c r="O20" s="349"/>
      <c r="P20" s="349"/>
      <c r="Q20" s="349"/>
      <c r="R20" s="349"/>
      <c r="S20" s="349"/>
      <c r="T20" s="349"/>
      <c r="U20" s="349"/>
      <c r="V20" s="349"/>
      <c r="W20" s="349"/>
      <c r="X20" s="349"/>
      <c r="Y20" s="349"/>
      <c r="Z20" s="349"/>
      <c r="AA20" s="349"/>
      <c r="AB20" s="349"/>
      <c r="AC20" s="349"/>
      <c r="AD20" s="349"/>
    </row>
    <row r="21" s="324" customFormat="1" ht="18" customHeight="1" spans="1:30">
      <c r="A21" s="325"/>
      <c r="B21" s="336" t="s">
        <v>1551</v>
      </c>
      <c r="C21" s="337">
        <v>35</v>
      </c>
      <c r="D21" s="331" t="s">
        <v>1007</v>
      </c>
      <c r="E21" s="338" t="s">
        <v>1552</v>
      </c>
      <c r="F21" s="339"/>
      <c r="G21" s="340">
        <f>C21/25.4/1.44</f>
        <v>0.956911636045494</v>
      </c>
      <c r="H21" s="335" t="s">
        <v>1553</v>
      </c>
      <c r="I21" s="325"/>
      <c r="J21" s="325"/>
      <c r="K21" s="325"/>
      <c r="L21" s="325"/>
      <c r="M21" s="325"/>
      <c r="N21" s="325"/>
      <c r="O21" s="349"/>
      <c r="P21" s="349"/>
      <c r="Q21" s="349"/>
      <c r="R21" s="349"/>
      <c r="S21" s="349"/>
      <c r="T21" s="349"/>
      <c r="U21" s="349"/>
      <c r="V21" s="349"/>
      <c r="W21" s="349"/>
      <c r="X21" s="349"/>
      <c r="Y21" s="349"/>
      <c r="Z21" s="349"/>
      <c r="AA21" s="349"/>
      <c r="AB21" s="349"/>
      <c r="AC21" s="349"/>
      <c r="AD21" s="349"/>
    </row>
    <row r="22" s="324" customFormat="1" ht="18" customHeight="1" spans="1:30">
      <c r="A22" s="325"/>
      <c r="B22" s="325"/>
      <c r="C22" s="325"/>
      <c r="D22" s="325"/>
      <c r="E22" s="325"/>
      <c r="F22" s="325"/>
      <c r="G22" s="325"/>
      <c r="H22" s="325"/>
      <c r="I22" s="325"/>
      <c r="J22" s="325"/>
      <c r="K22" s="325"/>
      <c r="L22" s="325"/>
      <c r="M22" s="325"/>
      <c r="N22" s="325"/>
      <c r="O22" s="349"/>
      <c r="P22" s="349"/>
      <c r="Q22" s="349"/>
      <c r="R22" s="349"/>
      <c r="S22" s="349"/>
      <c r="T22" s="349"/>
      <c r="U22" s="349"/>
      <c r="V22" s="349"/>
      <c r="W22" s="349"/>
      <c r="X22" s="349"/>
      <c r="Y22" s="349"/>
      <c r="Z22" s="349"/>
      <c r="AA22" s="349"/>
      <c r="AB22" s="349"/>
      <c r="AC22" s="349"/>
      <c r="AD22" s="349"/>
    </row>
    <row r="23" s="324" customFormat="1" ht="18" customHeight="1" spans="1:30">
      <c r="A23" s="325"/>
      <c r="B23" s="341" t="s">
        <v>1554</v>
      </c>
      <c r="C23" s="342"/>
      <c r="D23" s="325"/>
      <c r="E23" s="325"/>
      <c r="F23" s="325"/>
      <c r="G23" s="325"/>
      <c r="H23" s="325"/>
      <c r="I23" s="325"/>
      <c r="J23" s="325"/>
      <c r="K23" s="325"/>
      <c r="L23" s="325"/>
      <c r="M23" s="325"/>
      <c r="N23" s="325"/>
      <c r="O23" s="349"/>
      <c r="P23" s="349"/>
      <c r="Q23" s="349"/>
      <c r="R23" s="349"/>
      <c r="S23" s="349"/>
      <c r="T23" s="349"/>
      <c r="U23" s="349"/>
      <c r="V23" s="349"/>
      <c r="W23" s="349"/>
      <c r="X23" s="349"/>
      <c r="Y23" s="349"/>
      <c r="Z23" s="349"/>
      <c r="AA23" s="349"/>
      <c r="AB23" s="349"/>
      <c r="AC23" s="349"/>
      <c r="AD23" s="349"/>
    </row>
    <row r="24" s="324" customFormat="1" ht="18" customHeight="1" spans="1:30">
      <c r="A24" s="325"/>
      <c r="B24" s="341" t="s">
        <v>1555</v>
      </c>
      <c r="C24" s="343"/>
      <c r="D24" s="343"/>
      <c r="E24" s="343"/>
      <c r="F24" s="343"/>
      <c r="G24" s="343"/>
      <c r="H24" s="343"/>
      <c r="I24" s="343"/>
      <c r="J24" s="343"/>
      <c r="K24" s="343"/>
      <c r="L24" s="343"/>
      <c r="M24" s="343"/>
      <c r="N24" s="342"/>
      <c r="O24" s="349"/>
      <c r="P24" s="349"/>
      <c r="Q24" s="349"/>
      <c r="R24" s="349"/>
      <c r="S24" s="349"/>
      <c r="T24" s="349"/>
      <c r="U24" s="349"/>
      <c r="V24" s="349"/>
      <c r="W24" s="349"/>
      <c r="X24" s="349"/>
      <c r="Y24" s="349"/>
      <c r="Z24" s="349"/>
      <c r="AA24" s="349"/>
      <c r="AB24" s="349"/>
      <c r="AC24" s="349"/>
      <c r="AD24" s="349"/>
    </row>
    <row r="25" s="324" customFormat="1" ht="18" customHeight="1" spans="1:30">
      <c r="A25" s="325"/>
      <c r="B25" s="344" t="s">
        <v>1556</v>
      </c>
      <c r="C25" s="345"/>
      <c r="D25" s="345"/>
      <c r="E25" s="345"/>
      <c r="F25" s="345"/>
      <c r="G25" s="345"/>
      <c r="H25" s="345"/>
      <c r="I25" s="345"/>
      <c r="J25" s="345"/>
      <c r="K25" s="345"/>
      <c r="L25" s="345"/>
      <c r="M25" s="345"/>
      <c r="N25" s="371"/>
      <c r="O25" s="349"/>
      <c r="P25" s="349"/>
      <c r="Q25" s="349"/>
      <c r="R25" s="349"/>
      <c r="S25" s="349"/>
      <c r="T25" s="349"/>
      <c r="U25" s="349"/>
      <c r="V25" s="349"/>
      <c r="W25" s="349"/>
      <c r="X25" s="349"/>
      <c r="Y25" s="349"/>
      <c r="Z25" s="349"/>
      <c r="AA25" s="349"/>
      <c r="AB25" s="349"/>
      <c r="AC25" s="349"/>
      <c r="AD25" s="349"/>
    </row>
    <row r="26" s="324" customFormat="1" ht="18" customHeight="1" spans="1:30">
      <c r="A26" s="325"/>
      <c r="B26" s="344" t="s">
        <v>1557</v>
      </c>
      <c r="C26" s="346"/>
      <c r="D26" s="346"/>
      <c r="E26" s="346"/>
      <c r="F26" s="346"/>
      <c r="G26" s="346"/>
      <c r="H26" s="346"/>
      <c r="I26" s="346"/>
      <c r="J26" s="346"/>
      <c r="K26" s="346"/>
      <c r="L26" s="346"/>
      <c r="M26" s="346"/>
      <c r="N26" s="372"/>
      <c r="O26" s="349"/>
      <c r="P26" s="349"/>
      <c r="Q26" s="349"/>
      <c r="R26" s="349"/>
      <c r="S26" s="349"/>
      <c r="T26" s="349"/>
      <c r="U26" s="349"/>
      <c r="V26" s="349"/>
      <c r="W26" s="349"/>
      <c r="X26" s="349"/>
      <c r="Y26" s="349"/>
      <c r="Z26" s="349"/>
      <c r="AA26" s="349"/>
      <c r="AB26" s="349"/>
      <c r="AC26" s="349"/>
      <c r="AD26" s="349"/>
    </row>
    <row r="27" s="324" customFormat="1" ht="18" customHeight="1" spans="1:30">
      <c r="A27" s="325"/>
      <c r="B27" s="344" t="s">
        <v>1558</v>
      </c>
      <c r="L27" s="373" t="s">
        <v>1559</v>
      </c>
      <c r="M27" s="374"/>
      <c r="N27" s="375"/>
      <c r="O27" s="349"/>
      <c r="P27" s="349"/>
      <c r="Q27" s="349"/>
      <c r="R27" s="349"/>
      <c r="S27" s="349"/>
      <c r="T27" s="349"/>
      <c r="U27" s="349"/>
      <c r="V27" s="349"/>
      <c r="W27" s="349"/>
      <c r="X27" s="349"/>
      <c r="Y27" s="349"/>
      <c r="Z27" s="349"/>
      <c r="AA27" s="349"/>
      <c r="AB27" s="349"/>
      <c r="AC27" s="349"/>
      <c r="AD27" s="349"/>
    </row>
    <row r="28" s="324" customFormat="1" ht="18" customHeight="1" spans="1:30">
      <c r="A28" s="325"/>
      <c r="B28" s="347" t="s">
        <v>1560</v>
      </c>
      <c r="C28" s="348"/>
      <c r="D28" s="348"/>
      <c r="E28" s="348"/>
      <c r="F28" s="348"/>
      <c r="G28" s="348"/>
      <c r="H28" s="348"/>
      <c r="I28" s="348"/>
      <c r="J28" s="348"/>
      <c r="K28" s="348"/>
      <c r="L28" s="376" t="s">
        <v>1561</v>
      </c>
      <c r="M28" s="376"/>
      <c r="N28" s="377"/>
      <c r="O28" s="349"/>
      <c r="P28" s="349"/>
      <c r="Q28" s="349"/>
      <c r="R28" s="349"/>
      <c r="S28" s="349"/>
      <c r="T28" s="349"/>
      <c r="U28" s="349"/>
      <c r="V28" s="349"/>
      <c r="W28" s="349"/>
      <c r="X28" s="349"/>
      <c r="Y28" s="349"/>
      <c r="Z28" s="349"/>
      <c r="AA28" s="349"/>
      <c r="AB28" s="349"/>
      <c r="AC28" s="349"/>
      <c r="AD28" s="349"/>
    </row>
  </sheetData>
  <mergeCells count="15">
    <mergeCell ref="K6:N6"/>
    <mergeCell ref="K8:L8"/>
    <mergeCell ref="K14:L14"/>
    <mergeCell ref="K15:L15"/>
    <mergeCell ref="E19:F19"/>
    <mergeCell ref="E21:F21"/>
    <mergeCell ref="B24:N24"/>
    <mergeCell ref="B25:N25"/>
    <mergeCell ref="B26:N26"/>
    <mergeCell ref="B27:K27"/>
    <mergeCell ref="L27:N27"/>
    <mergeCell ref="B28:K28"/>
    <mergeCell ref="L28:N28"/>
    <mergeCell ref="M10:M11"/>
    <mergeCell ref="K10:L11"/>
  </mergeCells>
  <pageMargins left="0.7" right="0.7" top="0.75" bottom="0.75" header="0.3" footer="0.3"/>
  <pageSetup paperSize="9" orientation="portrait"/>
  <headerFooter/>
  <drawing r:id="rId1"/>
  <legacyDrawing r:id="rId2"/>
  <oleObjects>
    <mc:AlternateContent xmlns:mc="http://schemas.openxmlformats.org/markup-compatibility/2006">
      <mc:Choice Requires="x14">
        <oleObject shapeId="36871" progId="PictPub.Image.7" r:id="rId3">
          <objectPr defaultSize="0" r:id="rId4">
            <anchor>
              <from>
                <xdr:col>4</xdr:col>
                <xdr:colOff>438150</xdr:colOff>
                <xdr:row>13</xdr:row>
                <xdr:rowOff>85725</xdr:rowOff>
              </from>
              <to>
                <xdr:col>6</xdr:col>
                <xdr:colOff>304800</xdr:colOff>
                <xdr:row>16</xdr:row>
                <xdr:rowOff>85725</xdr:rowOff>
              </to>
            </anchor>
          </objectPr>
        </oleObject>
      </mc:Choice>
      <mc:Fallback>
        <oleObject shapeId="36871" progId="PictPub.Image.7" r:id="rId3"/>
      </mc:Fallback>
    </mc:AlternateContent>
    <mc:AlternateContent xmlns:mc="http://schemas.openxmlformats.org/markup-compatibility/2006">
      <mc:Choice Requires="x14">
        <oleObject shapeId="36872" progId="PictPub.Image.7" r:id="rId5">
          <objectPr defaultSize="0" r:id="rId6">
            <anchor>
              <from>
                <xdr:col>1</xdr:col>
                <xdr:colOff>180975</xdr:colOff>
                <xdr:row>10</xdr:row>
                <xdr:rowOff>152400</xdr:rowOff>
              </from>
              <to>
                <xdr:col>5</xdr:col>
                <xdr:colOff>161925</xdr:colOff>
                <xdr:row>16</xdr:row>
                <xdr:rowOff>85725</xdr:rowOff>
              </to>
            </anchor>
          </objectPr>
        </oleObject>
      </mc:Choice>
      <mc:Fallback>
        <oleObject shapeId="36872" progId="PictPub.Image.7" r:id="rId5"/>
      </mc:Fallback>
    </mc:AlternateContent>
    <mc:AlternateContent xmlns:mc="http://schemas.openxmlformats.org/markup-compatibility/2006">
      <mc:Choice Requires="x14">
        <oleObject shapeId="36873" progId="PictPub.Image.7" r:id="rId7">
          <objectPr defaultSize="0" r:id="rId8">
            <anchor>
              <from>
                <xdr:col>1</xdr:col>
                <xdr:colOff>190500</xdr:colOff>
                <xdr:row>0</xdr:row>
                <xdr:rowOff>209550</xdr:rowOff>
              </from>
              <to>
                <xdr:col>8</xdr:col>
                <xdr:colOff>447675</xdr:colOff>
                <xdr:row>10</xdr:row>
                <xdr:rowOff>9525</xdr:rowOff>
              </to>
            </anchor>
          </objectPr>
        </oleObject>
      </mc:Choice>
      <mc:Fallback>
        <oleObject shapeId="36873" progId="PictPub.Image.7" r:id="rId7"/>
      </mc:Fallback>
    </mc:AlternateContent>
    <mc:AlternateContent xmlns:mc="http://schemas.openxmlformats.org/markup-compatibility/2006">
      <mc:Choice Requires="x14">
        <oleObject shapeId="36874" progId="PictPub.Image.7" r:id="rId9">
          <objectPr defaultSize="0" r:id="rId10">
            <anchor>
              <from>
                <xdr:col>5</xdr:col>
                <xdr:colOff>514350</xdr:colOff>
                <xdr:row>0</xdr:row>
                <xdr:rowOff>209550</xdr:rowOff>
              </from>
              <to>
                <xdr:col>8</xdr:col>
                <xdr:colOff>447675</xdr:colOff>
                <xdr:row>16</xdr:row>
                <xdr:rowOff>76200</xdr:rowOff>
              </to>
            </anchor>
          </objectPr>
        </oleObject>
      </mc:Choice>
      <mc:Fallback>
        <oleObject shapeId="36874" progId="PictPub.Image.7" r:id="rId9"/>
      </mc:Fallback>
    </mc:AlternateContent>
    <mc:AlternateContent xmlns:mc="http://schemas.openxmlformats.org/markup-compatibility/2006">
      <mc:Choice Requires="x14">
        <oleObject shapeId="36875" progId="PictPub.Image.7" r:id="rId11">
          <objectPr defaultSize="0" r:id="rId12">
            <anchor>
              <from>
                <xdr:col>1</xdr:col>
                <xdr:colOff>180975</xdr:colOff>
                <xdr:row>1</xdr:row>
                <xdr:rowOff>0</xdr:rowOff>
              </from>
              <to>
                <xdr:col>2</xdr:col>
                <xdr:colOff>142875</xdr:colOff>
                <xdr:row>16</xdr:row>
                <xdr:rowOff>76200</xdr:rowOff>
              </to>
            </anchor>
          </objectPr>
        </oleObject>
      </mc:Choice>
      <mc:Fallback>
        <oleObject shapeId="36875" progId="PictPub.Image.7" r:id="rId11"/>
      </mc:Fallback>
    </mc:AlternateContent>
    <mc:AlternateContent xmlns:mc="http://schemas.openxmlformats.org/markup-compatibility/2006">
      <mc:Choice Requires="x14">
        <oleObject shapeId="36876" progId="PictPub.Image.7" r:id="rId13">
          <objectPr defaultSize="0" r:id="rId14">
            <anchor>
              <from>
                <xdr:col>2</xdr:col>
                <xdr:colOff>523875</xdr:colOff>
                <xdr:row>0</xdr:row>
                <xdr:rowOff>219075</xdr:rowOff>
              </from>
              <to>
                <xdr:col>5</xdr:col>
                <xdr:colOff>171450</xdr:colOff>
                <xdr:row>16</xdr:row>
                <xdr:rowOff>57150</xdr:rowOff>
              </to>
            </anchor>
          </objectPr>
        </oleObject>
      </mc:Choice>
      <mc:Fallback>
        <oleObject shapeId="36876" progId="PictPub.Image.7" r:id="rId13"/>
      </mc:Fallback>
    </mc:AlternateContent>
  </oleObject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8000"/>
  </sheetPr>
  <dimension ref="A1:K201"/>
  <sheetViews>
    <sheetView workbookViewId="0">
      <selection activeCell="D18" sqref="D18"/>
    </sheetView>
  </sheetViews>
  <sheetFormatPr defaultColWidth="9" defaultRowHeight="13.5"/>
  <cols>
    <col min="1" max="1" width="59.375" style="283" customWidth="1"/>
    <col min="2" max="2" width="12.25" style="283" customWidth="1"/>
    <col min="3" max="3" width="13.875" style="283" customWidth="1"/>
    <col min="4" max="4" width="20" style="283" customWidth="1"/>
    <col min="5" max="5" width="9.875" style="283" customWidth="1"/>
    <col min="6" max="6" width="35.875" style="283" customWidth="1"/>
    <col min="7" max="11" width="9.875" style="283" customWidth="1"/>
    <col min="12" max="16384" width="9" style="283"/>
  </cols>
  <sheetData>
    <row r="1" ht="18" spans="1:11">
      <c r="A1" s="284" t="s">
        <v>1562</v>
      </c>
      <c r="B1" s="315"/>
      <c r="C1" s="315"/>
      <c r="D1" s="315"/>
      <c r="E1" s="315"/>
      <c r="F1" s="315"/>
      <c r="G1" s="315"/>
      <c r="H1" s="315"/>
      <c r="I1" s="315"/>
      <c r="J1" s="315"/>
      <c r="K1" s="315"/>
    </row>
    <row r="2" ht="25.5" spans="1:11">
      <c r="A2" s="315"/>
      <c r="B2" s="315"/>
      <c r="C2" s="315"/>
      <c r="D2" s="315"/>
      <c r="E2" s="315"/>
      <c r="F2" s="286" t="s">
        <v>1563</v>
      </c>
      <c r="G2" s="315"/>
      <c r="H2" s="315"/>
      <c r="I2" s="315"/>
      <c r="J2" s="315"/>
      <c r="K2" s="315"/>
    </row>
    <row r="3" ht="26.25" spans="1:11">
      <c r="A3" s="315"/>
      <c r="B3" s="315"/>
      <c r="C3" s="315"/>
      <c r="D3" s="315"/>
      <c r="E3" s="315"/>
      <c r="F3" s="290" t="s">
        <v>1564</v>
      </c>
      <c r="G3" s="315"/>
      <c r="H3" s="315"/>
      <c r="I3" s="315"/>
      <c r="J3" s="315"/>
      <c r="K3" s="315"/>
    </row>
    <row r="4" ht="16.5" spans="1:11">
      <c r="A4" s="289" t="s">
        <v>1565</v>
      </c>
      <c r="B4" s="315"/>
      <c r="C4" s="315"/>
      <c r="D4" s="315"/>
      <c r="E4" s="315"/>
      <c r="F4" s="292" t="s">
        <v>1566</v>
      </c>
      <c r="G4" s="315"/>
      <c r="H4" s="315"/>
      <c r="I4" s="315"/>
      <c r="J4" s="315"/>
      <c r="K4" s="315"/>
    </row>
    <row r="5" ht="14.25" spans="1:11">
      <c r="A5" s="315"/>
      <c r="B5" s="315"/>
      <c r="C5" s="315"/>
      <c r="D5" s="315"/>
      <c r="E5" s="315"/>
      <c r="F5" s="296" t="s">
        <v>1567</v>
      </c>
      <c r="G5" s="315"/>
      <c r="H5" s="315"/>
      <c r="I5" s="315"/>
      <c r="J5" s="315"/>
      <c r="K5" s="315"/>
    </row>
    <row r="6" ht="16.5" spans="1:11">
      <c r="A6" s="316" t="s">
        <v>1568</v>
      </c>
      <c r="B6" s="317">
        <v>1</v>
      </c>
      <c r="C6" s="318" t="s">
        <v>1569</v>
      </c>
      <c r="D6" s="315"/>
      <c r="E6" s="315"/>
      <c r="F6" s="296" t="s">
        <v>1570</v>
      </c>
      <c r="G6" s="315"/>
      <c r="H6" s="315"/>
      <c r="I6" s="315"/>
      <c r="J6" s="315"/>
      <c r="K6" s="315"/>
    </row>
    <row r="7" ht="16.5" spans="1:11">
      <c r="A7" s="319" t="s">
        <v>1571</v>
      </c>
      <c r="B7" s="317">
        <v>1</v>
      </c>
      <c r="C7" s="318" t="s">
        <v>1572</v>
      </c>
      <c r="D7" s="315"/>
      <c r="E7" s="315"/>
      <c r="F7" s="296" t="s">
        <v>1573</v>
      </c>
      <c r="G7" s="315"/>
      <c r="H7" s="315"/>
      <c r="I7" s="315"/>
      <c r="J7" s="315"/>
      <c r="K7" s="315"/>
    </row>
    <row r="8" ht="16.5" spans="1:11">
      <c r="A8" s="316" t="s">
        <v>1574</v>
      </c>
      <c r="B8" s="317">
        <v>1</v>
      </c>
      <c r="C8" s="318" t="s">
        <v>1575</v>
      </c>
      <c r="D8" s="318"/>
      <c r="E8" s="315"/>
      <c r="F8" s="315"/>
      <c r="G8" s="315"/>
      <c r="H8" s="315"/>
      <c r="I8" s="315"/>
      <c r="J8" s="315"/>
      <c r="K8" s="315"/>
    </row>
    <row r="9" spans="1:11">
      <c r="A9" s="320"/>
      <c r="B9" s="315"/>
      <c r="C9" s="315"/>
      <c r="D9" s="315"/>
      <c r="E9" s="315"/>
      <c r="F9" s="315"/>
      <c r="G9" s="315"/>
      <c r="H9" s="315"/>
      <c r="I9" s="315"/>
      <c r="J9" s="315"/>
      <c r="K9" s="315"/>
    </row>
    <row r="10" ht="14.25" spans="1:11">
      <c r="A10" s="315"/>
      <c r="B10" s="315"/>
      <c r="C10" s="315"/>
      <c r="D10" s="315"/>
      <c r="E10" s="315"/>
      <c r="F10" s="315"/>
      <c r="G10" s="315"/>
      <c r="H10" s="315"/>
      <c r="I10" s="315"/>
      <c r="J10" s="315"/>
      <c r="K10" s="315"/>
    </row>
    <row r="11" ht="16.5" spans="1:11">
      <c r="A11" s="302" t="s">
        <v>1576</v>
      </c>
      <c r="B11" s="315"/>
      <c r="C11" s="315"/>
      <c r="D11" s="315"/>
      <c r="E11" s="315"/>
      <c r="F11" s="315"/>
      <c r="G11" s="315"/>
      <c r="H11" s="315"/>
      <c r="I11" s="315"/>
      <c r="J11" s="315"/>
      <c r="K11" s="315"/>
    </row>
    <row r="12" ht="14.25" spans="1:11">
      <c r="A12" s="315"/>
      <c r="B12" s="315"/>
      <c r="C12" s="315"/>
      <c r="D12" s="315"/>
      <c r="E12" s="315"/>
      <c r="F12" s="315"/>
      <c r="G12" s="315"/>
      <c r="H12" s="315"/>
      <c r="I12" s="315"/>
      <c r="J12" s="315"/>
      <c r="K12" s="315"/>
    </row>
    <row r="13" ht="14.25" spans="1:11">
      <c r="A13" s="321" t="s">
        <v>1577</v>
      </c>
      <c r="B13" s="322"/>
      <c r="C13" s="322"/>
      <c r="D13" s="322"/>
      <c r="E13" s="322"/>
      <c r="F13" s="322"/>
      <c r="G13" s="322"/>
      <c r="H13" s="322"/>
      <c r="I13" s="322"/>
      <c r="J13" s="322"/>
      <c r="K13" s="322"/>
    </row>
    <row r="14" ht="16.5" spans="1:11">
      <c r="A14" s="309" t="s">
        <v>1578</v>
      </c>
      <c r="B14" s="323">
        <f>B15/($B$8*1.378)</f>
        <v>220.088291785082</v>
      </c>
      <c r="C14" s="322" t="s">
        <v>1579</v>
      </c>
      <c r="D14" s="322"/>
      <c r="E14" s="322"/>
      <c r="F14" s="322"/>
      <c r="G14" s="322"/>
      <c r="H14" s="322"/>
      <c r="I14" s="322"/>
      <c r="J14" s="322"/>
      <c r="K14" s="322"/>
    </row>
    <row r="15" spans="1:11">
      <c r="A15" s="312" t="s">
        <v>1580</v>
      </c>
      <c r="B15" s="312">
        <f>($B$6/(0.015*($B$7)^0.5453))^(1/0.7349)</f>
        <v>303.281666079843</v>
      </c>
      <c r="C15" s="312" t="s">
        <v>1581</v>
      </c>
      <c r="D15" s="322"/>
      <c r="E15" s="322"/>
      <c r="F15" s="322"/>
      <c r="G15" s="322"/>
      <c r="H15" s="322"/>
      <c r="I15" s="322"/>
      <c r="J15" s="322"/>
      <c r="K15" s="322"/>
    </row>
    <row r="16" spans="1:11">
      <c r="A16" s="312"/>
      <c r="B16" s="312"/>
      <c r="C16" s="312"/>
      <c r="D16" s="322"/>
      <c r="E16" s="322"/>
      <c r="F16" s="322"/>
      <c r="G16" s="322"/>
      <c r="H16" s="322"/>
      <c r="I16" s="322"/>
      <c r="J16" s="322"/>
      <c r="K16" s="322"/>
    </row>
    <row r="17" ht="14.25" spans="1:11">
      <c r="A17" s="312"/>
      <c r="B17" s="312"/>
      <c r="C17" s="312"/>
      <c r="D17" s="322"/>
      <c r="E17" s="322"/>
      <c r="F17" s="322"/>
      <c r="G17" s="322"/>
      <c r="H17" s="322"/>
      <c r="I17" s="322"/>
      <c r="J17" s="322"/>
      <c r="K17" s="322"/>
    </row>
    <row r="18" ht="14.25" spans="1:11">
      <c r="A18" s="321" t="s">
        <v>1582</v>
      </c>
      <c r="B18" s="322"/>
      <c r="C18" s="322"/>
      <c r="D18" s="322"/>
      <c r="E18" s="322"/>
      <c r="F18" s="322"/>
      <c r="G18" s="322"/>
      <c r="H18" s="322"/>
      <c r="I18" s="322"/>
      <c r="J18" s="322"/>
      <c r="K18" s="322"/>
    </row>
    <row r="19" ht="16.5" spans="1:11">
      <c r="A19" s="309" t="s">
        <v>1583</v>
      </c>
      <c r="B19" s="323">
        <f>B20/($B$8*1.378)</f>
        <v>42.3725199678783</v>
      </c>
      <c r="C19" s="322" t="s">
        <v>1579</v>
      </c>
      <c r="D19" s="322"/>
      <c r="E19" s="322"/>
      <c r="F19" s="322"/>
      <c r="G19" s="322"/>
      <c r="H19" s="322"/>
      <c r="I19" s="322"/>
      <c r="J19" s="322"/>
      <c r="K19" s="322"/>
    </row>
    <row r="20" spans="1:11">
      <c r="A20" s="312" t="s">
        <v>1580</v>
      </c>
      <c r="B20" s="312">
        <f>($B$6/(0.0647*($B$7)^0.4281))^(1/0.6732)</f>
        <v>58.3893325157363</v>
      </c>
      <c r="C20" s="312" t="s">
        <v>1581</v>
      </c>
      <c r="D20" s="322"/>
      <c r="E20" s="322"/>
      <c r="F20" s="322"/>
      <c r="G20" s="322"/>
      <c r="H20" s="322"/>
      <c r="I20" s="322"/>
      <c r="J20" s="322"/>
      <c r="K20" s="322"/>
    </row>
    <row r="21" spans="1:11">
      <c r="A21" s="312"/>
      <c r="B21" s="312"/>
      <c r="C21" s="312"/>
      <c r="D21" s="315"/>
      <c r="E21" s="315"/>
      <c r="F21" s="315"/>
      <c r="G21" s="315"/>
      <c r="H21" s="315"/>
      <c r="I21" s="315"/>
      <c r="J21" s="315"/>
      <c r="K21" s="315"/>
    </row>
    <row r="22" spans="1:11">
      <c r="A22" s="312"/>
      <c r="B22" s="312"/>
      <c r="C22" s="312"/>
      <c r="D22" s="315"/>
      <c r="E22" s="315"/>
      <c r="F22" s="315"/>
      <c r="G22" s="315"/>
      <c r="H22" s="315"/>
      <c r="I22" s="315"/>
      <c r="J22" s="315"/>
      <c r="K22" s="315"/>
    </row>
    <row r="23" spans="1:11">
      <c r="A23" s="312"/>
      <c r="B23" s="312"/>
      <c r="C23" s="312"/>
      <c r="D23" s="315"/>
      <c r="E23" s="315"/>
      <c r="F23" s="315"/>
      <c r="G23" s="315"/>
      <c r="H23" s="315"/>
      <c r="I23" s="315"/>
      <c r="J23" s="315"/>
      <c r="K23" s="315"/>
    </row>
    <row r="24" spans="1:11">
      <c r="A24" s="315"/>
      <c r="B24" s="315"/>
      <c r="C24" s="315"/>
      <c r="D24" s="315"/>
      <c r="E24" s="315"/>
      <c r="F24" s="315"/>
      <c r="G24" s="315"/>
      <c r="H24" s="315"/>
      <c r="I24" s="315"/>
      <c r="J24" s="315"/>
      <c r="K24" s="315"/>
    </row>
    <row r="25" spans="1:11">
      <c r="A25" s="315"/>
      <c r="B25" s="315"/>
      <c r="C25" s="315"/>
      <c r="D25" s="315"/>
      <c r="E25" s="315"/>
      <c r="F25" s="315"/>
      <c r="G25" s="315"/>
      <c r="H25" s="315"/>
      <c r="I25" s="315"/>
      <c r="J25" s="315"/>
      <c r="K25" s="315"/>
    </row>
    <row r="26" spans="1:11">
      <c r="A26" s="313" t="s">
        <v>1584</v>
      </c>
      <c r="B26" s="315"/>
      <c r="C26" s="315"/>
      <c r="D26" s="315"/>
      <c r="E26" s="315"/>
      <c r="F26" s="315"/>
      <c r="G26" s="315"/>
      <c r="H26" s="315"/>
      <c r="I26" s="315"/>
      <c r="J26" s="315"/>
      <c r="K26" s="315"/>
    </row>
    <row r="27" ht="15.75" spans="1:11">
      <c r="A27" s="314" t="s">
        <v>1585</v>
      </c>
      <c r="B27" s="315"/>
      <c r="C27" s="315"/>
      <c r="D27" s="315"/>
      <c r="E27" s="315"/>
      <c r="F27" s="315"/>
      <c r="G27" s="315"/>
      <c r="H27" s="315"/>
      <c r="I27" s="315"/>
      <c r="J27" s="315"/>
      <c r="K27" s="315"/>
    </row>
    <row r="28" spans="1:11">
      <c r="A28" s="304" t="s">
        <v>1586</v>
      </c>
      <c r="B28" s="315"/>
      <c r="C28" s="315"/>
      <c r="D28" s="315"/>
      <c r="E28" s="315"/>
      <c r="F28" s="315"/>
      <c r="G28" s="315"/>
      <c r="H28" s="315"/>
      <c r="I28" s="315"/>
      <c r="J28" s="315"/>
      <c r="K28" s="315"/>
    </row>
    <row r="29" spans="1:11">
      <c r="A29" s="315"/>
      <c r="B29" s="315"/>
      <c r="C29" s="315"/>
      <c r="D29" s="315"/>
      <c r="E29" s="315"/>
      <c r="F29" s="315"/>
      <c r="G29" s="315"/>
      <c r="H29" s="315"/>
      <c r="I29" s="315"/>
      <c r="J29" s="315"/>
      <c r="K29" s="315"/>
    </row>
    <row r="30" spans="1:11">
      <c r="A30" s="315"/>
      <c r="B30" s="315"/>
      <c r="C30" s="315"/>
      <c r="D30" s="315"/>
      <c r="E30" s="315"/>
      <c r="F30" s="315"/>
      <c r="G30" s="315"/>
      <c r="H30" s="315"/>
      <c r="I30" s="315"/>
      <c r="J30" s="315"/>
      <c r="K30" s="315"/>
    </row>
    <row r="31" spans="1:11">
      <c r="A31" s="315"/>
      <c r="B31" s="315"/>
      <c r="C31" s="315"/>
      <c r="D31" s="315"/>
      <c r="E31" s="315"/>
      <c r="F31" s="315"/>
      <c r="G31" s="315"/>
      <c r="H31" s="315"/>
      <c r="I31" s="315"/>
      <c r="J31" s="315"/>
      <c r="K31" s="315"/>
    </row>
    <row r="32" spans="1:11">
      <c r="A32" s="315"/>
      <c r="B32" s="315"/>
      <c r="C32" s="315"/>
      <c r="D32" s="315"/>
      <c r="E32" s="315"/>
      <c r="F32" s="315"/>
      <c r="G32" s="315"/>
      <c r="H32" s="315"/>
      <c r="I32" s="315"/>
      <c r="J32" s="315"/>
      <c r="K32" s="315"/>
    </row>
    <row r="33" spans="1:11">
      <c r="A33" s="315"/>
      <c r="B33" s="315"/>
      <c r="C33" s="315"/>
      <c r="D33" s="315"/>
      <c r="E33" s="315"/>
      <c r="F33" s="315"/>
      <c r="G33" s="315"/>
      <c r="H33" s="315"/>
      <c r="I33" s="315"/>
      <c r="J33" s="315"/>
      <c r="K33" s="315"/>
    </row>
    <row r="34" spans="1:11">
      <c r="A34" s="315"/>
      <c r="B34" s="315"/>
      <c r="C34" s="315"/>
      <c r="D34" s="315"/>
      <c r="E34" s="315"/>
      <c r="F34" s="315"/>
      <c r="G34" s="315"/>
      <c r="H34" s="315"/>
      <c r="I34" s="315"/>
      <c r="J34" s="315"/>
      <c r="K34" s="315"/>
    </row>
    <row r="35" spans="1:11">
      <c r="A35" s="315"/>
      <c r="B35" s="315"/>
      <c r="C35" s="315"/>
      <c r="D35" s="315"/>
      <c r="E35" s="315"/>
      <c r="F35" s="315"/>
      <c r="G35" s="315"/>
      <c r="H35" s="315"/>
      <c r="I35" s="315"/>
      <c r="J35" s="315"/>
      <c r="K35" s="315"/>
    </row>
    <row r="36" spans="1:11">
      <c r="A36" s="315"/>
      <c r="B36" s="315"/>
      <c r="C36" s="315"/>
      <c r="D36" s="315"/>
      <c r="E36" s="315"/>
      <c r="F36" s="315"/>
      <c r="G36" s="315"/>
      <c r="H36" s="315"/>
      <c r="I36" s="315"/>
      <c r="J36" s="315"/>
      <c r="K36" s="315"/>
    </row>
    <row r="37" spans="1:11">
      <c r="A37" s="315"/>
      <c r="B37" s="315"/>
      <c r="C37" s="315"/>
      <c r="D37" s="315"/>
      <c r="E37" s="315"/>
      <c r="F37" s="315"/>
      <c r="G37" s="315"/>
      <c r="H37" s="315"/>
      <c r="I37" s="315"/>
      <c r="J37" s="315"/>
      <c r="K37" s="315"/>
    </row>
    <row r="38" spans="1:11">
      <c r="A38" s="315"/>
      <c r="B38" s="315"/>
      <c r="C38" s="315"/>
      <c r="D38" s="315"/>
      <c r="E38" s="315"/>
      <c r="F38" s="315"/>
      <c r="G38" s="315"/>
      <c r="H38" s="315"/>
      <c r="I38" s="315"/>
      <c r="J38" s="315"/>
      <c r="K38" s="315"/>
    </row>
    <row r="39" spans="1:11">
      <c r="A39" s="315"/>
      <c r="B39" s="315"/>
      <c r="C39" s="315"/>
      <c r="D39" s="315"/>
      <c r="E39" s="315"/>
      <c r="F39" s="315"/>
      <c r="G39" s="315"/>
      <c r="H39" s="315"/>
      <c r="I39" s="315"/>
      <c r="J39" s="315"/>
      <c r="K39" s="315"/>
    </row>
    <row r="40" spans="1:11">
      <c r="A40" s="315"/>
      <c r="B40" s="315"/>
      <c r="C40" s="315"/>
      <c r="D40" s="315"/>
      <c r="E40" s="315"/>
      <c r="F40" s="315"/>
      <c r="G40" s="315"/>
      <c r="H40" s="315"/>
      <c r="I40" s="315"/>
      <c r="J40" s="315"/>
      <c r="K40" s="315"/>
    </row>
    <row r="41" spans="1:11">
      <c r="A41" s="315"/>
      <c r="B41" s="315"/>
      <c r="C41" s="315"/>
      <c r="D41" s="315"/>
      <c r="E41" s="315"/>
      <c r="F41" s="315"/>
      <c r="G41" s="315"/>
      <c r="H41" s="315"/>
      <c r="I41" s="315"/>
      <c r="J41" s="315"/>
      <c r="K41" s="315"/>
    </row>
    <row r="42" spans="1:11">
      <c r="A42" s="315"/>
      <c r="B42" s="315"/>
      <c r="C42" s="315"/>
      <c r="D42" s="315"/>
      <c r="E42" s="315"/>
      <c r="F42" s="315"/>
      <c r="G42" s="315"/>
      <c r="H42" s="315"/>
      <c r="I42" s="315"/>
      <c r="J42" s="315"/>
      <c r="K42" s="315"/>
    </row>
    <row r="43" spans="1:11">
      <c r="A43" s="315"/>
      <c r="B43" s="315"/>
      <c r="C43" s="315"/>
      <c r="D43" s="315"/>
      <c r="E43" s="315"/>
      <c r="F43" s="315"/>
      <c r="G43" s="315"/>
      <c r="H43" s="315"/>
      <c r="I43" s="315"/>
      <c r="J43" s="315"/>
      <c r="K43" s="315"/>
    </row>
    <row r="44" spans="1:11">
      <c r="A44" s="315"/>
      <c r="B44" s="315"/>
      <c r="C44" s="315"/>
      <c r="D44" s="315"/>
      <c r="E44" s="315"/>
      <c r="F44" s="315"/>
      <c r="G44" s="315"/>
      <c r="H44" s="315"/>
      <c r="I44" s="315"/>
      <c r="J44" s="315"/>
      <c r="K44" s="315"/>
    </row>
    <row r="45" spans="1:11">
      <c r="A45" s="315"/>
      <c r="B45" s="315"/>
      <c r="C45" s="315"/>
      <c r="D45" s="315"/>
      <c r="E45" s="315"/>
      <c r="F45" s="315"/>
      <c r="G45" s="315"/>
      <c r="H45" s="315"/>
      <c r="I45" s="315"/>
      <c r="J45" s="315"/>
      <c r="K45" s="315"/>
    </row>
    <row r="46" spans="1:11">
      <c r="A46" s="315"/>
      <c r="B46" s="315"/>
      <c r="C46" s="315"/>
      <c r="D46" s="315"/>
      <c r="E46" s="315"/>
      <c r="F46" s="315"/>
      <c r="G46" s="315"/>
      <c r="H46" s="315"/>
      <c r="I46" s="315"/>
      <c r="J46" s="315"/>
      <c r="K46" s="315"/>
    </row>
    <row r="47" spans="1:11">
      <c r="A47" s="315"/>
      <c r="B47" s="315"/>
      <c r="C47" s="315"/>
      <c r="D47" s="315"/>
      <c r="E47" s="315"/>
      <c r="F47" s="315"/>
      <c r="G47" s="315"/>
      <c r="H47" s="315"/>
      <c r="I47" s="315"/>
      <c r="J47" s="315"/>
      <c r="K47" s="315"/>
    </row>
    <row r="48" spans="1:11">
      <c r="A48" s="315"/>
      <c r="B48" s="315"/>
      <c r="C48" s="315"/>
      <c r="D48" s="315"/>
      <c r="E48" s="315"/>
      <c r="F48" s="315"/>
      <c r="G48" s="315"/>
      <c r="H48" s="315"/>
      <c r="I48" s="315"/>
      <c r="J48" s="315"/>
      <c r="K48" s="315"/>
    </row>
    <row r="49" spans="1:11">
      <c r="A49" s="315"/>
      <c r="B49" s="315"/>
      <c r="C49" s="315"/>
      <c r="D49" s="315"/>
      <c r="E49" s="315"/>
      <c r="F49" s="315"/>
      <c r="G49" s="315"/>
      <c r="H49" s="315"/>
      <c r="I49" s="315"/>
      <c r="J49" s="315"/>
      <c r="K49" s="315"/>
    </row>
    <row r="50" spans="1:11">
      <c r="A50" s="315"/>
      <c r="B50" s="315"/>
      <c r="C50" s="315"/>
      <c r="D50" s="315"/>
      <c r="E50" s="315"/>
      <c r="F50" s="315"/>
      <c r="G50" s="315"/>
      <c r="H50" s="315"/>
      <c r="I50" s="315"/>
      <c r="J50" s="315"/>
      <c r="K50" s="315"/>
    </row>
    <row r="51" spans="1:11">
      <c r="A51" s="315"/>
      <c r="B51" s="315"/>
      <c r="C51" s="315"/>
      <c r="D51" s="315"/>
      <c r="E51" s="315"/>
      <c r="F51" s="315"/>
      <c r="G51" s="315"/>
      <c r="H51" s="315"/>
      <c r="I51" s="315"/>
      <c r="J51" s="315"/>
      <c r="K51" s="315"/>
    </row>
    <row r="52" spans="1:11">
      <c r="A52" s="315"/>
      <c r="B52" s="315"/>
      <c r="C52" s="315"/>
      <c r="D52" s="315"/>
      <c r="E52" s="315"/>
      <c r="F52" s="315"/>
      <c r="G52" s="315"/>
      <c r="H52" s="315"/>
      <c r="I52" s="315"/>
      <c r="J52" s="315"/>
      <c r="K52" s="315"/>
    </row>
    <row r="53" spans="1:11">
      <c r="A53" s="315"/>
      <c r="B53" s="315"/>
      <c r="C53" s="315"/>
      <c r="D53" s="315"/>
      <c r="E53" s="315"/>
      <c r="F53" s="315"/>
      <c r="G53" s="315"/>
      <c r="H53" s="315"/>
      <c r="I53" s="315"/>
      <c r="J53" s="315"/>
      <c r="K53" s="315"/>
    </row>
    <row r="54" spans="1:11">
      <c r="A54" s="315"/>
      <c r="B54" s="315"/>
      <c r="C54" s="315"/>
      <c r="D54" s="315"/>
      <c r="E54" s="315"/>
      <c r="F54" s="315"/>
      <c r="G54" s="315"/>
      <c r="H54" s="315"/>
      <c r="I54" s="315"/>
      <c r="J54" s="315"/>
      <c r="K54" s="315"/>
    </row>
    <row r="55" spans="1:11">
      <c r="A55" s="315"/>
      <c r="B55" s="315"/>
      <c r="C55" s="315"/>
      <c r="D55" s="315"/>
      <c r="E55" s="315"/>
      <c r="F55" s="315"/>
      <c r="G55" s="315"/>
      <c r="H55" s="315"/>
      <c r="I55" s="315"/>
      <c r="J55" s="315"/>
      <c r="K55" s="315"/>
    </row>
    <row r="56" spans="1:11">
      <c r="A56" s="315"/>
      <c r="B56" s="315"/>
      <c r="C56" s="315"/>
      <c r="D56" s="315"/>
      <c r="E56" s="315"/>
      <c r="F56" s="315"/>
      <c r="G56" s="315"/>
      <c r="H56" s="315"/>
      <c r="I56" s="315"/>
      <c r="J56" s="315"/>
      <c r="K56" s="315"/>
    </row>
    <row r="57" spans="1:11">
      <c r="A57" s="315"/>
      <c r="B57" s="315"/>
      <c r="C57" s="315"/>
      <c r="D57" s="315"/>
      <c r="E57" s="315"/>
      <c r="F57" s="315"/>
      <c r="G57" s="315"/>
      <c r="H57" s="315"/>
      <c r="I57" s="315"/>
      <c r="J57" s="315"/>
      <c r="K57" s="315"/>
    </row>
    <row r="58" spans="1:11">
      <c r="A58" s="315"/>
      <c r="B58" s="315"/>
      <c r="C58" s="315"/>
      <c r="D58" s="315"/>
      <c r="E58" s="315"/>
      <c r="F58" s="315"/>
      <c r="G58" s="315"/>
      <c r="H58" s="315"/>
      <c r="I58" s="315"/>
      <c r="J58" s="315"/>
      <c r="K58" s="315"/>
    </row>
    <row r="59" spans="1:11">
      <c r="A59" s="315"/>
      <c r="B59" s="315"/>
      <c r="C59" s="315"/>
      <c r="D59" s="315"/>
      <c r="E59" s="315"/>
      <c r="F59" s="315"/>
      <c r="G59" s="315"/>
      <c r="H59" s="315"/>
      <c r="I59" s="315"/>
      <c r="J59" s="315"/>
      <c r="K59" s="315"/>
    </row>
    <row r="60" spans="1:11">
      <c r="A60" s="315"/>
      <c r="B60" s="315"/>
      <c r="C60" s="315"/>
      <c r="D60" s="315"/>
      <c r="E60" s="315"/>
      <c r="F60" s="315"/>
      <c r="G60" s="315"/>
      <c r="H60" s="315"/>
      <c r="I60" s="315"/>
      <c r="J60" s="315"/>
      <c r="K60" s="315"/>
    </row>
    <row r="61" spans="1:11">
      <c r="A61" s="315"/>
      <c r="B61" s="315"/>
      <c r="C61" s="315"/>
      <c r="D61" s="315"/>
      <c r="E61" s="315"/>
      <c r="F61" s="315"/>
      <c r="G61" s="315"/>
      <c r="H61" s="315"/>
      <c r="I61" s="315"/>
      <c r="J61" s="315"/>
      <c r="K61" s="315"/>
    </row>
    <row r="62" spans="1:11">
      <c r="A62" s="315"/>
      <c r="B62" s="315"/>
      <c r="C62" s="315"/>
      <c r="D62" s="315"/>
      <c r="E62" s="315"/>
      <c r="F62" s="315"/>
      <c r="G62" s="315"/>
      <c r="H62" s="315"/>
      <c r="I62" s="315"/>
      <c r="J62" s="315"/>
      <c r="K62" s="315"/>
    </row>
    <row r="63" spans="1:11">
      <c r="A63" s="315"/>
      <c r="B63" s="315"/>
      <c r="C63" s="315"/>
      <c r="D63" s="315"/>
      <c r="E63" s="315"/>
      <c r="F63" s="315"/>
      <c r="G63" s="315"/>
      <c r="H63" s="315"/>
      <c r="I63" s="315"/>
      <c r="J63" s="315"/>
      <c r="K63" s="315"/>
    </row>
    <row r="64" spans="1:11">
      <c r="A64" s="315"/>
      <c r="B64" s="315"/>
      <c r="C64" s="315"/>
      <c r="D64" s="315"/>
      <c r="E64" s="315"/>
      <c r="F64" s="315"/>
      <c r="G64" s="315"/>
      <c r="H64" s="315"/>
      <c r="I64" s="315"/>
      <c r="J64" s="315"/>
      <c r="K64" s="315"/>
    </row>
    <row r="65" spans="1:11">
      <c r="A65" s="315"/>
      <c r="B65" s="315"/>
      <c r="C65" s="315"/>
      <c r="D65" s="315"/>
      <c r="E65" s="315"/>
      <c r="F65" s="315"/>
      <c r="G65" s="315"/>
      <c r="H65" s="315"/>
      <c r="I65" s="315"/>
      <c r="J65" s="315"/>
      <c r="K65" s="315"/>
    </row>
    <row r="66" spans="1:11">
      <c r="A66" s="315"/>
      <c r="B66" s="315"/>
      <c r="C66" s="315"/>
      <c r="D66" s="315"/>
      <c r="E66" s="315"/>
      <c r="F66" s="315"/>
      <c r="G66" s="315"/>
      <c r="H66" s="315"/>
      <c r="I66" s="315"/>
      <c r="J66" s="315"/>
      <c r="K66" s="315"/>
    </row>
    <row r="67" spans="1:11">
      <c r="A67" s="315"/>
      <c r="B67" s="315"/>
      <c r="C67" s="315"/>
      <c r="D67" s="315"/>
      <c r="E67" s="315"/>
      <c r="F67" s="315"/>
      <c r="G67" s="315"/>
      <c r="H67" s="315"/>
      <c r="I67" s="315"/>
      <c r="J67" s="315"/>
      <c r="K67" s="315"/>
    </row>
    <row r="68" spans="1:11">
      <c r="A68" s="315"/>
      <c r="B68" s="315"/>
      <c r="C68" s="315"/>
      <c r="D68" s="315"/>
      <c r="E68" s="315"/>
      <c r="F68" s="315"/>
      <c r="G68" s="315"/>
      <c r="H68" s="315"/>
      <c r="I68" s="315"/>
      <c r="J68" s="315"/>
      <c r="K68" s="315"/>
    </row>
    <row r="69" spans="1:11">
      <c r="A69" s="315"/>
      <c r="B69" s="315"/>
      <c r="C69" s="315"/>
      <c r="D69" s="315"/>
      <c r="E69" s="315"/>
      <c r="F69" s="315"/>
      <c r="G69" s="315"/>
      <c r="H69" s="315"/>
      <c r="I69" s="315"/>
      <c r="J69" s="315"/>
      <c r="K69" s="315"/>
    </row>
    <row r="70" spans="1:11">
      <c r="A70" s="315"/>
      <c r="B70" s="315"/>
      <c r="C70" s="315"/>
      <c r="D70" s="315"/>
      <c r="E70" s="315"/>
      <c r="F70" s="315"/>
      <c r="G70" s="315"/>
      <c r="H70" s="315"/>
      <c r="I70" s="315"/>
      <c r="J70" s="315"/>
      <c r="K70" s="315"/>
    </row>
    <row r="71" spans="1:11">
      <c r="A71" s="315"/>
      <c r="B71" s="315"/>
      <c r="C71" s="315"/>
      <c r="D71" s="315"/>
      <c r="E71" s="315"/>
      <c r="F71" s="315"/>
      <c r="G71" s="315"/>
      <c r="H71" s="315"/>
      <c r="I71" s="315"/>
      <c r="J71" s="315"/>
      <c r="K71" s="315"/>
    </row>
    <row r="72" spans="1:11">
      <c r="A72" s="315"/>
      <c r="B72" s="315"/>
      <c r="C72" s="315"/>
      <c r="D72" s="315"/>
      <c r="E72" s="315"/>
      <c r="F72" s="315"/>
      <c r="G72" s="315"/>
      <c r="H72" s="315"/>
      <c r="I72" s="315"/>
      <c r="J72" s="315"/>
      <c r="K72" s="315"/>
    </row>
    <row r="73" spans="1:11">
      <c r="A73" s="315"/>
      <c r="B73" s="315"/>
      <c r="C73" s="315"/>
      <c r="D73" s="315"/>
      <c r="E73" s="315"/>
      <c r="F73" s="315"/>
      <c r="G73" s="315"/>
      <c r="H73" s="315"/>
      <c r="I73" s="315"/>
      <c r="J73" s="315"/>
      <c r="K73" s="315"/>
    </row>
    <row r="74" spans="1:11">
      <c r="A74" s="315"/>
      <c r="B74" s="315"/>
      <c r="C74" s="315"/>
      <c r="D74" s="315"/>
      <c r="E74" s="315"/>
      <c r="F74" s="315"/>
      <c r="G74" s="315"/>
      <c r="H74" s="315"/>
      <c r="I74" s="315"/>
      <c r="J74" s="315"/>
      <c r="K74" s="315"/>
    </row>
    <row r="75" spans="1:11">
      <c r="A75" s="315"/>
      <c r="B75" s="315"/>
      <c r="C75" s="315"/>
      <c r="D75" s="315"/>
      <c r="E75" s="315"/>
      <c r="F75" s="315"/>
      <c r="G75" s="315"/>
      <c r="H75" s="315"/>
      <c r="I75" s="315"/>
      <c r="J75" s="315"/>
      <c r="K75" s="315"/>
    </row>
    <row r="76" spans="1:11">
      <c r="A76" s="315"/>
      <c r="B76" s="315"/>
      <c r="C76" s="315"/>
      <c r="D76" s="315"/>
      <c r="E76" s="315"/>
      <c r="F76" s="315"/>
      <c r="G76" s="315"/>
      <c r="H76" s="315"/>
      <c r="I76" s="315"/>
      <c r="J76" s="315"/>
      <c r="K76" s="315"/>
    </row>
    <row r="77" spans="1:11">
      <c r="A77" s="315"/>
      <c r="B77" s="315"/>
      <c r="C77" s="315"/>
      <c r="D77" s="315"/>
      <c r="E77" s="315"/>
      <c r="F77" s="315"/>
      <c r="G77" s="315"/>
      <c r="H77" s="315"/>
      <c r="I77" s="315"/>
      <c r="J77" s="315"/>
      <c r="K77" s="315"/>
    </row>
    <row r="78" spans="1:11">
      <c r="A78" s="315"/>
      <c r="B78" s="315"/>
      <c r="C78" s="315"/>
      <c r="D78" s="315"/>
      <c r="E78" s="315"/>
      <c r="F78" s="315"/>
      <c r="G78" s="315"/>
      <c r="H78" s="315"/>
      <c r="I78" s="315"/>
      <c r="J78" s="315"/>
      <c r="K78" s="315"/>
    </row>
    <row r="79" spans="1:11">
      <c r="A79" s="315"/>
      <c r="B79" s="315"/>
      <c r="C79" s="315"/>
      <c r="D79" s="315"/>
      <c r="E79" s="315"/>
      <c r="F79" s="315"/>
      <c r="G79" s="315"/>
      <c r="H79" s="315"/>
      <c r="I79" s="315"/>
      <c r="J79" s="315"/>
      <c r="K79" s="315"/>
    </row>
    <row r="80" spans="1:11">
      <c r="A80" s="315"/>
      <c r="B80" s="315"/>
      <c r="C80" s="315"/>
      <c r="D80" s="315"/>
      <c r="E80" s="315"/>
      <c r="F80" s="315"/>
      <c r="G80" s="315"/>
      <c r="H80" s="315"/>
      <c r="I80" s="315"/>
      <c r="J80" s="315"/>
      <c r="K80" s="315"/>
    </row>
    <row r="81" spans="1:11">
      <c r="A81" s="315"/>
      <c r="B81" s="315"/>
      <c r="C81" s="315"/>
      <c r="D81" s="315"/>
      <c r="E81" s="315"/>
      <c r="F81" s="315"/>
      <c r="G81" s="315"/>
      <c r="H81" s="315"/>
      <c r="I81" s="315"/>
      <c r="J81" s="315"/>
      <c r="K81" s="315"/>
    </row>
    <row r="82" spans="1:11">
      <c r="A82" s="315"/>
      <c r="B82" s="315"/>
      <c r="C82" s="315"/>
      <c r="D82" s="315"/>
      <c r="E82" s="315"/>
      <c r="F82" s="315"/>
      <c r="G82" s="315"/>
      <c r="H82" s="315"/>
      <c r="I82" s="315"/>
      <c r="J82" s="315"/>
      <c r="K82" s="315"/>
    </row>
    <row r="83" spans="1:11">
      <c r="A83" s="315"/>
      <c r="B83" s="315"/>
      <c r="C83" s="315"/>
      <c r="D83" s="315"/>
      <c r="E83" s="315"/>
      <c r="F83" s="315"/>
      <c r="G83" s="315"/>
      <c r="H83" s="315"/>
      <c r="I83" s="315"/>
      <c r="J83" s="315"/>
      <c r="K83" s="315"/>
    </row>
    <row r="84" spans="1:11">
      <c r="A84" s="315"/>
      <c r="B84" s="315"/>
      <c r="C84" s="315"/>
      <c r="D84" s="315"/>
      <c r="E84" s="315"/>
      <c r="F84" s="315"/>
      <c r="G84" s="315"/>
      <c r="H84" s="315"/>
      <c r="I84" s="315"/>
      <c r="J84" s="315"/>
      <c r="K84" s="315"/>
    </row>
    <row r="85" spans="1:11">
      <c r="A85" s="315"/>
      <c r="B85" s="315"/>
      <c r="C85" s="315"/>
      <c r="D85" s="315"/>
      <c r="E85" s="315"/>
      <c r="F85" s="315"/>
      <c r="G85" s="315"/>
      <c r="H85" s="315"/>
      <c r="I85" s="315"/>
      <c r="J85" s="315"/>
      <c r="K85" s="315"/>
    </row>
    <row r="86" spans="1:11">
      <c r="A86" s="315"/>
      <c r="B86" s="315"/>
      <c r="C86" s="315"/>
      <c r="D86" s="315"/>
      <c r="E86" s="315"/>
      <c r="F86" s="315"/>
      <c r="G86" s="315"/>
      <c r="H86" s="315"/>
      <c r="I86" s="315"/>
      <c r="J86" s="315"/>
      <c r="K86" s="315"/>
    </row>
    <row r="87" spans="1:11">
      <c r="A87" s="315"/>
      <c r="B87" s="315"/>
      <c r="C87" s="315"/>
      <c r="D87" s="315"/>
      <c r="E87" s="315"/>
      <c r="F87" s="315"/>
      <c r="G87" s="315"/>
      <c r="H87" s="315"/>
      <c r="I87" s="315"/>
      <c r="J87" s="315"/>
      <c r="K87" s="315"/>
    </row>
    <row r="88" spans="1:11">
      <c r="A88" s="315"/>
      <c r="B88" s="315"/>
      <c r="C88" s="315"/>
      <c r="D88" s="315"/>
      <c r="E88" s="315"/>
      <c r="F88" s="315"/>
      <c r="G88" s="315"/>
      <c r="H88" s="315"/>
      <c r="I88" s="315"/>
      <c r="J88" s="315"/>
      <c r="K88" s="315"/>
    </row>
    <row r="89" spans="1:11">
      <c r="A89" s="315"/>
      <c r="B89" s="315"/>
      <c r="C89" s="315"/>
      <c r="D89" s="315"/>
      <c r="E89" s="315"/>
      <c r="F89" s="315"/>
      <c r="G89" s="315"/>
      <c r="H89" s="315"/>
      <c r="I89" s="315"/>
      <c r="J89" s="315"/>
      <c r="K89" s="315"/>
    </row>
    <row r="90" spans="1:11">
      <c r="A90" s="315"/>
      <c r="B90" s="315"/>
      <c r="C90" s="315"/>
      <c r="D90" s="315"/>
      <c r="E90" s="315"/>
      <c r="F90" s="315"/>
      <c r="G90" s="315"/>
      <c r="H90" s="315"/>
      <c r="I90" s="315"/>
      <c r="J90" s="315"/>
      <c r="K90" s="315"/>
    </row>
    <row r="91" spans="1:11">
      <c r="A91" s="315"/>
      <c r="B91" s="315"/>
      <c r="C91" s="315"/>
      <c r="D91" s="315"/>
      <c r="E91" s="315"/>
      <c r="F91" s="315"/>
      <c r="G91" s="315"/>
      <c r="H91" s="315"/>
      <c r="I91" s="315"/>
      <c r="J91" s="315"/>
      <c r="K91" s="315"/>
    </row>
    <row r="92" spans="1:11">
      <c r="A92" s="315"/>
      <c r="B92" s="315"/>
      <c r="C92" s="315"/>
      <c r="D92" s="315"/>
      <c r="E92" s="315"/>
      <c r="F92" s="315"/>
      <c r="G92" s="315"/>
      <c r="H92" s="315"/>
      <c r="I92" s="315"/>
      <c r="J92" s="315"/>
      <c r="K92" s="315"/>
    </row>
    <row r="93" spans="1:11">
      <c r="A93" s="315"/>
      <c r="B93" s="315"/>
      <c r="C93" s="315"/>
      <c r="D93" s="315"/>
      <c r="E93" s="315"/>
      <c r="F93" s="315"/>
      <c r="G93" s="315"/>
      <c r="H93" s="315"/>
      <c r="I93" s="315"/>
      <c r="J93" s="315"/>
      <c r="K93" s="315"/>
    </row>
    <row r="94" spans="1:11">
      <c r="A94" s="315"/>
      <c r="B94" s="315"/>
      <c r="C94" s="315"/>
      <c r="D94" s="315"/>
      <c r="E94" s="315"/>
      <c r="F94" s="315"/>
      <c r="G94" s="315"/>
      <c r="H94" s="315"/>
      <c r="I94" s="315"/>
      <c r="J94" s="315"/>
      <c r="K94" s="315"/>
    </row>
    <row r="95" spans="1:11">
      <c r="A95" s="315"/>
      <c r="B95" s="315"/>
      <c r="C95" s="315"/>
      <c r="D95" s="315"/>
      <c r="E95" s="315"/>
      <c r="F95" s="315"/>
      <c r="G95" s="315"/>
      <c r="H95" s="315"/>
      <c r="I95" s="315"/>
      <c r="J95" s="315"/>
      <c r="K95" s="315"/>
    </row>
    <row r="96" spans="1:11">
      <c r="A96" s="315"/>
      <c r="B96" s="315"/>
      <c r="C96" s="315"/>
      <c r="D96" s="315"/>
      <c r="E96" s="315"/>
      <c r="F96" s="315"/>
      <c r="G96" s="315"/>
      <c r="H96" s="315"/>
      <c r="I96" s="315"/>
      <c r="J96" s="315"/>
      <c r="K96" s="315"/>
    </row>
    <row r="97" spans="1:11">
      <c r="A97" s="315"/>
      <c r="B97" s="315"/>
      <c r="C97" s="315"/>
      <c r="D97" s="315"/>
      <c r="E97" s="315"/>
      <c r="F97" s="315"/>
      <c r="G97" s="315"/>
      <c r="H97" s="315"/>
      <c r="I97" s="315"/>
      <c r="J97" s="315"/>
      <c r="K97" s="315"/>
    </row>
    <row r="98" spans="1:11">
      <c r="A98" s="315"/>
      <c r="B98" s="315"/>
      <c r="C98" s="315"/>
      <c r="D98" s="315"/>
      <c r="E98" s="315"/>
      <c r="F98" s="315"/>
      <c r="G98" s="315"/>
      <c r="H98" s="315"/>
      <c r="I98" s="315"/>
      <c r="J98" s="315"/>
      <c r="K98" s="315"/>
    </row>
    <row r="99" spans="1:11">
      <c r="A99" s="315"/>
      <c r="B99" s="315"/>
      <c r="C99" s="315"/>
      <c r="D99" s="315"/>
      <c r="E99" s="315"/>
      <c r="F99" s="315"/>
      <c r="G99" s="315"/>
      <c r="H99" s="315"/>
      <c r="I99" s="315"/>
      <c r="J99" s="315"/>
      <c r="K99" s="315"/>
    </row>
    <row r="100" spans="1:11">
      <c r="A100" s="315"/>
      <c r="B100" s="315"/>
      <c r="C100" s="315"/>
      <c r="D100" s="315"/>
      <c r="E100" s="315"/>
      <c r="F100" s="315"/>
      <c r="G100" s="315"/>
      <c r="H100" s="315"/>
      <c r="I100" s="315"/>
      <c r="J100" s="315"/>
      <c r="K100" s="315"/>
    </row>
    <row r="101" spans="1:11">
      <c r="A101" s="315"/>
      <c r="B101" s="315"/>
      <c r="C101" s="315"/>
      <c r="D101" s="315"/>
      <c r="E101" s="315"/>
      <c r="F101" s="315"/>
      <c r="G101" s="315"/>
      <c r="H101" s="315"/>
      <c r="I101" s="315"/>
      <c r="J101" s="315"/>
      <c r="K101" s="315"/>
    </row>
    <row r="102" spans="1:11">
      <c r="A102" s="315"/>
      <c r="B102" s="315"/>
      <c r="C102" s="315"/>
      <c r="D102" s="315"/>
      <c r="E102" s="315"/>
      <c r="F102" s="315"/>
      <c r="G102" s="315"/>
      <c r="H102" s="315"/>
      <c r="I102" s="315"/>
      <c r="J102" s="315"/>
      <c r="K102" s="315"/>
    </row>
    <row r="103" spans="1:11">
      <c r="A103" s="315"/>
      <c r="B103" s="315"/>
      <c r="C103" s="315"/>
      <c r="D103" s="315"/>
      <c r="E103" s="315"/>
      <c r="F103" s="315"/>
      <c r="G103" s="315"/>
      <c r="H103" s="315"/>
      <c r="I103" s="315"/>
      <c r="J103" s="315"/>
      <c r="K103" s="315"/>
    </row>
    <row r="104" spans="1:11">
      <c r="A104" s="315"/>
      <c r="B104" s="315"/>
      <c r="C104" s="315"/>
      <c r="D104" s="315"/>
      <c r="E104" s="315"/>
      <c r="F104" s="315"/>
      <c r="G104" s="315"/>
      <c r="H104" s="315"/>
      <c r="I104" s="315"/>
      <c r="J104" s="315"/>
      <c r="K104" s="315"/>
    </row>
    <row r="105" spans="1:11">
      <c r="A105" s="315"/>
      <c r="B105" s="315"/>
      <c r="C105" s="315"/>
      <c r="D105" s="315"/>
      <c r="E105" s="315"/>
      <c r="F105" s="315"/>
      <c r="G105" s="315"/>
      <c r="H105" s="315"/>
      <c r="I105" s="315"/>
      <c r="J105" s="315"/>
      <c r="K105" s="315"/>
    </row>
    <row r="106" spans="1:11">
      <c r="A106" s="315"/>
      <c r="B106" s="315"/>
      <c r="C106" s="315"/>
      <c r="D106" s="315"/>
      <c r="E106" s="315"/>
      <c r="F106" s="315"/>
      <c r="G106" s="315"/>
      <c r="H106" s="315"/>
      <c r="I106" s="315"/>
      <c r="J106" s="315"/>
      <c r="K106" s="315"/>
    </row>
    <row r="107" spans="1:11">
      <c r="A107" s="315"/>
      <c r="B107" s="315"/>
      <c r="C107" s="315"/>
      <c r="D107" s="315"/>
      <c r="E107" s="315"/>
      <c r="F107" s="315"/>
      <c r="G107" s="315"/>
      <c r="H107" s="315"/>
      <c r="I107" s="315"/>
      <c r="J107" s="315"/>
      <c r="K107" s="315"/>
    </row>
    <row r="108" spans="1:11">
      <c r="A108" s="315"/>
      <c r="B108" s="315"/>
      <c r="C108" s="315"/>
      <c r="D108" s="315"/>
      <c r="E108" s="315"/>
      <c r="F108" s="315"/>
      <c r="G108" s="315"/>
      <c r="H108" s="315"/>
      <c r="I108" s="315"/>
      <c r="J108" s="315"/>
      <c r="K108" s="315"/>
    </row>
    <row r="109" spans="1:11">
      <c r="A109" s="315"/>
      <c r="B109" s="315"/>
      <c r="C109" s="315"/>
      <c r="D109" s="315"/>
      <c r="E109" s="315"/>
      <c r="F109" s="315"/>
      <c r="G109" s="315"/>
      <c r="H109" s="315"/>
      <c r="I109" s="315"/>
      <c r="J109" s="315"/>
      <c r="K109" s="315"/>
    </row>
    <row r="110" spans="1:11">
      <c r="A110" s="315"/>
      <c r="B110" s="315"/>
      <c r="C110" s="315"/>
      <c r="D110" s="315"/>
      <c r="E110" s="315"/>
      <c r="F110" s="315"/>
      <c r="G110" s="315"/>
      <c r="H110" s="315"/>
      <c r="I110" s="315"/>
      <c r="J110" s="315"/>
      <c r="K110" s="315"/>
    </row>
    <row r="111" spans="1:11">
      <c r="A111" s="315"/>
      <c r="B111" s="315"/>
      <c r="C111" s="315"/>
      <c r="D111" s="315"/>
      <c r="E111" s="315"/>
      <c r="F111" s="315"/>
      <c r="G111" s="315"/>
      <c r="H111" s="315"/>
      <c r="I111" s="315"/>
      <c r="J111" s="315"/>
      <c r="K111" s="315"/>
    </row>
    <row r="112" spans="1:11">
      <c r="A112" s="315"/>
      <c r="B112" s="315"/>
      <c r="C112" s="315"/>
      <c r="D112" s="315"/>
      <c r="E112" s="315"/>
      <c r="F112" s="315"/>
      <c r="G112" s="315"/>
      <c r="H112" s="315"/>
      <c r="I112" s="315"/>
      <c r="J112" s="315"/>
      <c r="K112" s="315"/>
    </row>
    <row r="113" spans="1:11">
      <c r="A113" s="315"/>
      <c r="B113" s="315"/>
      <c r="C113" s="315"/>
      <c r="D113" s="315"/>
      <c r="E113" s="315"/>
      <c r="F113" s="315"/>
      <c r="G113" s="315"/>
      <c r="H113" s="315"/>
      <c r="I113" s="315"/>
      <c r="J113" s="315"/>
      <c r="K113" s="315"/>
    </row>
    <row r="114" spans="1:11">
      <c r="A114" s="315"/>
      <c r="B114" s="315"/>
      <c r="C114" s="315"/>
      <c r="D114" s="315"/>
      <c r="E114" s="315"/>
      <c r="F114" s="315"/>
      <c r="G114" s="315"/>
      <c r="H114" s="315"/>
      <c r="I114" s="315"/>
      <c r="J114" s="315"/>
      <c r="K114" s="315"/>
    </row>
    <row r="115" spans="1:11">
      <c r="A115" s="315"/>
      <c r="B115" s="315"/>
      <c r="C115" s="315"/>
      <c r="D115" s="315"/>
      <c r="E115" s="315"/>
      <c r="F115" s="315"/>
      <c r="G115" s="315"/>
      <c r="H115" s="315"/>
      <c r="I115" s="315"/>
      <c r="J115" s="315"/>
      <c r="K115" s="315"/>
    </row>
    <row r="116" spans="1:11">
      <c r="A116" s="315"/>
      <c r="B116" s="315"/>
      <c r="C116" s="315"/>
      <c r="D116" s="315"/>
      <c r="E116" s="315"/>
      <c r="F116" s="315"/>
      <c r="G116" s="315"/>
      <c r="H116" s="315"/>
      <c r="I116" s="315"/>
      <c r="J116" s="315"/>
      <c r="K116" s="315"/>
    </row>
    <row r="117" spans="1:11">
      <c r="A117" s="315"/>
      <c r="B117" s="315"/>
      <c r="C117" s="315"/>
      <c r="D117" s="315"/>
      <c r="E117" s="315"/>
      <c r="F117" s="315"/>
      <c r="G117" s="315"/>
      <c r="H117" s="315"/>
      <c r="I117" s="315"/>
      <c r="J117" s="315"/>
      <c r="K117" s="315"/>
    </row>
    <row r="118" spans="1:11">
      <c r="A118" s="315"/>
      <c r="B118" s="315"/>
      <c r="C118" s="315"/>
      <c r="D118" s="315"/>
      <c r="E118" s="315"/>
      <c r="F118" s="315"/>
      <c r="G118" s="315"/>
      <c r="H118" s="315"/>
      <c r="I118" s="315"/>
      <c r="J118" s="315"/>
      <c r="K118" s="315"/>
    </row>
    <row r="119" spans="1:11">
      <c r="A119" s="315"/>
      <c r="B119" s="315"/>
      <c r="C119" s="315"/>
      <c r="D119" s="315"/>
      <c r="E119" s="315"/>
      <c r="F119" s="315"/>
      <c r="G119" s="315"/>
      <c r="H119" s="315"/>
      <c r="I119" s="315"/>
      <c r="J119" s="315"/>
      <c r="K119" s="315"/>
    </row>
    <row r="120" spans="1:11">
      <c r="A120" s="315"/>
      <c r="B120" s="315"/>
      <c r="C120" s="315"/>
      <c r="D120" s="315"/>
      <c r="E120" s="315"/>
      <c r="F120" s="315"/>
      <c r="G120" s="315"/>
      <c r="H120" s="315"/>
      <c r="I120" s="315"/>
      <c r="J120" s="315"/>
      <c r="K120" s="315"/>
    </row>
    <row r="121" spans="1:11">
      <c r="A121" s="315"/>
      <c r="B121" s="315"/>
      <c r="C121" s="315"/>
      <c r="D121" s="315"/>
      <c r="E121" s="315"/>
      <c r="F121" s="315"/>
      <c r="G121" s="315"/>
      <c r="H121" s="315"/>
      <c r="I121" s="315"/>
      <c r="J121" s="315"/>
      <c r="K121" s="315"/>
    </row>
    <row r="122" spans="1:11">
      <c r="A122" s="315"/>
      <c r="B122" s="315"/>
      <c r="C122" s="315"/>
      <c r="D122" s="315"/>
      <c r="E122" s="315"/>
      <c r="F122" s="315"/>
      <c r="G122" s="315"/>
      <c r="H122" s="315"/>
      <c r="I122" s="315"/>
      <c r="J122" s="315"/>
      <c r="K122" s="315"/>
    </row>
    <row r="123" spans="1:11">
      <c r="A123" s="315"/>
      <c r="B123" s="315"/>
      <c r="C123" s="315"/>
      <c r="D123" s="315"/>
      <c r="E123" s="315"/>
      <c r="F123" s="315"/>
      <c r="G123" s="315"/>
      <c r="H123" s="315"/>
      <c r="I123" s="315"/>
      <c r="J123" s="315"/>
      <c r="K123" s="315"/>
    </row>
    <row r="124" spans="1:11">
      <c r="A124" s="315"/>
      <c r="B124" s="315"/>
      <c r="C124" s="315"/>
      <c r="D124" s="315"/>
      <c r="E124" s="315"/>
      <c r="F124" s="315"/>
      <c r="G124" s="315"/>
      <c r="H124" s="315"/>
      <c r="I124" s="315"/>
      <c r="J124" s="315"/>
      <c r="K124" s="315"/>
    </row>
    <row r="125" spans="1:11">
      <c r="A125" s="315"/>
      <c r="B125" s="315"/>
      <c r="C125" s="315"/>
      <c r="D125" s="315"/>
      <c r="E125" s="315"/>
      <c r="F125" s="315"/>
      <c r="G125" s="315"/>
      <c r="H125" s="315"/>
      <c r="I125" s="315"/>
      <c r="J125" s="315"/>
      <c r="K125" s="315"/>
    </row>
    <row r="126" spans="1:11">
      <c r="A126" s="315"/>
      <c r="B126" s="315"/>
      <c r="C126" s="315"/>
      <c r="D126" s="315"/>
      <c r="E126" s="315"/>
      <c r="F126" s="315"/>
      <c r="G126" s="315"/>
      <c r="H126" s="315"/>
      <c r="I126" s="315"/>
      <c r="J126" s="315"/>
      <c r="K126" s="315"/>
    </row>
    <row r="127" spans="1:11">
      <c r="A127" s="315"/>
      <c r="B127" s="315"/>
      <c r="C127" s="315"/>
      <c r="D127" s="315"/>
      <c r="E127" s="315"/>
      <c r="F127" s="315"/>
      <c r="G127" s="315"/>
      <c r="H127" s="315"/>
      <c r="I127" s="315"/>
      <c r="J127" s="315"/>
      <c r="K127" s="315"/>
    </row>
    <row r="128" spans="1:11">
      <c r="A128" s="315"/>
      <c r="B128" s="315"/>
      <c r="C128" s="315"/>
      <c r="D128" s="315"/>
      <c r="E128" s="315"/>
      <c r="F128" s="315"/>
      <c r="G128" s="315"/>
      <c r="H128" s="315"/>
      <c r="I128" s="315"/>
      <c r="J128" s="315"/>
      <c r="K128" s="315"/>
    </row>
    <row r="129" spans="1:11">
      <c r="A129" s="315"/>
      <c r="B129" s="315"/>
      <c r="C129" s="315"/>
      <c r="D129" s="315"/>
      <c r="E129" s="315"/>
      <c r="F129" s="315"/>
      <c r="G129" s="315"/>
      <c r="H129" s="315"/>
      <c r="I129" s="315"/>
      <c r="J129" s="315"/>
      <c r="K129" s="315"/>
    </row>
    <row r="130" spans="1:11">
      <c r="A130" s="315"/>
      <c r="B130" s="315"/>
      <c r="C130" s="315"/>
      <c r="D130" s="315"/>
      <c r="E130" s="315"/>
      <c r="F130" s="315"/>
      <c r="G130" s="315"/>
      <c r="H130" s="315"/>
      <c r="I130" s="315"/>
      <c r="J130" s="315"/>
      <c r="K130" s="315"/>
    </row>
    <row r="131" spans="1:11">
      <c r="A131" s="315"/>
      <c r="B131" s="315"/>
      <c r="C131" s="315"/>
      <c r="D131" s="315"/>
      <c r="E131" s="315"/>
      <c r="F131" s="315"/>
      <c r="G131" s="315"/>
      <c r="H131" s="315"/>
      <c r="I131" s="315"/>
      <c r="J131" s="315"/>
      <c r="K131" s="315"/>
    </row>
    <row r="132" spans="1:11">
      <c r="A132" s="315"/>
      <c r="B132" s="315"/>
      <c r="C132" s="315"/>
      <c r="D132" s="315"/>
      <c r="E132" s="315"/>
      <c r="F132" s="315"/>
      <c r="G132" s="315"/>
      <c r="H132" s="315"/>
      <c r="I132" s="315"/>
      <c r="J132" s="315"/>
      <c r="K132" s="315"/>
    </row>
    <row r="133" spans="1:11">
      <c r="A133" s="315"/>
      <c r="B133" s="315"/>
      <c r="C133" s="315"/>
      <c r="D133" s="315"/>
      <c r="E133" s="315"/>
      <c r="F133" s="315"/>
      <c r="G133" s="315"/>
      <c r="H133" s="315"/>
      <c r="I133" s="315"/>
      <c r="J133" s="315"/>
      <c r="K133" s="315"/>
    </row>
    <row r="134" spans="1:11">
      <c r="A134" s="315"/>
      <c r="B134" s="315"/>
      <c r="C134" s="315"/>
      <c r="D134" s="315"/>
      <c r="E134" s="315"/>
      <c r="F134" s="315"/>
      <c r="G134" s="315"/>
      <c r="H134" s="315"/>
      <c r="I134" s="315"/>
      <c r="J134" s="315"/>
      <c r="K134" s="315"/>
    </row>
    <row r="135" spans="1:11">
      <c r="A135" s="315"/>
      <c r="B135" s="315"/>
      <c r="C135" s="315"/>
      <c r="D135" s="315"/>
      <c r="E135" s="315"/>
      <c r="F135" s="315"/>
      <c r="G135" s="315"/>
      <c r="H135" s="315"/>
      <c r="I135" s="315"/>
      <c r="J135" s="315"/>
      <c r="K135" s="315"/>
    </row>
    <row r="136" spans="1:11">
      <c r="A136" s="315"/>
      <c r="B136" s="315"/>
      <c r="C136" s="315"/>
      <c r="D136" s="315"/>
      <c r="E136" s="315"/>
      <c r="F136" s="315"/>
      <c r="G136" s="315"/>
      <c r="H136" s="315"/>
      <c r="I136" s="315"/>
      <c r="J136" s="315"/>
      <c r="K136" s="315"/>
    </row>
    <row r="137" spans="1:11">
      <c r="A137" s="315"/>
      <c r="B137" s="315"/>
      <c r="C137" s="315"/>
      <c r="D137" s="315"/>
      <c r="E137" s="315"/>
      <c r="F137" s="315"/>
      <c r="G137" s="315"/>
      <c r="H137" s="315"/>
      <c r="I137" s="315"/>
      <c r="J137" s="315"/>
      <c r="K137" s="315"/>
    </row>
    <row r="138" spans="1:11">
      <c r="A138" s="315"/>
      <c r="B138" s="315"/>
      <c r="C138" s="315"/>
      <c r="D138" s="315"/>
      <c r="E138" s="315"/>
      <c r="F138" s="315"/>
      <c r="G138" s="315"/>
      <c r="H138" s="315"/>
      <c r="I138" s="315"/>
      <c r="J138" s="315"/>
      <c r="K138" s="315"/>
    </row>
    <row r="139" spans="1:11">
      <c r="A139" s="315"/>
      <c r="B139" s="315"/>
      <c r="C139" s="315"/>
      <c r="D139" s="315"/>
      <c r="E139" s="315"/>
      <c r="F139" s="315"/>
      <c r="G139" s="315"/>
      <c r="H139" s="315"/>
      <c r="I139" s="315"/>
      <c r="J139" s="315"/>
      <c r="K139" s="315"/>
    </row>
    <row r="140" spans="1:11">
      <c r="A140" s="315"/>
      <c r="B140" s="315"/>
      <c r="C140" s="315"/>
      <c r="D140" s="315"/>
      <c r="E140" s="315"/>
      <c r="F140" s="315"/>
      <c r="G140" s="315"/>
      <c r="H140" s="315"/>
      <c r="I140" s="315"/>
      <c r="J140" s="315"/>
      <c r="K140" s="315"/>
    </row>
    <row r="141" spans="1:11">
      <c r="A141" s="315"/>
      <c r="B141" s="315"/>
      <c r="C141" s="315"/>
      <c r="D141" s="315"/>
      <c r="E141" s="315"/>
      <c r="F141" s="315"/>
      <c r="G141" s="315"/>
      <c r="H141" s="315"/>
      <c r="I141" s="315"/>
      <c r="J141" s="315"/>
      <c r="K141" s="315"/>
    </row>
    <row r="142" spans="1:11">
      <c r="A142" s="315"/>
      <c r="B142" s="315"/>
      <c r="C142" s="315"/>
      <c r="D142" s="315"/>
      <c r="E142" s="315"/>
      <c r="F142" s="315"/>
      <c r="G142" s="315"/>
      <c r="H142" s="315"/>
      <c r="I142" s="315"/>
      <c r="J142" s="315"/>
      <c r="K142" s="315"/>
    </row>
    <row r="143" spans="1:11">
      <c r="A143" s="315"/>
      <c r="B143" s="315"/>
      <c r="C143" s="315"/>
      <c r="D143" s="315"/>
      <c r="E143" s="315"/>
      <c r="F143" s="315"/>
      <c r="G143" s="315"/>
      <c r="H143" s="315"/>
      <c r="I143" s="315"/>
      <c r="J143" s="315"/>
      <c r="K143" s="315"/>
    </row>
    <row r="144" spans="1:11">
      <c r="A144" s="315"/>
      <c r="B144" s="315"/>
      <c r="C144" s="315"/>
      <c r="D144" s="315"/>
      <c r="E144" s="315"/>
      <c r="F144" s="315"/>
      <c r="G144" s="315"/>
      <c r="H144" s="315"/>
      <c r="I144" s="315"/>
      <c r="J144" s="315"/>
      <c r="K144" s="315"/>
    </row>
    <row r="145" spans="1:11">
      <c r="A145" s="315"/>
      <c r="B145" s="315"/>
      <c r="C145" s="315"/>
      <c r="D145" s="315"/>
      <c r="E145" s="315"/>
      <c r="F145" s="315"/>
      <c r="G145" s="315"/>
      <c r="H145" s="315"/>
      <c r="I145" s="315"/>
      <c r="J145" s="315"/>
      <c r="K145" s="315"/>
    </row>
    <row r="146" spans="1:11">
      <c r="A146" s="315"/>
      <c r="B146" s="315"/>
      <c r="C146" s="315"/>
      <c r="D146" s="315"/>
      <c r="E146" s="315"/>
      <c r="F146" s="315"/>
      <c r="G146" s="315"/>
      <c r="H146" s="315"/>
      <c r="I146" s="315"/>
      <c r="J146" s="315"/>
      <c r="K146" s="315"/>
    </row>
    <row r="147" spans="1:11">
      <c r="A147" s="315"/>
      <c r="B147" s="315"/>
      <c r="C147" s="315"/>
      <c r="D147" s="315"/>
      <c r="E147" s="315"/>
      <c r="F147" s="315"/>
      <c r="G147" s="315"/>
      <c r="H147" s="315"/>
      <c r="I147" s="315"/>
      <c r="J147" s="315"/>
      <c r="K147" s="315"/>
    </row>
    <row r="148" spans="1:11">
      <c r="A148" s="315"/>
      <c r="B148" s="315"/>
      <c r="C148" s="315"/>
      <c r="D148" s="315"/>
      <c r="E148" s="315"/>
      <c r="F148" s="315"/>
      <c r="G148" s="315"/>
      <c r="H148" s="315"/>
      <c r="I148" s="315"/>
      <c r="J148" s="315"/>
      <c r="K148" s="315"/>
    </row>
    <row r="149" spans="1:11">
      <c r="A149" s="315"/>
      <c r="B149" s="315"/>
      <c r="C149" s="315"/>
      <c r="D149" s="315"/>
      <c r="E149" s="315"/>
      <c r="F149" s="315"/>
      <c r="G149" s="315"/>
      <c r="H149" s="315"/>
      <c r="I149" s="315"/>
      <c r="J149" s="315"/>
      <c r="K149" s="315"/>
    </row>
    <row r="150" spans="1:11">
      <c r="A150" s="315"/>
      <c r="B150" s="315"/>
      <c r="C150" s="315"/>
      <c r="D150" s="315"/>
      <c r="E150" s="315"/>
      <c r="F150" s="315"/>
      <c r="G150" s="315"/>
      <c r="H150" s="315"/>
      <c r="I150" s="315"/>
      <c r="J150" s="315"/>
      <c r="K150" s="315"/>
    </row>
    <row r="151" spans="1:11">
      <c r="A151" s="315"/>
      <c r="B151" s="315"/>
      <c r="C151" s="315"/>
      <c r="D151" s="315"/>
      <c r="E151" s="315"/>
      <c r="F151" s="315"/>
      <c r="G151" s="315"/>
      <c r="H151" s="315"/>
      <c r="I151" s="315"/>
      <c r="J151" s="315"/>
      <c r="K151" s="315"/>
    </row>
    <row r="152" spans="1:11">
      <c r="A152" s="315"/>
      <c r="B152" s="315"/>
      <c r="C152" s="315"/>
      <c r="D152" s="315"/>
      <c r="E152" s="315"/>
      <c r="F152" s="315"/>
      <c r="G152" s="315"/>
      <c r="H152" s="315"/>
      <c r="I152" s="315"/>
      <c r="J152" s="315"/>
      <c r="K152" s="315"/>
    </row>
    <row r="153" spans="1:11">
      <c r="A153" s="315"/>
      <c r="B153" s="315"/>
      <c r="C153" s="315"/>
      <c r="D153" s="315"/>
      <c r="E153" s="315"/>
      <c r="F153" s="315"/>
      <c r="G153" s="315"/>
      <c r="H153" s="315"/>
      <c r="I153" s="315"/>
      <c r="J153" s="315"/>
      <c r="K153" s="315"/>
    </row>
    <row r="154" spans="1:11">
      <c r="A154" s="315"/>
      <c r="B154" s="315"/>
      <c r="C154" s="315"/>
      <c r="D154" s="315"/>
      <c r="E154" s="315"/>
      <c r="F154" s="315"/>
      <c r="G154" s="315"/>
      <c r="H154" s="315"/>
      <c r="I154" s="315"/>
      <c r="J154" s="315"/>
      <c r="K154" s="315"/>
    </row>
    <row r="155" spans="1:11">
      <c r="A155" s="315"/>
      <c r="B155" s="315"/>
      <c r="C155" s="315"/>
      <c r="D155" s="315"/>
      <c r="E155" s="315"/>
      <c r="F155" s="315"/>
      <c r="G155" s="315"/>
      <c r="H155" s="315"/>
      <c r="I155" s="315"/>
      <c r="J155" s="315"/>
      <c r="K155" s="315"/>
    </row>
    <row r="156" spans="1:11">
      <c r="A156" s="315"/>
      <c r="B156" s="315"/>
      <c r="C156" s="315"/>
      <c r="D156" s="315"/>
      <c r="E156" s="315"/>
      <c r="F156" s="315"/>
      <c r="G156" s="315"/>
      <c r="H156" s="315"/>
      <c r="I156" s="315"/>
      <c r="J156" s="315"/>
      <c r="K156" s="315"/>
    </row>
    <row r="157" spans="1:11">
      <c r="A157" s="315"/>
      <c r="B157" s="315"/>
      <c r="C157" s="315"/>
      <c r="D157" s="315"/>
      <c r="E157" s="315"/>
      <c r="F157" s="315"/>
      <c r="G157" s="315"/>
      <c r="H157" s="315"/>
      <c r="I157" s="315"/>
      <c r="J157" s="315"/>
      <c r="K157" s="315"/>
    </row>
    <row r="158" spans="1:11">
      <c r="A158" s="315"/>
      <c r="B158" s="315"/>
      <c r="C158" s="315"/>
      <c r="D158" s="315"/>
      <c r="E158" s="315"/>
      <c r="F158" s="315"/>
      <c r="G158" s="315"/>
      <c r="H158" s="315"/>
      <c r="I158" s="315"/>
      <c r="J158" s="315"/>
      <c r="K158" s="315"/>
    </row>
    <row r="159" spans="1:11">
      <c r="A159" s="315"/>
      <c r="B159" s="315"/>
      <c r="C159" s="315"/>
      <c r="D159" s="315"/>
      <c r="E159" s="315"/>
      <c r="F159" s="315"/>
      <c r="G159" s="315"/>
      <c r="H159" s="315"/>
      <c r="I159" s="315"/>
      <c r="J159" s="315"/>
      <c r="K159" s="315"/>
    </row>
    <row r="160" spans="1:11">
      <c r="A160" s="315"/>
      <c r="B160" s="315"/>
      <c r="C160" s="315"/>
      <c r="D160" s="315"/>
      <c r="E160" s="315"/>
      <c r="F160" s="315"/>
      <c r="G160" s="315"/>
      <c r="H160" s="315"/>
      <c r="I160" s="315"/>
      <c r="J160" s="315"/>
      <c r="K160" s="315"/>
    </row>
    <row r="161" spans="1:11">
      <c r="A161" s="315"/>
      <c r="B161" s="315"/>
      <c r="C161" s="315"/>
      <c r="D161" s="315"/>
      <c r="E161" s="315"/>
      <c r="F161" s="315"/>
      <c r="G161" s="315"/>
      <c r="H161" s="315"/>
      <c r="I161" s="315"/>
      <c r="J161" s="315"/>
      <c r="K161" s="315"/>
    </row>
    <row r="162" spans="1:11">
      <c r="A162" s="315"/>
      <c r="B162" s="315"/>
      <c r="C162" s="315"/>
      <c r="D162" s="315"/>
      <c r="E162" s="315"/>
      <c r="F162" s="315"/>
      <c r="G162" s="315"/>
      <c r="H162" s="315"/>
      <c r="I162" s="315"/>
      <c r="J162" s="315"/>
      <c r="K162" s="315"/>
    </row>
    <row r="163" spans="1:11">
      <c r="A163" s="315"/>
      <c r="B163" s="315"/>
      <c r="C163" s="315"/>
      <c r="D163" s="315"/>
      <c r="E163" s="315"/>
      <c r="F163" s="315"/>
      <c r="G163" s="315"/>
      <c r="H163" s="315"/>
      <c r="I163" s="315"/>
      <c r="J163" s="315"/>
      <c r="K163" s="315"/>
    </row>
    <row r="164" spans="1:11">
      <c r="A164" s="315"/>
      <c r="B164" s="315"/>
      <c r="C164" s="315"/>
      <c r="D164" s="315"/>
      <c r="E164" s="315"/>
      <c r="F164" s="315"/>
      <c r="G164" s="315"/>
      <c r="H164" s="315"/>
      <c r="I164" s="315"/>
      <c r="J164" s="315"/>
      <c r="K164" s="315"/>
    </row>
    <row r="165" spans="1:11">
      <c r="A165" s="315"/>
      <c r="B165" s="315"/>
      <c r="C165" s="315"/>
      <c r="D165" s="315"/>
      <c r="E165" s="315"/>
      <c r="F165" s="315"/>
      <c r="G165" s="315"/>
      <c r="H165" s="315"/>
      <c r="I165" s="315"/>
      <c r="J165" s="315"/>
      <c r="K165" s="315"/>
    </row>
    <row r="166" spans="1:11">
      <c r="A166" s="315"/>
      <c r="B166" s="315"/>
      <c r="C166" s="315"/>
      <c r="D166" s="315"/>
      <c r="E166" s="315"/>
      <c r="F166" s="315"/>
      <c r="G166" s="315"/>
      <c r="H166" s="315"/>
      <c r="I166" s="315"/>
      <c r="J166" s="315"/>
      <c r="K166" s="315"/>
    </row>
    <row r="167" spans="1:11">
      <c r="A167" s="315"/>
      <c r="B167" s="315"/>
      <c r="C167" s="315"/>
      <c r="D167" s="315"/>
      <c r="E167" s="315"/>
      <c r="F167" s="315"/>
      <c r="G167" s="315"/>
      <c r="H167" s="315"/>
      <c r="I167" s="315"/>
      <c r="J167" s="315"/>
      <c r="K167" s="315"/>
    </row>
    <row r="168" spans="1:11">
      <c r="A168" s="315"/>
      <c r="B168" s="315"/>
      <c r="C168" s="315"/>
      <c r="D168" s="315"/>
      <c r="E168" s="315"/>
      <c r="F168" s="315"/>
      <c r="G168" s="315"/>
      <c r="H168" s="315"/>
      <c r="I168" s="315"/>
      <c r="J168" s="315"/>
      <c r="K168" s="315"/>
    </row>
    <row r="169" spans="1:11">
      <c r="A169" s="315"/>
      <c r="B169" s="315"/>
      <c r="C169" s="315"/>
      <c r="D169" s="315"/>
      <c r="E169" s="315"/>
      <c r="F169" s="315"/>
      <c r="G169" s="315"/>
      <c r="H169" s="315"/>
      <c r="I169" s="315"/>
      <c r="J169" s="315"/>
      <c r="K169" s="315"/>
    </row>
    <row r="170" spans="1:11">
      <c r="A170" s="315"/>
      <c r="B170" s="315"/>
      <c r="C170" s="315"/>
      <c r="D170" s="315"/>
      <c r="E170" s="315"/>
      <c r="F170" s="315"/>
      <c r="G170" s="315"/>
      <c r="H170" s="315"/>
      <c r="I170" s="315"/>
      <c r="J170" s="315"/>
      <c r="K170" s="315"/>
    </row>
    <row r="171" spans="1:11">
      <c r="A171" s="315"/>
      <c r="B171" s="315"/>
      <c r="C171" s="315"/>
      <c r="D171" s="315"/>
      <c r="E171" s="315"/>
      <c r="F171" s="315"/>
      <c r="G171" s="315"/>
      <c r="H171" s="315"/>
      <c r="I171" s="315"/>
      <c r="J171" s="315"/>
      <c r="K171" s="315"/>
    </row>
    <row r="172" spans="1:11">
      <c r="A172" s="315"/>
      <c r="B172" s="315"/>
      <c r="C172" s="315"/>
      <c r="D172" s="315"/>
      <c r="E172" s="315"/>
      <c r="F172" s="315"/>
      <c r="G172" s="315"/>
      <c r="H172" s="315"/>
      <c r="I172" s="315"/>
      <c r="J172" s="315"/>
      <c r="K172" s="315"/>
    </row>
    <row r="173" spans="1:11">
      <c r="A173" s="315"/>
      <c r="B173" s="315"/>
      <c r="C173" s="315"/>
      <c r="D173" s="315"/>
      <c r="E173" s="315"/>
      <c r="F173" s="315"/>
      <c r="G173" s="315"/>
      <c r="H173" s="315"/>
      <c r="I173" s="315"/>
      <c r="J173" s="315"/>
      <c r="K173" s="315"/>
    </row>
    <row r="174" spans="1:11">
      <c r="A174" s="315"/>
      <c r="B174" s="315"/>
      <c r="C174" s="315"/>
      <c r="D174" s="315"/>
      <c r="E174" s="315"/>
      <c r="F174" s="315"/>
      <c r="G174" s="315"/>
      <c r="H174" s="315"/>
      <c r="I174" s="315"/>
      <c r="J174" s="315"/>
      <c r="K174" s="315"/>
    </row>
    <row r="175" spans="1:11">
      <c r="A175" s="315"/>
      <c r="B175" s="315"/>
      <c r="C175" s="315"/>
      <c r="D175" s="315"/>
      <c r="E175" s="315"/>
      <c r="F175" s="315"/>
      <c r="G175" s="315"/>
      <c r="H175" s="315"/>
      <c r="I175" s="315"/>
      <c r="J175" s="315"/>
      <c r="K175" s="315"/>
    </row>
    <row r="176" spans="1:11">
      <c r="A176" s="315"/>
      <c r="B176" s="315"/>
      <c r="C176" s="315"/>
      <c r="D176" s="315"/>
      <c r="E176" s="315"/>
      <c r="F176" s="315"/>
      <c r="G176" s="315"/>
      <c r="H176" s="315"/>
      <c r="I176" s="315"/>
      <c r="J176" s="315"/>
      <c r="K176" s="315"/>
    </row>
    <row r="177" spans="1:11">
      <c r="A177" s="315"/>
      <c r="B177" s="315"/>
      <c r="C177" s="315"/>
      <c r="D177" s="315"/>
      <c r="E177" s="315"/>
      <c r="F177" s="315"/>
      <c r="G177" s="315"/>
      <c r="H177" s="315"/>
      <c r="I177" s="315"/>
      <c r="J177" s="315"/>
      <c r="K177" s="315"/>
    </row>
    <row r="178" spans="1:11">
      <c r="A178" s="315"/>
      <c r="B178" s="315"/>
      <c r="C178" s="315"/>
      <c r="D178" s="315"/>
      <c r="E178" s="315"/>
      <c r="F178" s="315"/>
      <c r="G178" s="315"/>
      <c r="H178" s="315"/>
      <c r="I178" s="315"/>
      <c r="J178" s="315"/>
      <c r="K178" s="315"/>
    </row>
    <row r="179" spans="1:11">
      <c r="A179" s="315"/>
      <c r="B179" s="315"/>
      <c r="C179" s="315"/>
      <c r="D179" s="315"/>
      <c r="E179" s="315"/>
      <c r="F179" s="315"/>
      <c r="G179" s="315"/>
      <c r="H179" s="315"/>
      <c r="I179" s="315"/>
      <c r="J179" s="315"/>
      <c r="K179" s="315"/>
    </row>
    <row r="180" spans="1:11">
      <c r="A180" s="315"/>
      <c r="B180" s="315"/>
      <c r="C180" s="315"/>
      <c r="D180" s="315"/>
      <c r="E180" s="315"/>
      <c r="F180" s="315"/>
      <c r="G180" s="315"/>
      <c r="H180" s="315"/>
      <c r="I180" s="315"/>
      <c r="J180" s="315"/>
      <c r="K180" s="315"/>
    </row>
    <row r="181" spans="1:11">
      <c r="A181" s="315"/>
      <c r="B181" s="315"/>
      <c r="C181" s="315"/>
      <c r="D181" s="315"/>
      <c r="E181" s="315"/>
      <c r="F181" s="315"/>
      <c r="G181" s="315"/>
      <c r="H181" s="315"/>
      <c r="I181" s="315"/>
      <c r="J181" s="315"/>
      <c r="K181" s="315"/>
    </row>
    <row r="182" spans="1:11">
      <c r="A182" s="315"/>
      <c r="B182" s="315"/>
      <c r="C182" s="315"/>
      <c r="D182" s="315"/>
      <c r="E182" s="315"/>
      <c r="F182" s="315"/>
      <c r="G182" s="315"/>
      <c r="H182" s="315"/>
      <c r="I182" s="315"/>
      <c r="J182" s="315"/>
      <c r="K182" s="315"/>
    </row>
    <row r="183" spans="1:11">
      <c r="A183" s="315"/>
      <c r="B183" s="315"/>
      <c r="C183" s="315"/>
      <c r="D183" s="315"/>
      <c r="E183" s="315"/>
      <c r="F183" s="315"/>
      <c r="G183" s="315"/>
      <c r="H183" s="315"/>
      <c r="I183" s="315"/>
      <c r="J183" s="315"/>
      <c r="K183" s="315"/>
    </row>
    <row r="184" spans="1:11">
      <c r="A184" s="315"/>
      <c r="B184" s="315"/>
      <c r="C184" s="315"/>
      <c r="D184" s="315"/>
      <c r="E184" s="315"/>
      <c r="F184" s="315"/>
      <c r="G184" s="315"/>
      <c r="H184" s="315"/>
      <c r="I184" s="315"/>
      <c r="J184" s="315"/>
      <c r="K184" s="315"/>
    </row>
    <row r="185" spans="1:11">
      <c r="A185" s="315"/>
      <c r="B185" s="315"/>
      <c r="C185" s="315"/>
      <c r="D185" s="315"/>
      <c r="E185" s="315"/>
      <c r="F185" s="315"/>
      <c r="G185" s="315"/>
      <c r="H185" s="315"/>
      <c r="I185" s="315"/>
      <c r="J185" s="315"/>
      <c r="K185" s="315"/>
    </row>
    <row r="186" spans="1:11">
      <c r="A186" s="315"/>
      <c r="B186" s="315"/>
      <c r="C186" s="315"/>
      <c r="D186" s="315"/>
      <c r="E186" s="315"/>
      <c r="F186" s="315"/>
      <c r="G186" s="315"/>
      <c r="H186" s="315"/>
      <c r="I186" s="315"/>
      <c r="J186" s="315"/>
      <c r="K186" s="315"/>
    </row>
    <row r="187" spans="1:11">
      <c r="A187" s="315"/>
      <c r="B187" s="315"/>
      <c r="C187" s="315"/>
      <c r="D187" s="315"/>
      <c r="E187" s="315"/>
      <c r="F187" s="315"/>
      <c r="G187" s="315"/>
      <c r="H187" s="315"/>
      <c r="I187" s="315"/>
      <c r="J187" s="315"/>
      <c r="K187" s="315"/>
    </row>
    <row r="188" spans="1:11">
      <c r="A188" s="315"/>
      <c r="B188" s="315"/>
      <c r="C188" s="315"/>
      <c r="D188" s="315"/>
      <c r="E188" s="315"/>
      <c r="F188" s="315"/>
      <c r="G188" s="315"/>
      <c r="H188" s="315"/>
      <c r="I188" s="315"/>
      <c r="J188" s="315"/>
      <c r="K188" s="315"/>
    </row>
    <row r="189" spans="1:11">
      <c r="A189" s="315"/>
      <c r="B189" s="315"/>
      <c r="C189" s="315"/>
      <c r="D189" s="315"/>
      <c r="E189" s="315"/>
      <c r="F189" s="315"/>
      <c r="G189" s="315"/>
      <c r="H189" s="315"/>
      <c r="I189" s="315"/>
      <c r="J189" s="315"/>
      <c r="K189" s="315"/>
    </row>
    <row r="190" spans="1:11">
      <c r="A190" s="315"/>
      <c r="B190" s="315"/>
      <c r="C190" s="315"/>
      <c r="D190" s="315"/>
      <c r="E190" s="315"/>
      <c r="F190" s="315"/>
      <c r="G190" s="315"/>
      <c r="H190" s="315"/>
      <c r="I190" s="315"/>
      <c r="J190" s="315"/>
      <c r="K190" s="315"/>
    </row>
    <row r="191" spans="1:11">
      <c r="A191" s="315"/>
      <c r="B191" s="315"/>
      <c r="C191" s="315"/>
      <c r="D191" s="315"/>
      <c r="E191" s="315"/>
      <c r="F191" s="315"/>
      <c r="G191" s="315"/>
      <c r="H191" s="315"/>
      <c r="I191" s="315"/>
      <c r="J191" s="315"/>
      <c r="K191" s="315"/>
    </row>
    <row r="192" spans="1:11">
      <c r="A192" s="315"/>
      <c r="B192" s="315"/>
      <c r="C192" s="315"/>
      <c r="D192" s="315"/>
      <c r="E192" s="315"/>
      <c r="F192" s="315"/>
      <c r="G192" s="315"/>
      <c r="H192" s="315"/>
      <c r="I192" s="315"/>
      <c r="J192" s="315"/>
      <c r="K192" s="315"/>
    </row>
    <row r="193" spans="1:11">
      <c r="A193" s="315"/>
      <c r="B193" s="315"/>
      <c r="C193" s="315"/>
      <c r="D193" s="315"/>
      <c r="E193" s="315"/>
      <c r="F193" s="315"/>
      <c r="G193" s="315"/>
      <c r="H193" s="315"/>
      <c r="I193" s="315"/>
      <c r="J193" s="315"/>
      <c r="K193" s="315"/>
    </row>
    <row r="194" spans="1:11">
      <c r="A194" s="315"/>
      <c r="B194" s="315"/>
      <c r="C194" s="315"/>
      <c r="D194" s="315"/>
      <c r="E194" s="315"/>
      <c r="F194" s="315"/>
      <c r="G194" s="315"/>
      <c r="H194" s="315"/>
      <c r="I194" s="315"/>
      <c r="J194" s="315"/>
      <c r="K194" s="315"/>
    </row>
    <row r="195" spans="1:11">
      <c r="A195" s="315"/>
      <c r="B195" s="315"/>
      <c r="C195" s="315"/>
      <c r="D195" s="315"/>
      <c r="E195" s="315"/>
      <c r="F195" s="315"/>
      <c r="G195" s="315"/>
      <c r="H195" s="315"/>
      <c r="I195" s="315"/>
      <c r="J195" s="315"/>
      <c r="K195" s="315"/>
    </row>
    <row r="196" spans="1:11">
      <c r="A196" s="315"/>
      <c r="B196" s="315"/>
      <c r="C196" s="315"/>
      <c r="D196" s="315"/>
      <c r="E196" s="315"/>
      <c r="F196" s="315"/>
      <c r="G196" s="315"/>
      <c r="H196" s="315"/>
      <c r="I196" s="315"/>
      <c r="J196" s="315"/>
      <c r="K196" s="315"/>
    </row>
    <row r="197" spans="1:11">
      <c r="A197" s="315"/>
      <c r="B197" s="315"/>
      <c r="C197" s="315"/>
      <c r="D197" s="315"/>
      <c r="E197" s="315"/>
      <c r="F197" s="315"/>
      <c r="G197" s="315"/>
      <c r="H197" s="315"/>
      <c r="I197" s="315"/>
      <c r="J197" s="315"/>
      <c r="K197" s="315"/>
    </row>
    <row r="198" spans="1:11">
      <c r="A198" s="315"/>
      <c r="B198" s="315"/>
      <c r="C198" s="315"/>
      <c r="D198" s="315"/>
      <c r="E198" s="315"/>
      <c r="F198" s="315"/>
      <c r="G198" s="315"/>
      <c r="H198" s="315"/>
      <c r="I198" s="315"/>
      <c r="J198" s="315"/>
      <c r="K198" s="315"/>
    </row>
    <row r="199" spans="1:11">
      <c r="A199" s="315"/>
      <c r="B199" s="315"/>
      <c r="C199" s="315"/>
      <c r="D199" s="315"/>
      <c r="E199" s="315"/>
      <c r="F199" s="315"/>
      <c r="G199" s="315"/>
      <c r="H199" s="315"/>
      <c r="I199" s="315"/>
      <c r="J199" s="315"/>
      <c r="K199" s="315"/>
    </row>
    <row r="200" spans="1:11">
      <c r="A200" s="315"/>
      <c r="B200" s="315"/>
      <c r="C200" s="315"/>
      <c r="D200" s="315"/>
      <c r="E200" s="315"/>
      <c r="F200" s="315"/>
      <c r="G200" s="315"/>
      <c r="H200" s="315"/>
      <c r="I200" s="315"/>
      <c r="J200" s="315"/>
      <c r="K200" s="315"/>
    </row>
    <row r="201" spans="1:11">
      <c r="A201" s="315"/>
      <c r="B201" s="315"/>
      <c r="C201" s="315"/>
      <c r="D201" s="315"/>
      <c r="E201" s="315"/>
      <c r="F201" s="315"/>
      <c r="G201" s="315"/>
      <c r="H201" s="315"/>
      <c r="I201" s="315"/>
      <c r="J201" s="315"/>
      <c r="K201" s="315"/>
    </row>
  </sheetData>
  <pageMargins left="0.7" right="0.7" top="0.75" bottom="0.75" header="0.3" footer="0.3"/>
  <headerFooter/>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8000"/>
  </sheetPr>
  <dimension ref="A1:H27"/>
  <sheetViews>
    <sheetView workbookViewId="0">
      <selection activeCell="G19" sqref="G19"/>
    </sheetView>
  </sheetViews>
  <sheetFormatPr defaultColWidth="9" defaultRowHeight="13.5" outlineLevelCol="7"/>
  <cols>
    <col min="1" max="1" width="55.25" style="283" customWidth="1"/>
    <col min="2" max="2" width="12.25" style="283" customWidth="1"/>
    <col min="3" max="3" width="41.875" style="283" customWidth="1"/>
    <col min="4" max="7" width="10.625" style="283" customWidth="1"/>
    <col min="8" max="8" width="37.125" style="283" customWidth="1"/>
    <col min="9" max="16384" width="9" style="283"/>
  </cols>
  <sheetData>
    <row r="1" ht="18" spans="1:8">
      <c r="A1" s="284" t="s">
        <v>1587</v>
      </c>
      <c r="B1" s="285"/>
      <c r="C1" s="285"/>
      <c r="D1" s="285"/>
      <c r="E1" s="285"/>
      <c r="F1" s="285"/>
      <c r="G1" s="285"/>
      <c r="H1" s="285"/>
    </row>
    <row r="2" ht="25.5" spans="1:8">
      <c r="A2" s="285"/>
      <c r="B2" s="285"/>
      <c r="C2" s="285"/>
      <c r="D2" s="285"/>
      <c r="E2" s="285"/>
      <c r="F2" s="285"/>
      <c r="G2" s="285"/>
      <c r="H2" s="286" t="s">
        <v>1588</v>
      </c>
    </row>
    <row r="3" ht="14.25" spans="1:8">
      <c r="A3" s="287"/>
      <c r="B3" s="287"/>
      <c r="C3" s="287"/>
      <c r="D3" s="285"/>
      <c r="E3" s="285"/>
      <c r="F3" s="285"/>
      <c r="G3" s="285"/>
      <c r="H3" s="288"/>
    </row>
    <row r="4" ht="26.25" spans="1:8">
      <c r="A4" s="289" t="s">
        <v>1565</v>
      </c>
      <c r="B4" s="287"/>
      <c r="C4" s="287"/>
      <c r="D4" s="285"/>
      <c r="E4" s="285"/>
      <c r="F4" s="285"/>
      <c r="G4" s="285"/>
      <c r="H4" s="290" t="s">
        <v>1564</v>
      </c>
    </row>
    <row r="5" ht="14.25" spans="1:8">
      <c r="A5" s="291"/>
      <c r="B5" s="291"/>
      <c r="C5" s="287"/>
      <c r="D5" s="285"/>
      <c r="E5" s="285"/>
      <c r="F5" s="285"/>
      <c r="G5" s="285"/>
      <c r="H5" s="292" t="s">
        <v>1566</v>
      </c>
    </row>
    <row r="6" ht="14.25" spans="1:8">
      <c r="A6" s="293" t="s">
        <v>1589</v>
      </c>
      <c r="B6" s="294">
        <v>1</v>
      </c>
      <c r="C6" s="295" t="s">
        <v>1590</v>
      </c>
      <c r="D6" s="285"/>
      <c r="E6" s="285"/>
      <c r="F6" s="285"/>
      <c r="G6" s="285"/>
      <c r="H6" s="296" t="s">
        <v>1567</v>
      </c>
    </row>
    <row r="7" ht="14.25" spans="1:8">
      <c r="A7" s="297" t="s">
        <v>1591</v>
      </c>
      <c r="B7" s="294">
        <v>4.3</v>
      </c>
      <c r="C7" s="295" t="s">
        <v>1592</v>
      </c>
      <c r="D7" s="285"/>
      <c r="E7" s="285"/>
      <c r="F7" s="285"/>
      <c r="G7" s="285"/>
      <c r="H7" s="296" t="s">
        <v>1570</v>
      </c>
    </row>
    <row r="8" ht="14.25" spans="1:8">
      <c r="A8" s="298" t="s">
        <v>1593</v>
      </c>
      <c r="B8" s="294">
        <v>1</v>
      </c>
      <c r="C8" s="295" t="s">
        <v>1594</v>
      </c>
      <c r="D8" s="285"/>
      <c r="E8" s="285"/>
      <c r="F8" s="285"/>
      <c r="G8" s="285"/>
      <c r="H8" s="296" t="s">
        <v>1573</v>
      </c>
    </row>
    <row r="9" ht="14.25" spans="1:8">
      <c r="A9" s="299"/>
      <c r="B9" s="300"/>
      <c r="C9" s="301"/>
      <c r="D9" s="285"/>
      <c r="E9" s="285"/>
      <c r="F9" s="285"/>
      <c r="G9" s="285"/>
      <c r="H9" s="285"/>
    </row>
    <row r="10" ht="16.5" spans="1:8">
      <c r="A10" s="302" t="s">
        <v>1576</v>
      </c>
      <c r="B10" s="303"/>
      <c r="C10" s="301"/>
      <c r="D10" s="285"/>
      <c r="E10" s="285"/>
      <c r="F10" s="285"/>
      <c r="G10" s="285"/>
      <c r="H10" s="285"/>
    </row>
    <row r="11" spans="1:8">
      <c r="A11" s="304"/>
      <c r="B11" s="287"/>
      <c r="C11" s="301"/>
      <c r="D11" s="285"/>
      <c r="E11" s="285"/>
      <c r="F11" s="285"/>
      <c r="G11" s="285"/>
      <c r="H11" s="285"/>
    </row>
    <row r="12" ht="14.25" spans="1:8">
      <c r="A12" s="291"/>
      <c r="B12" s="305"/>
      <c r="C12" s="287"/>
      <c r="D12" s="285"/>
      <c r="E12" s="285"/>
      <c r="F12" s="285"/>
      <c r="G12" s="285"/>
      <c r="H12" s="285"/>
    </row>
    <row r="13" ht="16.5" spans="1:8">
      <c r="A13" s="306" t="s">
        <v>1595</v>
      </c>
      <c r="B13" s="307">
        <f>((B15/7)*39.36996)</f>
        <v>2.71226865987661</v>
      </c>
      <c r="C13" s="308" t="s">
        <v>1596</v>
      </c>
      <c r="D13" s="285"/>
      <c r="E13" s="285"/>
      <c r="F13" s="285"/>
      <c r="G13" s="285"/>
      <c r="H13" s="285"/>
    </row>
    <row r="14" ht="16.5" spans="1:8">
      <c r="A14" s="309" t="s">
        <v>1597</v>
      </c>
      <c r="B14" s="307">
        <f>IF(B8=1,B20)+IF(B8=2,B21)+IF(B8=3,B22)</f>
        <v>0.139580445554705</v>
      </c>
      <c r="C14" s="310" t="s">
        <v>1598</v>
      </c>
      <c r="D14" s="285"/>
      <c r="E14" s="285"/>
      <c r="F14" s="285"/>
      <c r="G14" s="285"/>
      <c r="H14" s="285"/>
    </row>
    <row r="15" ht="16.5" spans="1:8">
      <c r="A15" s="309" t="s">
        <v>1599</v>
      </c>
      <c r="B15" s="307">
        <f>B6/SQRT(B7)</f>
        <v>0.482242822170412</v>
      </c>
      <c r="C15" s="308" t="s">
        <v>1600</v>
      </c>
      <c r="D15" s="285"/>
      <c r="E15" s="285"/>
      <c r="F15" s="285"/>
      <c r="G15" s="285"/>
      <c r="H15" s="285"/>
    </row>
    <row r="16" spans="1:8">
      <c r="A16" s="304"/>
      <c r="B16" s="304"/>
      <c r="C16" s="287"/>
      <c r="D16" s="285"/>
      <c r="E16" s="285"/>
      <c r="F16" s="285"/>
      <c r="G16" s="285"/>
      <c r="H16" s="285"/>
    </row>
    <row r="20" spans="1:8">
      <c r="A20" s="311" t="s">
        <v>1601</v>
      </c>
      <c r="B20" s="311">
        <v>0.139580445554705</v>
      </c>
      <c r="C20" s="311" t="s">
        <v>1598</v>
      </c>
      <c r="D20" s="285"/>
      <c r="E20" s="285"/>
      <c r="F20" s="285"/>
      <c r="G20" s="285"/>
      <c r="H20" s="285"/>
    </row>
    <row r="21" spans="1:8">
      <c r="A21" s="311" t="s">
        <v>1602</v>
      </c>
      <c r="B21" s="311">
        <v>0.175741340469452</v>
      </c>
      <c r="C21" s="311" t="s">
        <v>1598</v>
      </c>
      <c r="D21" s="285"/>
      <c r="E21" s="285"/>
      <c r="F21" s="285"/>
      <c r="G21" s="285"/>
      <c r="H21" s="285"/>
    </row>
    <row r="22" spans="1:8">
      <c r="A22" s="311" t="s">
        <v>1603</v>
      </c>
      <c r="B22" s="311">
        <f>0.08475*SQRT(B7)</f>
        <v>0.175741340469452</v>
      </c>
      <c r="C22" s="311" t="s">
        <v>1598</v>
      </c>
      <c r="D22" s="285"/>
      <c r="E22" s="285"/>
      <c r="F22" s="285"/>
      <c r="G22" s="285"/>
      <c r="H22" s="285"/>
    </row>
    <row r="23" spans="1:8">
      <c r="A23" s="312"/>
      <c r="B23" s="312"/>
      <c r="C23" s="312"/>
      <c r="D23" s="285"/>
      <c r="E23" s="285"/>
      <c r="F23" s="285"/>
      <c r="G23" s="285"/>
      <c r="H23" s="285"/>
    </row>
    <row r="25" spans="1:8">
      <c r="A25" s="313" t="s">
        <v>1584</v>
      </c>
      <c r="B25" s="285"/>
      <c r="C25" s="285"/>
      <c r="D25" s="285"/>
      <c r="E25" s="285"/>
      <c r="F25" s="285"/>
      <c r="G25" s="285"/>
      <c r="H25" s="285"/>
    </row>
    <row r="26" ht="15.75" spans="1:8">
      <c r="A26" s="314" t="s">
        <v>1585</v>
      </c>
      <c r="B26" s="285"/>
      <c r="C26" s="285"/>
      <c r="D26" s="285"/>
      <c r="E26" s="285"/>
      <c r="F26" s="285"/>
      <c r="G26" s="285"/>
      <c r="H26" s="285"/>
    </row>
    <row r="27" spans="1:8">
      <c r="A27" s="304" t="s">
        <v>1586</v>
      </c>
      <c r="B27" s="285"/>
      <c r="C27" s="285"/>
      <c r="D27" s="285"/>
      <c r="E27" s="285"/>
      <c r="F27" s="285"/>
      <c r="G27" s="285"/>
      <c r="H27" s="285"/>
    </row>
  </sheetData>
  <pageMargins left="0.7" right="0.7" top="0.75" bottom="0.75" header="0.3" footer="0.3"/>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8000"/>
  </sheetPr>
  <dimension ref="A1:AI201"/>
  <sheetViews>
    <sheetView workbookViewId="0">
      <selection activeCell="O19" sqref="O19"/>
    </sheetView>
  </sheetViews>
  <sheetFormatPr defaultColWidth="9" defaultRowHeight="14.25"/>
  <cols>
    <col min="1" max="1" width="3.5" style="59" customWidth="1"/>
    <col min="2" max="4" width="6.875" style="60" customWidth="1"/>
    <col min="5" max="5" width="6.875" style="61" customWidth="1"/>
    <col min="6" max="13" width="6.875" style="60" customWidth="1"/>
    <col min="14" max="14" width="6.875" style="62" customWidth="1"/>
    <col min="15" max="18" width="6.875" style="63" customWidth="1"/>
    <col min="19" max="19" width="3.5" style="63" customWidth="1"/>
    <col min="20" max="20" width="3.25" style="63" customWidth="1"/>
    <col min="21" max="24" width="7.5" style="63" customWidth="1"/>
    <col min="25" max="26" width="9" style="63"/>
    <col min="27" max="16384" width="9" style="60"/>
  </cols>
  <sheetData>
    <row r="1" ht="10.5" customHeight="1" spans="1:20">
      <c r="A1" s="64"/>
      <c r="C1" s="65"/>
      <c r="H1" s="62"/>
      <c r="I1" s="62"/>
      <c r="J1" s="62"/>
      <c r="K1" s="65"/>
      <c r="L1" s="65"/>
      <c r="M1" s="62"/>
      <c r="Q1" s="208"/>
      <c r="R1" s="164"/>
      <c r="S1" s="164"/>
      <c r="T1" s="209"/>
    </row>
    <row r="2" s="56" customFormat="1" ht="17.25" customHeight="1" spans="1:32">
      <c r="A2" s="66"/>
      <c r="B2" s="67" t="s">
        <v>1604</v>
      </c>
      <c r="C2" s="68"/>
      <c r="D2" s="69"/>
      <c r="E2" s="69"/>
      <c r="F2" s="70" t="s">
        <v>1605</v>
      </c>
      <c r="G2" s="70"/>
      <c r="H2" s="70"/>
      <c r="I2" s="70"/>
      <c r="J2" s="70"/>
      <c r="K2" s="70"/>
      <c r="L2" s="70"/>
      <c r="M2" s="70"/>
      <c r="N2" s="70"/>
      <c r="O2" s="164"/>
      <c r="P2" s="164"/>
      <c r="Q2" s="164"/>
      <c r="R2" s="164"/>
      <c r="S2" s="164"/>
      <c r="T2" s="164"/>
      <c r="U2" s="164"/>
      <c r="V2" s="164"/>
      <c r="W2" s="164"/>
      <c r="X2" s="164"/>
      <c r="Y2" s="164"/>
      <c r="Z2" s="163"/>
      <c r="AA2" s="57"/>
      <c r="AB2" s="57"/>
      <c r="AC2" s="57"/>
      <c r="AD2" s="57"/>
      <c r="AE2" s="57"/>
      <c r="AF2" s="57"/>
    </row>
    <row r="3" s="56" customFormat="1" ht="5.25" customHeight="1" spans="1:32">
      <c r="A3" s="66"/>
      <c r="C3" s="68"/>
      <c r="D3" s="69"/>
      <c r="E3" s="69"/>
      <c r="F3" s="71"/>
      <c r="G3" s="71"/>
      <c r="H3" s="71"/>
      <c r="I3" s="71"/>
      <c r="J3" s="71"/>
      <c r="K3" s="71"/>
      <c r="L3" s="71"/>
      <c r="M3" s="71"/>
      <c r="N3" s="71"/>
      <c r="O3" s="164"/>
      <c r="P3" s="164"/>
      <c r="Q3" s="164"/>
      <c r="R3" s="164"/>
      <c r="S3" s="164"/>
      <c r="T3" s="164"/>
      <c r="U3" s="164"/>
      <c r="V3" s="164"/>
      <c r="W3" s="164"/>
      <c r="X3" s="164"/>
      <c r="Y3" s="164"/>
      <c r="Z3" s="163"/>
      <c r="AA3" s="57"/>
      <c r="AB3" s="57"/>
      <c r="AC3" s="57"/>
      <c r="AD3" s="57"/>
      <c r="AE3" s="57"/>
      <c r="AF3" s="57"/>
    </row>
    <row r="4" s="56" customFormat="1" customHeight="1" spans="1:35">
      <c r="A4" s="66"/>
      <c r="B4" s="72" t="s">
        <v>1606</v>
      </c>
      <c r="C4" s="73"/>
      <c r="N4" s="57"/>
      <c r="O4" s="164"/>
      <c r="P4" s="164"/>
      <c r="Q4" s="164"/>
      <c r="R4" s="164"/>
      <c r="S4" s="164"/>
      <c r="T4" s="164"/>
      <c r="U4" s="164"/>
      <c r="V4" s="164"/>
      <c r="W4" s="164"/>
      <c r="X4" s="164"/>
      <c r="Y4" s="164"/>
      <c r="Z4" s="163"/>
      <c r="AA4" s="57"/>
      <c r="AB4" s="57"/>
      <c r="AC4" s="57"/>
      <c r="AD4" s="57"/>
      <c r="AE4" s="57"/>
      <c r="AF4" s="57"/>
      <c r="AG4" s="73"/>
      <c r="AH4" s="73"/>
      <c r="AI4" s="73"/>
    </row>
    <row r="5" s="56" customFormat="1" spans="1:32">
      <c r="A5" s="66"/>
      <c r="B5" s="74" t="s">
        <v>1607</v>
      </c>
      <c r="C5" s="75" t="s">
        <v>1608</v>
      </c>
      <c r="D5" s="1258" t="s">
        <v>1609</v>
      </c>
      <c r="E5" s="77"/>
      <c r="F5" s="1258" t="s">
        <v>1610</v>
      </c>
      <c r="G5" s="78"/>
      <c r="H5" s="79" t="s">
        <v>1611</v>
      </c>
      <c r="I5" s="167"/>
      <c r="J5" s="168"/>
      <c r="K5" s="169" t="s">
        <v>1612</v>
      </c>
      <c r="L5" s="170"/>
      <c r="M5" s="170"/>
      <c r="N5" s="170"/>
      <c r="O5" s="170"/>
      <c r="P5" s="171"/>
      <c r="Q5" s="79" t="s">
        <v>1613</v>
      </c>
      <c r="R5" s="171"/>
      <c r="S5" s="164"/>
      <c r="T5" s="164"/>
      <c r="U5" s="164"/>
      <c r="V5" s="164"/>
      <c r="W5" s="164"/>
      <c r="Z5" s="163"/>
      <c r="AA5" s="57"/>
      <c r="AB5" s="57"/>
      <c r="AC5" s="57"/>
      <c r="AD5" s="57"/>
      <c r="AE5" s="57"/>
      <c r="AF5" s="57"/>
    </row>
    <row r="6" s="56" customFormat="1" ht="15" customHeight="1" spans="1:32">
      <c r="A6" s="66"/>
      <c r="B6" s="80" t="s">
        <v>1342</v>
      </c>
      <c r="C6" s="81"/>
      <c r="D6" s="1259" t="s">
        <v>1614</v>
      </c>
      <c r="E6" s="83"/>
      <c r="F6" s="84" t="s">
        <v>668</v>
      </c>
      <c r="G6" s="85" t="s">
        <v>686</v>
      </c>
      <c r="H6" s="86" t="s">
        <v>1615</v>
      </c>
      <c r="I6" s="115" t="s">
        <v>1616</v>
      </c>
      <c r="J6" s="83" t="s">
        <v>1617</v>
      </c>
      <c r="K6" s="82" t="s">
        <v>1618</v>
      </c>
      <c r="L6" s="115"/>
      <c r="M6" s="115" t="s">
        <v>1619</v>
      </c>
      <c r="N6" s="115"/>
      <c r="O6" s="115" t="s">
        <v>1620</v>
      </c>
      <c r="P6" s="85"/>
      <c r="Q6" s="210" t="s">
        <v>1621</v>
      </c>
      <c r="R6" s="188"/>
      <c r="S6" s="164"/>
      <c r="T6" s="164"/>
      <c r="U6" s="164"/>
      <c r="V6" s="164"/>
      <c r="W6" s="164"/>
      <c r="Z6" s="163"/>
      <c r="AA6" s="57"/>
      <c r="AB6" s="57"/>
      <c r="AC6" s="57"/>
      <c r="AD6" s="57"/>
      <c r="AE6" s="57"/>
      <c r="AF6" s="57"/>
    </row>
    <row r="7" s="56" customFormat="1" ht="11.25" customHeight="1" spans="1:32">
      <c r="A7" s="66"/>
      <c r="B7" s="87">
        <v>1.8</v>
      </c>
      <c r="C7" s="88" t="str">
        <f>IF(D7=0,"表中未列","已列出")</f>
        <v>已列出</v>
      </c>
      <c r="D7" s="89">
        <f>R86</f>
        <v>2.5434</v>
      </c>
      <c r="E7" s="90"/>
      <c r="F7" s="91">
        <f t="shared" ref="F7:K7" si="0">S86</f>
        <v>13</v>
      </c>
      <c r="G7" s="92">
        <f t="shared" si="0"/>
        <v>15</v>
      </c>
      <c r="H7" s="93">
        <f t="shared" si="0"/>
        <v>1.872</v>
      </c>
      <c r="I7" s="172">
        <f t="shared" si="0"/>
        <v>1.909</v>
      </c>
      <c r="J7" s="173">
        <f t="shared" si="0"/>
        <v>1.944</v>
      </c>
      <c r="K7" s="174">
        <f t="shared" si="0"/>
        <v>0.00671783092998162</v>
      </c>
      <c r="L7" s="175"/>
      <c r="M7" s="176">
        <f>Y86</f>
        <v>0.00666397442100058</v>
      </c>
      <c r="N7" s="175"/>
      <c r="O7" s="176">
        <f>Z86</f>
        <v>0.00677887053170749</v>
      </c>
      <c r="P7" s="177"/>
      <c r="Q7" s="211">
        <f>AA86</f>
        <v>22.63626</v>
      </c>
      <c r="R7" s="212"/>
      <c r="S7" s="164"/>
      <c r="T7" s="164"/>
      <c r="U7" s="164"/>
      <c r="V7" s="164"/>
      <c r="W7" s="164"/>
      <c r="Z7" s="163"/>
      <c r="AA7" s="57"/>
      <c r="AB7" s="57"/>
      <c r="AC7" s="57"/>
      <c r="AD7" s="57"/>
      <c r="AE7" s="57"/>
      <c r="AF7" s="57"/>
    </row>
    <row r="8" s="56" customFormat="1" ht="10.5" customHeight="1" spans="1:32">
      <c r="A8" s="66"/>
      <c r="B8" s="94"/>
      <c r="C8" s="95"/>
      <c r="D8" s="96"/>
      <c r="E8" s="97"/>
      <c r="F8" s="98"/>
      <c r="G8" s="99"/>
      <c r="H8" s="100"/>
      <c r="I8" s="178"/>
      <c r="J8" s="179"/>
      <c r="K8" s="96"/>
      <c r="L8" s="180"/>
      <c r="M8" s="181"/>
      <c r="N8" s="180"/>
      <c r="O8" s="181"/>
      <c r="P8" s="97"/>
      <c r="Q8" s="213"/>
      <c r="R8" s="214"/>
      <c r="S8" s="164"/>
      <c r="T8" s="164"/>
      <c r="U8" s="164"/>
      <c r="V8" s="164"/>
      <c r="W8" s="164"/>
      <c r="Z8" s="163"/>
      <c r="AA8" s="57"/>
      <c r="AB8" s="57"/>
      <c r="AC8" s="57"/>
      <c r="AD8" s="57"/>
      <c r="AE8" s="57"/>
      <c r="AF8" s="57"/>
    </row>
    <row r="9" s="56" customFormat="1" ht="7.5" customHeight="1" spans="1:32">
      <c r="A9" s="66"/>
      <c r="B9" s="94"/>
      <c r="D9" s="57"/>
      <c r="E9" s="57"/>
      <c r="F9" s="57"/>
      <c r="G9" s="57"/>
      <c r="H9" s="57"/>
      <c r="I9" s="182"/>
      <c r="J9" s="182"/>
      <c r="K9" s="120"/>
      <c r="L9" s="69"/>
      <c r="M9" s="57"/>
      <c r="N9" s="57"/>
      <c r="O9" s="164"/>
      <c r="P9" s="164"/>
      <c r="Q9" s="164"/>
      <c r="R9" s="164"/>
      <c r="S9" s="164"/>
      <c r="T9" s="164"/>
      <c r="U9" s="164"/>
      <c r="V9" s="164"/>
      <c r="W9" s="164"/>
      <c r="X9" s="164"/>
      <c r="Y9" s="164"/>
      <c r="Z9" s="163"/>
      <c r="AA9" s="57"/>
      <c r="AB9" s="57"/>
      <c r="AC9" s="57"/>
      <c r="AD9" s="57"/>
      <c r="AE9" s="57"/>
      <c r="AF9" s="57"/>
    </row>
    <row r="10" s="56" customFormat="1" ht="12" customHeight="1" spans="1:32">
      <c r="A10" s="66"/>
      <c r="B10" s="101"/>
      <c r="C10" s="102" t="s">
        <v>1622</v>
      </c>
      <c r="D10" s="103"/>
      <c r="E10" s="79" t="s">
        <v>1623</v>
      </c>
      <c r="F10" s="104"/>
      <c r="G10" s="79" t="s">
        <v>1624</v>
      </c>
      <c r="H10" s="104"/>
      <c r="I10" s="169" t="s">
        <v>1625</v>
      </c>
      <c r="J10" s="171"/>
      <c r="K10" s="111" t="s">
        <v>1626</v>
      </c>
      <c r="L10" s="113"/>
      <c r="M10" s="169" t="s">
        <v>1627</v>
      </c>
      <c r="N10" s="171"/>
      <c r="O10" s="169" t="s">
        <v>1628</v>
      </c>
      <c r="P10" s="171"/>
      <c r="Q10" s="169" t="s">
        <v>1629</v>
      </c>
      <c r="R10" s="171"/>
      <c r="S10" s="164"/>
      <c r="T10" s="164"/>
      <c r="U10" s="164"/>
      <c r="V10" s="164"/>
      <c r="W10" s="164"/>
      <c r="X10" s="164"/>
      <c r="Y10" s="164"/>
      <c r="Z10" s="163"/>
      <c r="AA10" s="57"/>
      <c r="AB10" s="57"/>
      <c r="AC10" s="57"/>
      <c r="AD10" s="57"/>
      <c r="AE10" s="57"/>
      <c r="AF10" s="57"/>
    </row>
    <row r="11" s="56" customFormat="1" ht="15" customHeight="1" spans="1:32">
      <c r="A11" s="66"/>
      <c r="B11" s="101"/>
      <c r="C11" s="105" t="s">
        <v>1630</v>
      </c>
      <c r="D11" s="106"/>
      <c r="E11" s="107">
        <f>D7*2</f>
        <v>5.0868</v>
      </c>
      <c r="F11" s="108"/>
      <c r="G11" s="107">
        <f>D7*3</f>
        <v>7.6302</v>
      </c>
      <c r="H11" s="108"/>
      <c r="I11" s="183">
        <f>D7*4</f>
        <v>10.1736</v>
      </c>
      <c r="J11" s="184"/>
      <c r="K11" s="183">
        <f>D7*5</f>
        <v>12.717</v>
      </c>
      <c r="L11" s="184"/>
      <c r="M11" s="183">
        <f>D7*6</f>
        <v>15.2604</v>
      </c>
      <c r="N11" s="184"/>
      <c r="O11" s="183">
        <f>D7*7</f>
        <v>17.8038</v>
      </c>
      <c r="P11" s="184"/>
      <c r="Q11" s="183">
        <f>D7*7.5</f>
        <v>19.0755</v>
      </c>
      <c r="R11" s="184"/>
      <c r="S11" s="164"/>
      <c r="T11" s="164"/>
      <c r="U11" s="164"/>
      <c r="V11" s="164"/>
      <c r="W11" s="215"/>
      <c r="X11" s="163"/>
      <c r="Y11" s="163"/>
      <c r="Z11" s="163"/>
      <c r="AA11" s="57"/>
      <c r="AB11" s="57"/>
      <c r="AC11" s="57"/>
      <c r="AD11" s="57"/>
      <c r="AE11" s="57"/>
      <c r="AF11" s="57"/>
    </row>
    <row r="12" s="56" customFormat="1" ht="7.5" customHeight="1" spans="1:32">
      <c r="A12" s="66"/>
      <c r="B12" s="109"/>
      <c r="C12" s="109"/>
      <c r="D12" s="109"/>
      <c r="E12" s="110"/>
      <c r="F12" s="109"/>
      <c r="G12" s="109"/>
      <c r="H12" s="109"/>
      <c r="I12" s="109"/>
      <c r="J12" s="109"/>
      <c r="K12" s="109"/>
      <c r="L12" s="109"/>
      <c r="M12" s="109"/>
      <c r="N12" s="182"/>
      <c r="O12" s="185"/>
      <c r="P12" s="185"/>
      <c r="Q12" s="185"/>
      <c r="R12" s="185"/>
      <c r="S12" s="164"/>
      <c r="T12" s="164"/>
      <c r="U12" s="164"/>
      <c r="V12" s="164"/>
      <c r="W12" s="163"/>
      <c r="X12" s="163"/>
      <c r="Y12" s="163"/>
      <c r="Z12" s="163"/>
      <c r="AA12" s="57"/>
      <c r="AB12" s="57"/>
      <c r="AC12" s="57"/>
      <c r="AD12" s="57"/>
      <c r="AE12" s="57"/>
      <c r="AF12" s="57"/>
    </row>
    <row r="13" s="56" customFormat="1" ht="11.25" customHeight="1" spans="1:26">
      <c r="A13" s="66"/>
      <c r="B13" s="111" t="s">
        <v>1631</v>
      </c>
      <c r="C13" s="111" t="s">
        <v>1632</v>
      </c>
      <c r="D13" s="112"/>
      <c r="E13" s="112"/>
      <c r="F13" s="112"/>
      <c r="G13" s="112"/>
      <c r="H13" s="113"/>
      <c r="I13" s="79" t="s">
        <v>1633</v>
      </c>
      <c r="J13" s="171"/>
      <c r="M13" s="76" t="s">
        <v>1634</v>
      </c>
      <c r="N13" s="78"/>
      <c r="O13" s="76" t="s">
        <v>1635</v>
      </c>
      <c r="P13" s="78"/>
      <c r="Q13" s="164"/>
      <c r="R13" s="164"/>
      <c r="S13" s="164"/>
      <c r="T13" s="164"/>
      <c r="U13" s="164"/>
      <c r="V13" s="164"/>
      <c r="W13" s="163"/>
      <c r="X13" s="163"/>
      <c r="Y13" s="163"/>
      <c r="Z13" s="164"/>
    </row>
    <row r="14" s="56" customFormat="1" ht="11.25" customHeight="1" spans="1:26">
      <c r="A14" s="66"/>
      <c r="B14" s="114" t="s">
        <v>1636</v>
      </c>
      <c r="C14" s="114" t="s">
        <v>1618</v>
      </c>
      <c r="D14" s="86"/>
      <c r="E14" s="115" t="s">
        <v>1619</v>
      </c>
      <c r="F14" s="115"/>
      <c r="G14" s="115" t="s">
        <v>1620</v>
      </c>
      <c r="H14" s="85"/>
      <c r="I14" s="86" t="s">
        <v>1637</v>
      </c>
      <c r="J14" s="85"/>
      <c r="L14" s="186"/>
      <c r="M14" s="187" t="s">
        <v>1638</v>
      </c>
      <c r="N14" s="188"/>
      <c r="O14" s="187" t="s">
        <v>1639</v>
      </c>
      <c r="P14" s="188"/>
      <c r="Q14" s="164"/>
      <c r="R14" s="164"/>
      <c r="S14" s="164"/>
      <c r="T14" s="164"/>
      <c r="U14" s="164"/>
      <c r="V14" s="164"/>
      <c r="W14" s="163"/>
      <c r="X14" s="163"/>
      <c r="Y14" s="163"/>
      <c r="Z14" s="164"/>
    </row>
    <row r="15" s="57" customFormat="1" ht="21" customHeight="1" spans="1:26">
      <c r="A15" s="66"/>
      <c r="B15" s="116">
        <v>0.15</v>
      </c>
      <c r="C15" s="117">
        <f>K7*B15</f>
        <v>0.00100767463949724</v>
      </c>
      <c r="D15" s="118"/>
      <c r="E15" s="117">
        <f>M7*B15</f>
        <v>0.000999596163150087</v>
      </c>
      <c r="F15" s="119"/>
      <c r="G15" s="117">
        <f>O7*B15</f>
        <v>0.00101683057975612</v>
      </c>
      <c r="H15" s="119"/>
      <c r="I15" s="189">
        <f>Q7*B15/1000</f>
        <v>0.003395439</v>
      </c>
      <c r="J15" s="190"/>
      <c r="M15" s="191">
        <f>AC86</f>
        <v>12350</v>
      </c>
      <c r="N15" s="192"/>
      <c r="O15" s="191">
        <f>AD86</f>
        <v>25270</v>
      </c>
      <c r="P15" s="192"/>
      <c r="Q15" s="163"/>
      <c r="R15" s="163"/>
      <c r="S15" s="163"/>
      <c r="T15" s="163"/>
      <c r="U15" s="163"/>
      <c r="V15" s="163"/>
      <c r="W15" s="163"/>
      <c r="X15" s="163"/>
      <c r="Y15" s="163"/>
      <c r="Z15" s="163"/>
    </row>
    <row r="16" s="56" customFormat="1" ht="7.5" customHeight="1" spans="1:26">
      <c r="A16" s="58"/>
      <c r="B16" s="109"/>
      <c r="C16" s="109"/>
      <c r="D16" s="109"/>
      <c r="E16" s="120"/>
      <c r="F16" s="120"/>
      <c r="G16" s="120"/>
      <c r="H16" s="120"/>
      <c r="I16" s="120"/>
      <c r="J16" s="120"/>
      <c r="K16" s="109"/>
      <c r="Q16" s="164"/>
      <c r="R16" s="164"/>
      <c r="S16" s="164"/>
      <c r="T16" s="164"/>
      <c r="U16" s="164"/>
      <c r="V16" s="164"/>
      <c r="W16" s="163"/>
      <c r="X16" s="163"/>
      <c r="Y16" s="163"/>
      <c r="Z16" s="164"/>
    </row>
    <row r="17" s="56" customFormat="1" ht="16.5" customHeight="1" spans="1:26">
      <c r="A17" s="58"/>
      <c r="B17" s="72" t="s">
        <v>1640</v>
      </c>
      <c r="E17" s="69"/>
      <c r="F17" s="69"/>
      <c r="G17" s="69"/>
      <c r="H17" s="69"/>
      <c r="I17" s="69"/>
      <c r="J17" s="69"/>
      <c r="Q17" s="164"/>
      <c r="R17" s="164"/>
      <c r="S17" s="164"/>
      <c r="T17" s="164"/>
      <c r="U17" s="164"/>
      <c r="V17" s="164"/>
      <c r="W17" s="164"/>
      <c r="X17" s="216"/>
      <c r="Y17" s="216"/>
      <c r="Z17" s="164"/>
    </row>
    <row r="18" s="56" customFormat="1" ht="16.5" customHeight="1" spans="1:26">
      <c r="A18" s="58"/>
      <c r="B18" s="121" t="s">
        <v>1641</v>
      </c>
      <c r="C18" s="1260" t="s">
        <v>1642</v>
      </c>
      <c r="D18" s="123"/>
      <c r="E18" s="124" t="s">
        <v>1643</v>
      </c>
      <c r="F18" s="125"/>
      <c r="G18" s="122" t="s">
        <v>1644</v>
      </c>
      <c r="H18" s="123"/>
      <c r="I18" s="69"/>
      <c r="J18" s="69"/>
      <c r="Q18" s="164"/>
      <c r="R18" s="164"/>
      <c r="S18" s="164"/>
      <c r="T18" s="164"/>
      <c r="U18" s="164"/>
      <c r="V18" s="164"/>
      <c r="W18" s="164"/>
      <c r="X18" s="216"/>
      <c r="Y18" s="216"/>
      <c r="Z18" s="164"/>
    </row>
    <row r="19" s="56" customFormat="1" ht="15" customHeight="1" spans="1:26">
      <c r="A19" s="58"/>
      <c r="B19" s="126" t="str">
        <f>IF(D7=0,B7,C7)</f>
        <v>已列出</v>
      </c>
      <c r="C19" s="127" t="e">
        <f>3.14*B19*B19/4</f>
        <v>#VALUE!</v>
      </c>
      <c r="D19" s="128"/>
      <c r="E19" s="129" t="e">
        <f>0.01749/C19</f>
        <v>#VALUE!</v>
      </c>
      <c r="F19" s="130"/>
      <c r="G19" s="127" t="e">
        <f>C19*1000*8.9/1000</f>
        <v>#VALUE!</v>
      </c>
      <c r="H19" s="128"/>
      <c r="N19" s="57"/>
      <c r="O19" s="164"/>
      <c r="P19" s="164"/>
      <c r="Q19" s="164"/>
      <c r="R19" s="164"/>
      <c r="S19" s="164"/>
      <c r="T19" s="164"/>
      <c r="U19" s="164"/>
      <c r="V19" s="164"/>
      <c r="W19" s="164"/>
      <c r="X19" s="164"/>
      <c r="Y19" s="164"/>
      <c r="Z19" s="164"/>
    </row>
    <row r="20" s="56" customFormat="1" ht="7.5" customHeight="1" spans="1:26">
      <c r="A20" s="58"/>
      <c r="B20" s="109"/>
      <c r="C20" s="109"/>
      <c r="D20" s="109"/>
      <c r="E20" s="110"/>
      <c r="F20" s="109"/>
      <c r="G20" s="109"/>
      <c r="H20" s="109"/>
      <c r="I20" s="109"/>
      <c r="J20" s="109"/>
      <c r="K20" s="109"/>
      <c r="N20" s="57"/>
      <c r="O20" s="164"/>
      <c r="P20" s="164"/>
      <c r="Q20" s="164"/>
      <c r="R20" s="164"/>
      <c r="S20" s="164"/>
      <c r="T20" s="164"/>
      <c r="U20" s="164"/>
      <c r="V20" s="164"/>
      <c r="W20" s="164"/>
      <c r="X20" s="164"/>
      <c r="Y20" s="164"/>
      <c r="Z20" s="164"/>
    </row>
    <row r="21" s="56" customFormat="1" ht="15" customHeight="1" spans="1:26">
      <c r="A21" s="58"/>
      <c r="B21" s="72" t="s">
        <v>1645</v>
      </c>
      <c r="Q21" s="164"/>
      <c r="R21" s="164"/>
      <c r="S21" s="164"/>
      <c r="T21" s="164"/>
      <c r="U21" s="164"/>
      <c r="V21" s="164"/>
      <c r="W21" s="164"/>
      <c r="X21" s="164"/>
      <c r="Y21" s="164"/>
      <c r="Z21" s="164"/>
    </row>
    <row r="22" s="56" customFormat="1" ht="11.25" customHeight="1" spans="1:26">
      <c r="A22" s="58"/>
      <c r="B22" s="131" t="s">
        <v>1646</v>
      </c>
      <c r="C22" s="132"/>
      <c r="D22" s="133"/>
      <c r="E22" s="134">
        <v>15</v>
      </c>
      <c r="F22" s="135">
        <f t="shared" ref="F22:N22" si="1">E22+10</f>
        <v>25</v>
      </c>
      <c r="G22" s="135">
        <f t="shared" si="1"/>
        <v>35</v>
      </c>
      <c r="H22" s="135">
        <f t="shared" si="1"/>
        <v>45</v>
      </c>
      <c r="I22" s="193">
        <f t="shared" si="1"/>
        <v>55</v>
      </c>
      <c r="J22" s="193">
        <f t="shared" si="1"/>
        <v>65</v>
      </c>
      <c r="K22" s="193">
        <f t="shared" si="1"/>
        <v>75</v>
      </c>
      <c r="L22" s="193">
        <f t="shared" si="1"/>
        <v>85</v>
      </c>
      <c r="M22" s="193">
        <f t="shared" si="1"/>
        <v>95</v>
      </c>
      <c r="N22" s="193">
        <f t="shared" si="1"/>
        <v>105</v>
      </c>
      <c r="R22" s="164"/>
      <c r="S22" s="164"/>
      <c r="T22" s="164"/>
      <c r="U22" s="164"/>
      <c r="V22" s="164"/>
      <c r="W22" s="164"/>
      <c r="X22" s="164"/>
      <c r="Y22" s="164"/>
      <c r="Z22" s="164"/>
    </row>
    <row r="23" s="56" customFormat="1" ht="8.25" hidden="1" customHeight="1" spans="1:26">
      <c r="A23" s="58"/>
      <c r="B23" s="136"/>
      <c r="C23" s="137"/>
      <c r="D23" s="138"/>
      <c r="E23" s="139">
        <v>0.0106</v>
      </c>
      <c r="F23" s="139">
        <v>0.0239</v>
      </c>
      <c r="G23" s="139">
        <v>0.0394</v>
      </c>
      <c r="H23" s="139">
        <v>0.0565</v>
      </c>
      <c r="I23" s="139">
        <v>0.0754</v>
      </c>
      <c r="J23" s="139">
        <v>0.0961</v>
      </c>
      <c r="K23" s="139">
        <v>0.1183</v>
      </c>
      <c r="L23" s="139">
        <v>0.1418</v>
      </c>
      <c r="M23" s="139">
        <v>0.1669</v>
      </c>
      <c r="N23" s="139">
        <v>0.1934</v>
      </c>
      <c r="R23" s="164"/>
      <c r="S23" s="164"/>
      <c r="T23" s="164"/>
      <c r="U23" s="164"/>
      <c r="V23" s="164"/>
      <c r="W23" s="164"/>
      <c r="X23" s="164"/>
      <c r="Y23" s="164"/>
      <c r="Z23" s="164"/>
    </row>
    <row r="24" s="56" customFormat="1" customHeight="1" spans="1:26">
      <c r="A24" s="58"/>
      <c r="B24" s="140" t="s">
        <v>1647</v>
      </c>
      <c r="C24" s="141" t="s">
        <v>1648</v>
      </c>
      <c r="D24" s="142"/>
      <c r="E24" s="143">
        <f>(E23*(($D$7/3.1415)^0.5*2)*3.1415/10*100*$D$7/0.01749)^0.5</f>
        <v>9.33508532691698</v>
      </c>
      <c r="F24" s="143">
        <f>(F23*(($D$7/3.1415)^0.5*2)*3.1415/10*100*$D$7/0.01749)^0.5</f>
        <v>14.0172981127754</v>
      </c>
      <c r="G24" s="143">
        <f>(G23*(($D$7/3.1415)^0.5*2)*3.1415/10*100*$D$7/0.01749)^0.5</f>
        <v>17.9975533756422</v>
      </c>
      <c r="H24" s="143">
        <f>(H23*(($D$7/3.1415)^0.5*2)*3.1415/10*100*$D$7/0.01749)^0.5</f>
        <v>21.5520994915576</v>
      </c>
      <c r="I24" s="143">
        <f>(I23*(($D$7/3.1415)^0.5*2)*3.1415/10*100*$D$7/0.01749)^0.5</f>
        <v>24.8972300531489</v>
      </c>
      <c r="J24" s="143">
        <f>(J23*(($D$7/3.1415)^0.5*2)*3.1415/10*100*$D$7/0.01749)^0.5</f>
        <v>28.1078128459929</v>
      </c>
      <c r="K24" s="143">
        <f>(K23*(($D$7/3.1415)^0.5*2)*3.1415/10*100*$D$7/0.01749)^0.5</f>
        <v>31.1858604822507</v>
      </c>
      <c r="L24" s="143">
        <f>(L23*(($D$7/3.1415)^0.5*2)*3.1415/10*100*$D$7/0.01749)^0.5</f>
        <v>34.1431412502755</v>
      </c>
      <c r="M24" s="143">
        <f>(M23*(($D$7/3.1415)^0.5*2)*3.1415/10*100*$D$7/0.01749)^0.5</f>
        <v>37.0419232588206</v>
      </c>
      <c r="N24" s="143">
        <f>(N23*(($D$7/3.1415)^0.5*2)*3.1415/10*100*$D$7/0.01749)^0.5</f>
        <v>39.8743479428117</v>
      </c>
      <c r="P24" s="194" t="s">
        <v>1649</v>
      </c>
      <c r="Q24" s="217"/>
      <c r="R24" s="218"/>
      <c r="S24" s="164"/>
      <c r="T24" s="164"/>
      <c r="U24" s="164"/>
      <c r="V24" s="164"/>
      <c r="W24" s="164"/>
      <c r="X24" s="164"/>
      <c r="Y24" s="164"/>
      <c r="Z24" s="164"/>
    </row>
    <row r="25" s="56" customFormat="1" customHeight="1" spans="1:26">
      <c r="A25" s="58"/>
      <c r="B25" s="140"/>
      <c r="C25" s="144" t="s">
        <v>1650</v>
      </c>
      <c r="D25" s="145"/>
      <c r="E25" s="146">
        <f>E24/$D$7</f>
        <v>3.67031742034952</v>
      </c>
      <c r="F25" s="147">
        <f>F24/$D$7</f>
        <v>5.51124404842942</v>
      </c>
      <c r="G25" s="147">
        <f>G24/$D$7</f>
        <v>7.07617888481645</v>
      </c>
      <c r="H25" s="147">
        <f>H24/$D$7</f>
        <v>8.47373574410537</v>
      </c>
      <c r="I25" s="147">
        <f>I24/$D$7</f>
        <v>9.78895574944914</v>
      </c>
      <c r="J25" s="195">
        <f>J24/$D$7</f>
        <v>11.0512750043221</v>
      </c>
      <c r="K25" s="195">
        <f>K24/$D$7</f>
        <v>12.2614848164861</v>
      </c>
      <c r="L25" s="195">
        <f>L24/$D$7</f>
        <v>13.4242121767223</v>
      </c>
      <c r="M25" s="195">
        <f>M24/$D$7</f>
        <v>14.5639393169854</v>
      </c>
      <c r="N25" s="195">
        <f>N24/$D$7</f>
        <v>15.6775764499535</v>
      </c>
      <c r="P25" s="196" t="s">
        <v>1651</v>
      </c>
      <c r="Q25" s="219"/>
      <c r="R25" s="220"/>
      <c r="S25" s="164"/>
      <c r="T25" s="164"/>
      <c r="U25" s="164"/>
      <c r="V25" s="164"/>
      <c r="W25" s="164"/>
      <c r="X25" s="164"/>
      <c r="Y25" s="164"/>
      <c r="Z25" s="164"/>
    </row>
    <row r="26" s="56" customFormat="1" customHeight="1" spans="1:26">
      <c r="A26" s="58"/>
      <c r="B26" s="148" t="s">
        <v>1652</v>
      </c>
      <c r="C26" s="149" t="s">
        <v>1653</v>
      </c>
      <c r="D26" s="150"/>
      <c r="E26" s="143" t="e">
        <f>(E23*(($C$19/3.1415)^0.5*2)*3.1415/10*100*$C$19/0.01749)^0.5</f>
        <v>#VALUE!</v>
      </c>
      <c r="F26" s="143" t="e">
        <f>(F23*(($C$19/3.1415)^0.5*2)*3.1415/10*100*$C$19/0.01749)^0.5</f>
        <v>#VALUE!</v>
      </c>
      <c r="G26" s="143" t="e">
        <f>(G23*(($C$19/3.1415)^0.5*2)*3.1415/10*100*$C$19/0.01749)^0.5</f>
        <v>#VALUE!</v>
      </c>
      <c r="H26" s="143" t="e">
        <f>(H23*(($C$19/3.1415)^0.5*2)*3.1415/10*100*$C$19/0.01749)^0.5</f>
        <v>#VALUE!</v>
      </c>
      <c r="I26" s="143" t="e">
        <f>(I23*(($C$19/3.1415)^0.5*2)*3.1415/10*100*$C$19/0.01749)^0.5</f>
        <v>#VALUE!</v>
      </c>
      <c r="J26" s="143" t="e">
        <f>(J23*(($C$19/3.1415)^0.5*2)*3.1415/10*100*$C$19/0.01749)^0.5</f>
        <v>#VALUE!</v>
      </c>
      <c r="K26" s="143" t="e">
        <f>(K23*(($C$19/3.1415)^0.5*2)*3.1415/10*100*$C$19/0.01749)^0.5</f>
        <v>#VALUE!</v>
      </c>
      <c r="L26" s="143" t="e">
        <f>(L23*(($C$19/3.1415)^0.5*2)*3.1415/10*100*$C$19/0.01749)^0.5</f>
        <v>#VALUE!</v>
      </c>
      <c r="M26" s="143" t="e">
        <f>(M23*(($C$19/3.1415)^0.5*2)*3.1415/10*100*$C$19/0.01749)^0.5</f>
        <v>#VALUE!</v>
      </c>
      <c r="N26" s="143" t="e">
        <f>(N23*(($C$19/3.1415)^0.5*2)*3.1415/10*100*$C$19/0.01749)^0.5</f>
        <v>#VALUE!</v>
      </c>
      <c r="P26" s="197" t="s">
        <v>1654</v>
      </c>
      <c r="Q26" s="221"/>
      <c r="R26" s="222"/>
      <c r="S26" s="164"/>
      <c r="T26" s="164"/>
      <c r="U26" s="164"/>
      <c r="V26" s="164"/>
      <c r="W26" s="164"/>
      <c r="X26" s="164"/>
      <c r="Y26" s="164"/>
      <c r="Z26" s="164"/>
    </row>
    <row r="27" s="56" customFormat="1" customHeight="1" spans="1:26">
      <c r="A27" s="58"/>
      <c r="B27" s="151"/>
      <c r="C27" s="152" t="s">
        <v>1655</v>
      </c>
      <c r="D27" s="153"/>
      <c r="E27" s="154" t="e">
        <f>E26/$C$19</f>
        <v>#VALUE!</v>
      </c>
      <c r="F27" s="155" t="e">
        <f>F26/$C$19</f>
        <v>#VALUE!</v>
      </c>
      <c r="G27" s="155" t="e">
        <f>G26/$C$19</f>
        <v>#VALUE!</v>
      </c>
      <c r="H27" s="155" t="e">
        <f>H26/$C$19</f>
        <v>#VALUE!</v>
      </c>
      <c r="I27" s="155" t="e">
        <f>I26/$C$19</f>
        <v>#VALUE!</v>
      </c>
      <c r="J27" s="198" t="e">
        <f>J26/$C$19</f>
        <v>#VALUE!</v>
      </c>
      <c r="K27" s="198" t="e">
        <f>K26/$C$19</f>
        <v>#VALUE!</v>
      </c>
      <c r="L27" s="198" t="e">
        <f>L26/$C$19</f>
        <v>#VALUE!</v>
      </c>
      <c r="M27" s="198" t="e">
        <f>M26/$C$19</f>
        <v>#VALUE!</v>
      </c>
      <c r="N27" s="198" t="e">
        <f>N26/$C$19</f>
        <v>#VALUE!</v>
      </c>
      <c r="P27" s="199" t="s">
        <v>1656</v>
      </c>
      <c r="Q27" s="223"/>
      <c r="R27" s="224"/>
      <c r="S27" s="164"/>
      <c r="T27" s="164"/>
      <c r="U27" s="164"/>
      <c r="V27" s="164"/>
      <c r="W27" s="164"/>
      <c r="X27" s="164"/>
      <c r="Y27" s="164"/>
      <c r="Z27" s="164"/>
    </row>
    <row r="28" s="58" customFormat="1" ht="7.5" customHeight="1" spans="2:14">
      <c r="B28" s="156"/>
      <c r="C28" s="156"/>
      <c r="D28" s="156"/>
      <c r="E28" s="156"/>
      <c r="F28" s="156"/>
      <c r="G28" s="156"/>
      <c r="H28" s="156"/>
      <c r="I28" s="156"/>
      <c r="J28" s="156"/>
      <c r="K28" s="156"/>
      <c r="L28" s="200"/>
      <c r="M28" s="60"/>
      <c r="N28" s="201"/>
    </row>
    <row r="29" s="58" customFormat="1" ht="12.75" customHeight="1" spans="2:11">
      <c r="B29" s="157" t="s">
        <v>1657</v>
      </c>
      <c r="C29" s="158"/>
      <c r="D29" s="158"/>
      <c r="E29" s="158"/>
      <c r="F29" s="158"/>
      <c r="G29" s="158"/>
      <c r="H29" s="159"/>
      <c r="I29" s="202" t="s">
        <v>1658</v>
      </c>
      <c r="J29" s="203"/>
      <c r="K29" s="203"/>
    </row>
    <row r="30" s="58" customFormat="1" ht="10.5" customHeight="1" spans="2:11">
      <c r="B30" s="160">
        <v>0.018</v>
      </c>
      <c r="C30" s="161">
        <v>0.1</v>
      </c>
      <c r="D30" s="161">
        <v>0.2</v>
      </c>
      <c r="E30" s="161">
        <v>0.5</v>
      </c>
      <c r="F30" s="161">
        <v>1</v>
      </c>
      <c r="G30" s="161">
        <v>2</v>
      </c>
      <c r="H30" s="162">
        <v>5</v>
      </c>
      <c r="I30" s="202"/>
      <c r="J30" s="203"/>
      <c r="K30" s="203"/>
    </row>
    <row r="31" s="58" customFormat="1" ht="10.5" customHeight="1" spans="2:18">
      <c r="B31" s="160">
        <v>0.02</v>
      </c>
      <c r="C31" s="161">
        <v>0.112</v>
      </c>
      <c r="D31" s="161">
        <v>0.212</v>
      </c>
      <c r="E31" s="160">
        <v>0.53</v>
      </c>
      <c r="F31" s="160">
        <v>1.06</v>
      </c>
      <c r="G31" s="160">
        <v>2.12</v>
      </c>
      <c r="H31" s="162">
        <v>5.6</v>
      </c>
      <c r="I31" s="204" t="s">
        <v>1659</v>
      </c>
      <c r="J31" s="205" t="s">
        <v>1660</v>
      </c>
      <c r="K31" s="205"/>
      <c r="L31" s="205"/>
      <c r="M31" s="205"/>
      <c r="N31" s="205"/>
      <c r="O31" s="205"/>
      <c r="P31" s="205"/>
      <c r="Q31" s="205"/>
      <c r="R31" s="205"/>
    </row>
    <row r="32" s="58" customFormat="1" ht="10.5" customHeight="1" spans="2:18">
      <c r="B32" s="160">
        <v>0.022</v>
      </c>
      <c r="C32" s="160">
        <v>0.118</v>
      </c>
      <c r="D32" s="161">
        <v>0.224</v>
      </c>
      <c r="E32" s="161">
        <v>0.56</v>
      </c>
      <c r="F32" s="161">
        <v>1.12</v>
      </c>
      <c r="G32" s="161">
        <v>2.24</v>
      </c>
      <c r="H32" s="162">
        <v>6.3</v>
      </c>
      <c r="I32" s="204"/>
      <c r="J32" s="205"/>
      <c r="K32" s="205"/>
      <c r="L32" s="205"/>
      <c r="M32" s="205"/>
      <c r="N32" s="205"/>
      <c r="O32" s="205"/>
      <c r="P32" s="205"/>
      <c r="Q32" s="205"/>
      <c r="R32" s="205"/>
    </row>
    <row r="33" s="58" customFormat="1" ht="10.5" customHeight="1" spans="2:18">
      <c r="B33" s="160">
        <v>0.025</v>
      </c>
      <c r="C33" s="161">
        <v>0.125</v>
      </c>
      <c r="D33" s="161">
        <v>0.236</v>
      </c>
      <c r="E33" s="160">
        <v>0.6</v>
      </c>
      <c r="F33" s="160">
        <v>1.18</v>
      </c>
      <c r="G33" s="160">
        <v>2.36</v>
      </c>
      <c r="H33" s="162">
        <v>7.1</v>
      </c>
      <c r="I33" s="204"/>
      <c r="J33" s="205"/>
      <c r="K33" s="205"/>
      <c r="L33" s="205"/>
      <c r="M33" s="205"/>
      <c r="N33" s="205"/>
      <c r="O33" s="205"/>
      <c r="P33" s="205"/>
      <c r="Q33" s="205"/>
      <c r="R33" s="205"/>
    </row>
    <row r="34" s="58" customFormat="1" ht="10.5" customHeight="1" spans="2:18">
      <c r="B34" s="160">
        <v>0.028</v>
      </c>
      <c r="C34" s="160">
        <v>0.132</v>
      </c>
      <c r="D34" s="161">
        <v>0.25</v>
      </c>
      <c r="E34" s="161">
        <v>0.63</v>
      </c>
      <c r="F34" s="161">
        <v>1.25</v>
      </c>
      <c r="G34" s="161">
        <v>2.5</v>
      </c>
      <c r="H34" s="162">
        <v>8</v>
      </c>
      <c r="I34" s="204" t="s">
        <v>1661</v>
      </c>
      <c r="J34" s="206" t="s">
        <v>1662</v>
      </c>
      <c r="K34" s="206"/>
      <c r="L34" s="206"/>
      <c r="M34" s="206"/>
      <c r="N34" s="206"/>
      <c r="O34" s="206"/>
      <c r="P34" s="206"/>
      <c r="Q34" s="206"/>
      <c r="R34" s="206"/>
    </row>
    <row r="35" s="58" customFormat="1" ht="10.5" customHeight="1" spans="2:18">
      <c r="B35" s="160">
        <v>0.032</v>
      </c>
      <c r="C35" s="161">
        <v>0.14</v>
      </c>
      <c r="D35" s="161">
        <v>0.265</v>
      </c>
      <c r="E35" s="160">
        <v>0.67</v>
      </c>
      <c r="F35" s="160">
        <v>1.32</v>
      </c>
      <c r="G35" s="162">
        <v>2.8</v>
      </c>
      <c r="H35" s="162">
        <v>9</v>
      </c>
      <c r="I35" s="204"/>
      <c r="J35" s="206"/>
      <c r="K35" s="206"/>
      <c r="L35" s="206"/>
      <c r="M35" s="206"/>
      <c r="N35" s="206"/>
      <c r="O35" s="206"/>
      <c r="P35" s="206"/>
      <c r="Q35" s="206"/>
      <c r="R35" s="206"/>
    </row>
    <row r="36" s="58" customFormat="1" ht="10.5" customHeight="1" spans="2:18">
      <c r="B36" s="160">
        <v>0.036</v>
      </c>
      <c r="C36" s="160">
        <v>0.15</v>
      </c>
      <c r="D36" s="161">
        <v>0.28</v>
      </c>
      <c r="E36" s="161">
        <v>0.71</v>
      </c>
      <c r="F36" s="161">
        <v>1.4</v>
      </c>
      <c r="G36" s="162">
        <v>3.15</v>
      </c>
      <c r="H36" s="162">
        <v>10</v>
      </c>
      <c r="I36" s="207" t="s">
        <v>1663</v>
      </c>
      <c r="J36" s="205" t="s">
        <v>1664</v>
      </c>
      <c r="K36" s="205"/>
      <c r="L36" s="205"/>
      <c r="M36" s="205"/>
      <c r="N36" s="205"/>
      <c r="O36" s="205"/>
      <c r="P36" s="205"/>
      <c r="Q36" s="205"/>
      <c r="R36" s="205"/>
    </row>
    <row r="37" s="58" customFormat="1" ht="10.5" customHeight="1" spans="2:18">
      <c r="B37" s="161">
        <v>0.04</v>
      </c>
      <c r="C37" s="161">
        <v>0.16</v>
      </c>
      <c r="D37" s="161">
        <v>0.3</v>
      </c>
      <c r="E37" s="160">
        <v>0.75</v>
      </c>
      <c r="F37" s="160">
        <v>1.5</v>
      </c>
      <c r="G37" s="162">
        <v>3.55</v>
      </c>
      <c r="H37" s="162">
        <v>11.2</v>
      </c>
      <c r="I37" s="207"/>
      <c r="J37" s="205"/>
      <c r="K37" s="205"/>
      <c r="L37" s="205"/>
      <c r="M37" s="205"/>
      <c r="N37" s="205"/>
      <c r="O37" s="205"/>
      <c r="P37" s="205"/>
      <c r="Q37" s="205"/>
      <c r="R37" s="205"/>
    </row>
    <row r="38" s="58" customFormat="1" ht="10.5" customHeight="1" spans="2:18">
      <c r="B38" s="160">
        <v>0.045</v>
      </c>
      <c r="C38" s="160">
        <v>0.17</v>
      </c>
      <c r="D38" s="161">
        <v>0.315</v>
      </c>
      <c r="E38" s="161">
        <v>0.8</v>
      </c>
      <c r="F38" s="161">
        <v>1.6</v>
      </c>
      <c r="G38" s="162">
        <v>4</v>
      </c>
      <c r="H38" s="163"/>
      <c r="I38" s="207"/>
      <c r="J38" s="205"/>
      <c r="K38" s="205"/>
      <c r="L38" s="205"/>
      <c r="M38" s="205"/>
      <c r="N38" s="205"/>
      <c r="O38" s="205"/>
      <c r="P38" s="205"/>
      <c r="Q38" s="205"/>
      <c r="R38" s="205"/>
    </row>
    <row r="39" s="58" customFormat="1" ht="10.5" customHeight="1" spans="2:18">
      <c r="B39" s="161">
        <v>0.05</v>
      </c>
      <c r="C39" s="161">
        <v>0.18</v>
      </c>
      <c r="D39" s="161">
        <v>0.335</v>
      </c>
      <c r="E39" s="160">
        <v>0.85</v>
      </c>
      <c r="F39" s="160">
        <v>1.7</v>
      </c>
      <c r="G39" s="162">
        <v>4.5</v>
      </c>
      <c r="H39" s="164"/>
      <c r="I39" s="207" t="s">
        <v>1665</v>
      </c>
      <c r="J39" s="206" t="s">
        <v>1666</v>
      </c>
      <c r="K39" s="206"/>
      <c r="L39" s="206"/>
      <c r="M39" s="206"/>
      <c r="N39" s="206"/>
      <c r="O39" s="206"/>
      <c r="P39" s="206"/>
      <c r="Q39" s="206"/>
      <c r="R39" s="206"/>
    </row>
    <row r="40" s="58" customFormat="1" ht="10.5" customHeight="1" spans="2:18">
      <c r="B40" s="161">
        <v>0.056</v>
      </c>
      <c r="C40" s="160">
        <v>0.19</v>
      </c>
      <c r="D40" s="161">
        <v>0.355</v>
      </c>
      <c r="E40" s="161">
        <v>0.9</v>
      </c>
      <c r="F40" s="161">
        <v>1.8</v>
      </c>
      <c r="G40" s="164"/>
      <c r="H40" s="164"/>
      <c r="I40" s="207"/>
      <c r="J40" s="206"/>
      <c r="K40" s="206"/>
      <c r="L40" s="206"/>
      <c r="M40" s="206"/>
      <c r="N40" s="206"/>
      <c r="O40" s="206"/>
      <c r="P40" s="206"/>
      <c r="Q40" s="206"/>
      <c r="R40" s="206"/>
    </row>
    <row r="41" s="58" customFormat="1" ht="10.5" customHeight="1" spans="2:8">
      <c r="B41" s="161">
        <v>0.063</v>
      </c>
      <c r="C41" s="164"/>
      <c r="D41" s="161">
        <v>0.375</v>
      </c>
      <c r="E41" s="160">
        <v>0.95</v>
      </c>
      <c r="F41" s="160">
        <v>1.9</v>
      </c>
      <c r="G41" s="164"/>
      <c r="H41" s="164"/>
    </row>
    <row r="42" s="58" customFormat="1" ht="10.5" customHeight="1" spans="2:8">
      <c r="B42" s="161">
        <v>0.071</v>
      </c>
      <c r="C42" s="164"/>
      <c r="D42" s="161">
        <v>0.4</v>
      </c>
      <c r="E42" s="165"/>
      <c r="F42" s="164"/>
      <c r="G42" s="164"/>
      <c r="H42" s="164"/>
    </row>
    <row r="43" s="58" customFormat="1" ht="10.5" customHeight="1" spans="2:8">
      <c r="B43" s="161">
        <v>0.08</v>
      </c>
      <c r="C43" s="164"/>
      <c r="D43" s="161">
        <v>0.425</v>
      </c>
      <c r="E43" s="165"/>
      <c r="F43" s="164"/>
      <c r="G43" s="164"/>
      <c r="H43" s="164"/>
    </row>
    <row r="44" s="56" customFormat="1" ht="10.5" customHeight="1" spans="1:26">
      <c r="A44" s="58"/>
      <c r="B44" s="161">
        <v>0.09</v>
      </c>
      <c r="C44" s="164"/>
      <c r="D44" s="161">
        <v>0.45</v>
      </c>
      <c r="E44" s="165"/>
      <c r="F44" s="164"/>
      <c r="G44" s="164"/>
      <c r="H44" s="164"/>
      <c r="Q44" s="225" t="s">
        <v>1667</v>
      </c>
      <c r="R44" s="225" t="s">
        <v>1668</v>
      </c>
      <c r="S44" s="226"/>
      <c r="T44" s="163"/>
      <c r="U44" s="163"/>
      <c r="V44" s="164"/>
      <c r="W44" s="164"/>
      <c r="X44" s="164"/>
      <c r="Y44" s="164"/>
      <c r="Z44" s="164"/>
    </row>
    <row r="45" s="56" customFormat="1" ht="10.5" customHeight="1" spans="1:26">
      <c r="A45" s="58"/>
      <c r="B45" s="164"/>
      <c r="C45" s="164"/>
      <c r="D45" s="161">
        <v>0.475</v>
      </c>
      <c r="E45" s="165"/>
      <c r="F45" s="164"/>
      <c r="G45" s="164"/>
      <c r="H45" s="164"/>
      <c r="I45" s="57"/>
      <c r="Q45" s="225" t="s">
        <v>1669</v>
      </c>
      <c r="R45" s="227" t="s">
        <v>1670</v>
      </c>
      <c r="S45" s="225"/>
      <c r="T45" s="219"/>
      <c r="U45" s="163"/>
      <c r="V45" s="164"/>
      <c r="W45" s="164"/>
      <c r="X45" s="164"/>
      <c r="Y45" s="164"/>
      <c r="Z45" s="164"/>
    </row>
    <row r="46" ht="12" customHeight="1" spans="1:21">
      <c r="A46" s="166"/>
      <c r="I46" s="62"/>
      <c r="T46" s="228"/>
      <c r="U46" s="229"/>
    </row>
    <row r="47" ht="11.25" customHeight="1" spans="1:21">
      <c r="A47" s="166"/>
      <c r="T47" s="228"/>
      <c r="U47" s="229"/>
    </row>
    <row r="48" ht="15" customHeight="1" spans="20:21">
      <c r="T48" s="60"/>
      <c r="U48" s="229"/>
    </row>
    <row r="49" ht="15" customHeight="1" spans="20:21">
      <c r="T49" s="60"/>
      <c r="U49" s="229"/>
    </row>
    <row r="50" ht="15" customHeight="1" spans="20:21">
      <c r="T50" s="60"/>
      <c r="U50" s="229"/>
    </row>
    <row r="51" ht="15" customHeight="1" spans="20:21">
      <c r="T51" s="60"/>
      <c r="U51" s="229"/>
    </row>
    <row r="52" ht="15" customHeight="1" spans="20:21">
      <c r="T52" s="60"/>
      <c r="U52" s="229"/>
    </row>
    <row r="53" ht="15" customHeight="1" spans="20:21">
      <c r="T53" s="60"/>
      <c r="U53" s="229"/>
    </row>
    <row r="54" ht="15" customHeight="1" spans="20:21">
      <c r="T54" s="60"/>
      <c r="U54" s="229"/>
    </row>
    <row r="55" ht="15" customHeight="1" spans="20:21">
      <c r="T55" s="60"/>
      <c r="U55" s="229"/>
    </row>
    <row r="56" ht="15" customHeight="1" spans="20:21">
      <c r="T56" s="60"/>
      <c r="U56" s="229"/>
    </row>
    <row r="57" ht="15" customHeight="1" spans="20:21">
      <c r="T57" s="60"/>
      <c r="U57" s="229"/>
    </row>
    <row r="58" ht="15" customHeight="1" spans="20:21">
      <c r="T58" s="60"/>
      <c r="U58" s="229"/>
    </row>
    <row r="59" ht="15" customHeight="1" spans="20:21">
      <c r="T59" s="60"/>
      <c r="U59" s="229"/>
    </row>
    <row r="60" ht="15" customHeight="1" spans="20:21">
      <c r="T60" s="60"/>
      <c r="U60" s="229"/>
    </row>
    <row r="61" ht="15" customHeight="1" spans="20:21">
      <c r="T61" s="60"/>
      <c r="U61" s="229"/>
    </row>
    <row r="62" ht="15" customHeight="1" spans="20:21">
      <c r="T62" s="60"/>
      <c r="U62" s="229"/>
    </row>
    <row r="63" ht="15" customHeight="1" spans="20:21">
      <c r="T63" s="60"/>
      <c r="U63" s="229"/>
    </row>
    <row r="64" ht="15" customHeight="1" spans="20:21">
      <c r="T64" s="60"/>
      <c r="U64" s="229"/>
    </row>
    <row r="65" ht="15" customHeight="1" spans="20:21">
      <c r="T65" s="60"/>
      <c r="U65" s="229"/>
    </row>
    <row r="66" spans="19:21">
      <c r="S66" s="265"/>
      <c r="T66" s="265"/>
      <c r="U66" s="229"/>
    </row>
    <row r="67" spans="19:21">
      <c r="S67" s="265"/>
      <c r="T67" s="265"/>
      <c r="U67" s="229"/>
    </row>
    <row r="68" spans="19:21">
      <c r="S68" s="265"/>
      <c r="T68" s="265"/>
      <c r="U68" s="229"/>
    </row>
    <row r="69" spans="2:21">
      <c r="B69" s="230"/>
      <c r="S69" s="265"/>
      <c r="T69" s="265"/>
      <c r="U69" s="229"/>
    </row>
    <row r="70" spans="19:21">
      <c r="S70" s="265"/>
      <c r="T70" s="265"/>
      <c r="U70" s="229"/>
    </row>
    <row r="71" spans="2:21">
      <c r="B71" s="230"/>
      <c r="C71" s="230"/>
      <c r="S71" s="265"/>
      <c r="T71" s="265"/>
      <c r="U71" s="229"/>
    </row>
    <row r="72" spans="19:21">
      <c r="S72" s="265"/>
      <c r="T72" s="265"/>
      <c r="U72" s="229"/>
    </row>
    <row r="73" spans="2:21">
      <c r="B73" s="230"/>
      <c r="C73" s="230"/>
      <c r="D73" s="230"/>
      <c r="S73" s="265"/>
      <c r="T73" s="265"/>
      <c r="U73" s="229"/>
    </row>
    <row r="74" spans="19:21">
      <c r="S74" s="265"/>
      <c r="T74" s="265"/>
      <c r="U74" s="229"/>
    </row>
    <row r="75" spans="2:21">
      <c r="B75" s="230"/>
      <c r="C75" s="230"/>
      <c r="D75" s="230"/>
      <c r="E75" s="231"/>
      <c r="S75" s="265"/>
      <c r="T75" s="265"/>
      <c r="U75" s="229"/>
    </row>
    <row r="76" spans="19:21">
      <c r="S76" s="265"/>
      <c r="T76" s="265"/>
      <c r="U76" s="229"/>
    </row>
    <row r="77" spans="2:21">
      <c r="B77" s="230"/>
      <c r="C77" s="230"/>
      <c r="D77" s="230"/>
      <c r="E77" s="231"/>
      <c r="F77" s="230"/>
      <c r="S77" s="265"/>
      <c r="T77" s="265"/>
      <c r="U77" s="229"/>
    </row>
    <row r="78" spans="19:21">
      <c r="S78" s="265"/>
      <c r="T78" s="265"/>
      <c r="U78" s="229"/>
    </row>
    <row r="79" spans="2:21">
      <c r="B79" s="230"/>
      <c r="C79" s="232"/>
      <c r="D79" s="232"/>
      <c r="E79" s="232"/>
      <c r="F79" s="232"/>
      <c r="G79" s="232"/>
      <c r="H79" s="233"/>
      <c r="I79" s="233"/>
      <c r="J79" s="233"/>
      <c r="K79" s="233"/>
      <c r="L79" s="233"/>
      <c r="M79" s="233"/>
      <c r="N79" s="233"/>
      <c r="O79" s="233"/>
      <c r="P79" s="233"/>
      <c r="Q79" s="233"/>
      <c r="R79" s="233"/>
      <c r="S79" s="265"/>
      <c r="T79" s="265"/>
      <c r="U79" s="229"/>
    </row>
    <row r="80" ht="13.5" spans="2:21">
      <c r="B80" s="233"/>
      <c r="C80" s="208"/>
      <c r="D80" s="208"/>
      <c r="E80" s="208"/>
      <c r="F80" s="208"/>
      <c r="G80" s="208"/>
      <c r="H80" s="208"/>
      <c r="I80" s="208"/>
      <c r="J80" s="208"/>
      <c r="K80" s="208"/>
      <c r="L80" s="208"/>
      <c r="M80" s="208"/>
      <c r="N80" s="208"/>
      <c r="O80" s="208"/>
      <c r="P80" s="208"/>
      <c r="Q80" s="208"/>
      <c r="R80" s="208"/>
      <c r="S80" s="265"/>
      <c r="T80" s="265"/>
      <c r="U80" s="229"/>
    </row>
    <row r="81" spans="2:30">
      <c r="B81" s="234"/>
      <c r="C81" s="235"/>
      <c r="D81" s="235"/>
      <c r="E81" s="235"/>
      <c r="F81" s="235"/>
      <c r="G81" s="235"/>
      <c r="H81" s="235"/>
      <c r="I81" s="235"/>
      <c r="J81" s="235"/>
      <c r="K81" s="235"/>
      <c r="L81" s="235"/>
      <c r="M81" s="235"/>
      <c r="N81" s="235"/>
      <c r="O81" s="235"/>
      <c r="P81" s="235"/>
      <c r="Q81" s="235"/>
      <c r="R81" s="235"/>
      <c r="S81" s="266"/>
      <c r="T81" s="266"/>
      <c r="U81" s="267"/>
      <c r="V81" s="268"/>
      <c r="W81" s="268"/>
      <c r="X81" s="268"/>
      <c r="Y81" s="268"/>
      <c r="Z81" s="268"/>
      <c r="AA81" s="230"/>
      <c r="AB81" s="230"/>
      <c r="AC81" s="230"/>
      <c r="AD81" s="230"/>
    </row>
    <row r="82" spans="5:21">
      <c r="E82" s="60"/>
      <c r="N82" s="60"/>
      <c r="O82" s="60"/>
      <c r="P82" s="60"/>
      <c r="Q82" s="60"/>
      <c r="R82" s="60"/>
      <c r="S82" s="265"/>
      <c r="T82" s="265"/>
      <c r="U82" s="229"/>
    </row>
    <row r="83" spans="2:30">
      <c r="B83" s="236" t="s">
        <v>1671</v>
      </c>
      <c r="D83" s="60" t="s">
        <v>1672</v>
      </c>
      <c r="L83" s="253"/>
      <c r="M83" s="63"/>
      <c r="N83" s="254" t="s">
        <v>1673</v>
      </c>
      <c r="O83" s="254"/>
      <c r="P83" s="65"/>
      <c r="Q83" s="269" t="s">
        <v>1674</v>
      </c>
      <c r="R83" s="65"/>
      <c r="S83" s="60" t="s">
        <v>1672</v>
      </c>
      <c r="T83" s="265"/>
      <c r="U83" s="229"/>
      <c r="AB83" s="63"/>
      <c r="AC83" s="254" t="s">
        <v>1673</v>
      </c>
      <c r="AD83" s="254"/>
    </row>
    <row r="84" ht="13.5" spans="2:30">
      <c r="B84" s="237" t="s">
        <v>1607</v>
      </c>
      <c r="C84" s="237" t="s">
        <v>1675</v>
      </c>
      <c r="D84" s="237" t="s">
        <v>1676</v>
      </c>
      <c r="E84" s="237" t="s">
        <v>1677</v>
      </c>
      <c r="F84" s="237" t="s">
        <v>1611</v>
      </c>
      <c r="G84" s="238"/>
      <c r="H84" s="238"/>
      <c r="I84" s="237" t="s">
        <v>1612</v>
      </c>
      <c r="J84" s="238"/>
      <c r="K84" s="238"/>
      <c r="L84" s="254" t="s">
        <v>1633</v>
      </c>
      <c r="M84" s="254" t="s">
        <v>1678</v>
      </c>
      <c r="N84" s="254" t="s">
        <v>1679</v>
      </c>
      <c r="O84" s="254" t="s">
        <v>1680</v>
      </c>
      <c r="Q84" s="237" t="s">
        <v>1607</v>
      </c>
      <c r="R84" s="237" t="s">
        <v>1675</v>
      </c>
      <c r="S84" s="237" t="s">
        <v>1676</v>
      </c>
      <c r="T84" s="237" t="s">
        <v>1677</v>
      </c>
      <c r="U84" s="237" t="s">
        <v>1611</v>
      </c>
      <c r="V84" s="238"/>
      <c r="W84" s="238"/>
      <c r="X84" s="237" t="s">
        <v>1612</v>
      </c>
      <c r="Y84" s="238"/>
      <c r="Z84" s="238"/>
      <c r="AA84" s="254" t="s">
        <v>1633</v>
      </c>
      <c r="AB84" s="254" t="s">
        <v>1678</v>
      </c>
      <c r="AC84" s="254" t="s">
        <v>1679</v>
      </c>
      <c r="AD84" s="254" t="s">
        <v>1680</v>
      </c>
    </row>
    <row r="85" ht="18" customHeight="1" spans="2:30">
      <c r="B85" s="239" t="s">
        <v>1681</v>
      </c>
      <c r="C85" s="239" t="s">
        <v>1682</v>
      </c>
      <c r="D85" s="239" t="s">
        <v>668</v>
      </c>
      <c r="E85" s="240" t="s">
        <v>686</v>
      </c>
      <c r="F85" s="239" t="s">
        <v>1615</v>
      </c>
      <c r="G85" s="239" t="s">
        <v>1616</v>
      </c>
      <c r="H85" s="239" t="s">
        <v>1617</v>
      </c>
      <c r="I85" s="239" t="s">
        <v>1618</v>
      </c>
      <c r="J85" s="239" t="s">
        <v>1619</v>
      </c>
      <c r="K85" s="239" t="s">
        <v>1620</v>
      </c>
      <c r="L85" s="255" t="s">
        <v>1621</v>
      </c>
      <c r="M85" s="255" t="s">
        <v>1638</v>
      </c>
      <c r="N85" s="255" t="s">
        <v>1638</v>
      </c>
      <c r="O85" s="255" t="s">
        <v>1683</v>
      </c>
      <c r="Q85" s="239" t="s">
        <v>1681</v>
      </c>
      <c r="R85" s="239" t="s">
        <v>1682</v>
      </c>
      <c r="S85" s="239" t="s">
        <v>668</v>
      </c>
      <c r="T85" s="240" t="s">
        <v>686</v>
      </c>
      <c r="U85" s="239" t="s">
        <v>1615</v>
      </c>
      <c r="V85" s="239" t="s">
        <v>1616</v>
      </c>
      <c r="W85" s="239" t="s">
        <v>1617</v>
      </c>
      <c r="X85" s="239" t="s">
        <v>1618</v>
      </c>
      <c r="Y85" s="239" t="s">
        <v>1619</v>
      </c>
      <c r="Z85" s="239" t="s">
        <v>1620</v>
      </c>
      <c r="AA85" s="255" t="s">
        <v>1621</v>
      </c>
      <c r="AB85" s="255" t="s">
        <v>1638</v>
      </c>
      <c r="AC85" s="255" t="s">
        <v>1638</v>
      </c>
      <c r="AD85" s="255" t="s">
        <v>1683</v>
      </c>
    </row>
    <row r="86" spans="1:30">
      <c r="A86" s="59">
        <v>1</v>
      </c>
      <c r="B86" s="241">
        <v>0.018</v>
      </c>
      <c r="C86" s="242">
        <f t="shared" ref="C86:C103" si="2">3.1415926*B86*B86/4</f>
        <v>0.0002544690006</v>
      </c>
      <c r="D86" s="243" t="s">
        <v>1684</v>
      </c>
      <c r="E86" s="243" t="s">
        <v>1684</v>
      </c>
      <c r="F86" s="244">
        <v>0.022</v>
      </c>
      <c r="G86" s="241">
        <v>0.024</v>
      </c>
      <c r="H86" s="241" t="s">
        <v>1684</v>
      </c>
      <c r="I86" s="256">
        <f t="shared" ref="I86:I149" si="3">1/58.527/C86</f>
        <v>67.1442539053036</v>
      </c>
      <c r="J86" s="256">
        <v>60.46</v>
      </c>
      <c r="K86" s="256">
        <v>73.89</v>
      </c>
      <c r="L86" s="257">
        <f t="shared" ref="L86:L149" si="4">C86/100*100000*8.9/1000</f>
        <v>0.00226477410534</v>
      </c>
      <c r="M86" s="258" t="s">
        <v>1684</v>
      </c>
      <c r="N86" s="258" t="s">
        <v>1684</v>
      </c>
      <c r="O86" s="258" t="s">
        <v>1684</v>
      </c>
      <c r="Q86" s="270">
        <f t="shared" ref="Q86:Q149" si="5">IF($B$7=B86,B86,Q87)</f>
        <v>1.8</v>
      </c>
      <c r="R86" s="271">
        <f t="shared" ref="R86:R149" si="6">IF(Q86=B86,C86,R87)</f>
        <v>2.5434</v>
      </c>
      <c r="S86" s="272">
        <f t="shared" ref="S86:S149" si="7">IF(Q86=B86,D86,S87)</f>
        <v>13</v>
      </c>
      <c r="T86" s="272">
        <f t="shared" ref="T86:T149" si="8">IF(Q86=B86,E86,T87)</f>
        <v>15</v>
      </c>
      <c r="U86" s="270">
        <f t="shared" ref="U86:U149" si="9">IF(Q86=B86,F86,U87)</f>
        <v>1.872</v>
      </c>
      <c r="V86" s="270">
        <f t="shared" ref="V86:V149" si="10">IF(Q86=B86,G86,V87)</f>
        <v>1.909</v>
      </c>
      <c r="W86" s="270">
        <f t="shared" ref="W86:W149" si="11">IF(Q86=B86,H86,W87)</f>
        <v>1.944</v>
      </c>
      <c r="X86" s="270">
        <f t="shared" ref="X86:X149" si="12">IF(Q86=B86,I86,X87)</f>
        <v>0.00671783092998162</v>
      </c>
      <c r="Y86" s="270">
        <f t="shared" ref="Y86:Y149" si="13">IF(Q86=B86,J86,Y87)</f>
        <v>0.00666397442100058</v>
      </c>
      <c r="Z86" s="270">
        <f t="shared" ref="Z86:Z149" si="14">IF(Q86=B86,K86,Z87)</f>
        <v>0.00677887053170749</v>
      </c>
      <c r="AA86" s="270">
        <f t="shared" ref="AA86:AA149" si="15">IF(Q86=B86,L86,AA87)</f>
        <v>22.63626</v>
      </c>
      <c r="AB86" s="276">
        <f t="shared" ref="AB86:AB149" si="16">IF(Q86=B86,M86,AB87)</f>
        <v>68720</v>
      </c>
      <c r="AC86" s="276">
        <f t="shared" ref="AC86:AC149" si="17">IF(Q86=B86,N86,AC87)</f>
        <v>12350</v>
      </c>
      <c r="AD86" s="276">
        <f t="shared" ref="AD86:AD149" si="18">IF(Q86=B86,O86,AD87)</f>
        <v>25270</v>
      </c>
    </row>
    <row r="87" ht="13.5" spans="1:30">
      <c r="A87" s="59">
        <f t="shared" ref="A87:A150" si="19">A86+1</f>
        <v>2</v>
      </c>
      <c r="B87" s="245">
        <v>0.02</v>
      </c>
      <c r="C87" s="246">
        <f t="shared" si="2"/>
        <v>0.00031415926</v>
      </c>
      <c r="D87" s="247" t="s">
        <v>1684</v>
      </c>
      <c r="E87" s="247" t="s">
        <v>1684</v>
      </c>
      <c r="F87" s="248">
        <v>0.024</v>
      </c>
      <c r="G87" s="245">
        <v>0.027</v>
      </c>
      <c r="H87" s="245" t="s">
        <v>1684</v>
      </c>
      <c r="I87" s="259">
        <f t="shared" si="3"/>
        <v>54.3868456632959</v>
      </c>
      <c r="J87" s="259">
        <v>48.97</v>
      </c>
      <c r="K87" s="259">
        <v>59.85</v>
      </c>
      <c r="L87" s="249">
        <f t="shared" si="4"/>
        <v>0.002796017414</v>
      </c>
      <c r="M87" s="258" t="s">
        <v>1684</v>
      </c>
      <c r="N87" s="258" t="s">
        <v>1684</v>
      </c>
      <c r="O87" s="258" t="s">
        <v>1684</v>
      </c>
      <c r="Q87" s="273">
        <f t="shared" si="5"/>
        <v>1.8</v>
      </c>
      <c r="R87" s="274">
        <f t="shared" si="6"/>
        <v>2.5434</v>
      </c>
      <c r="S87" s="275">
        <f t="shared" si="7"/>
        <v>13</v>
      </c>
      <c r="T87" s="275">
        <f t="shared" si="8"/>
        <v>15</v>
      </c>
      <c r="U87" s="273">
        <f t="shared" si="9"/>
        <v>1.872</v>
      </c>
      <c r="V87" s="273">
        <f t="shared" si="10"/>
        <v>1.909</v>
      </c>
      <c r="W87" s="273">
        <f t="shared" si="11"/>
        <v>1.944</v>
      </c>
      <c r="X87" s="273">
        <f t="shared" si="12"/>
        <v>0.00671783092998162</v>
      </c>
      <c r="Y87" s="273">
        <f t="shared" si="13"/>
        <v>0.00666397442100058</v>
      </c>
      <c r="Z87" s="273">
        <f t="shared" si="14"/>
        <v>0.00677887053170749</v>
      </c>
      <c r="AA87" s="273">
        <f t="shared" si="15"/>
        <v>22.63626</v>
      </c>
      <c r="AB87" s="276">
        <f t="shared" si="16"/>
        <v>68720</v>
      </c>
      <c r="AC87" s="276">
        <f t="shared" si="17"/>
        <v>12350</v>
      </c>
      <c r="AD87" s="276">
        <f t="shared" si="18"/>
        <v>25270</v>
      </c>
    </row>
    <row r="88" ht="13.5" spans="1:30">
      <c r="A88" s="59">
        <f t="shared" si="19"/>
        <v>3</v>
      </c>
      <c r="B88" s="245">
        <v>0.022</v>
      </c>
      <c r="C88" s="246">
        <f t="shared" si="2"/>
        <v>0.0003801327046</v>
      </c>
      <c r="D88" s="247" t="s">
        <v>1684</v>
      </c>
      <c r="E88" s="247" t="s">
        <v>1684</v>
      </c>
      <c r="F88" s="248">
        <v>0.027</v>
      </c>
      <c r="G88" s="245">
        <v>0.03</v>
      </c>
      <c r="H88" s="245" t="s">
        <v>1684</v>
      </c>
      <c r="I88" s="259">
        <f t="shared" si="3"/>
        <v>44.9478063333024</v>
      </c>
      <c r="J88" s="259">
        <v>40.47</v>
      </c>
      <c r="K88" s="259">
        <v>49.47</v>
      </c>
      <c r="L88" s="249">
        <f t="shared" si="4"/>
        <v>0.00338318107094</v>
      </c>
      <c r="M88" s="258" t="s">
        <v>1684</v>
      </c>
      <c r="N88" s="258" t="s">
        <v>1684</v>
      </c>
      <c r="O88" s="258" t="s">
        <v>1684</v>
      </c>
      <c r="Q88" s="273">
        <f t="shared" si="5"/>
        <v>1.8</v>
      </c>
      <c r="R88" s="274">
        <f t="shared" si="6"/>
        <v>2.5434</v>
      </c>
      <c r="S88" s="275">
        <f t="shared" si="7"/>
        <v>13</v>
      </c>
      <c r="T88" s="275">
        <f t="shared" si="8"/>
        <v>15</v>
      </c>
      <c r="U88" s="273">
        <f t="shared" si="9"/>
        <v>1.872</v>
      </c>
      <c r="V88" s="273">
        <f t="shared" si="10"/>
        <v>1.909</v>
      </c>
      <c r="W88" s="273">
        <f t="shared" si="11"/>
        <v>1.944</v>
      </c>
      <c r="X88" s="273">
        <f t="shared" si="12"/>
        <v>0.00671783092998162</v>
      </c>
      <c r="Y88" s="273">
        <f t="shared" si="13"/>
        <v>0.00666397442100058</v>
      </c>
      <c r="Z88" s="273">
        <f t="shared" si="14"/>
        <v>0.00677887053170749</v>
      </c>
      <c r="AA88" s="273">
        <f t="shared" si="15"/>
        <v>22.63626</v>
      </c>
      <c r="AB88" s="276">
        <f t="shared" si="16"/>
        <v>68720</v>
      </c>
      <c r="AC88" s="276">
        <f t="shared" si="17"/>
        <v>12350</v>
      </c>
      <c r="AD88" s="276">
        <f t="shared" si="18"/>
        <v>25270</v>
      </c>
    </row>
    <row r="89" ht="13.5" spans="1:30">
      <c r="A89" s="59">
        <f t="shared" si="19"/>
        <v>4</v>
      </c>
      <c r="B89" s="245">
        <v>0.025</v>
      </c>
      <c r="C89" s="246">
        <f t="shared" si="2"/>
        <v>0.00049087384375</v>
      </c>
      <c r="D89" s="247" t="s">
        <v>1684</v>
      </c>
      <c r="E89" s="247" t="s">
        <v>1684</v>
      </c>
      <c r="F89" s="248">
        <v>0.031</v>
      </c>
      <c r="G89" s="245">
        <v>0.034</v>
      </c>
      <c r="H89" s="245" t="s">
        <v>1684</v>
      </c>
      <c r="I89" s="259">
        <f t="shared" si="3"/>
        <v>34.8075812245094</v>
      </c>
      <c r="J89" s="259">
        <v>31.34</v>
      </c>
      <c r="K89" s="259">
        <v>38.31</v>
      </c>
      <c r="L89" s="249">
        <f t="shared" si="4"/>
        <v>0.004368777209375</v>
      </c>
      <c r="M89" s="258" t="s">
        <v>1684</v>
      </c>
      <c r="N89" s="258" t="s">
        <v>1684</v>
      </c>
      <c r="O89" s="258" t="s">
        <v>1684</v>
      </c>
      <c r="Q89" s="273">
        <f t="shared" si="5"/>
        <v>1.8</v>
      </c>
      <c r="R89" s="274">
        <f t="shared" si="6"/>
        <v>2.5434</v>
      </c>
      <c r="S89" s="275">
        <f t="shared" si="7"/>
        <v>13</v>
      </c>
      <c r="T89" s="275">
        <f t="shared" si="8"/>
        <v>15</v>
      </c>
      <c r="U89" s="273">
        <f t="shared" si="9"/>
        <v>1.872</v>
      </c>
      <c r="V89" s="273">
        <f t="shared" si="10"/>
        <v>1.909</v>
      </c>
      <c r="W89" s="273">
        <f t="shared" si="11"/>
        <v>1.944</v>
      </c>
      <c r="X89" s="273">
        <f t="shared" si="12"/>
        <v>0.00671783092998162</v>
      </c>
      <c r="Y89" s="273">
        <f t="shared" si="13"/>
        <v>0.00666397442100058</v>
      </c>
      <c r="Z89" s="273">
        <f t="shared" si="14"/>
        <v>0.00677887053170749</v>
      </c>
      <c r="AA89" s="273">
        <f t="shared" si="15"/>
        <v>22.63626</v>
      </c>
      <c r="AB89" s="276">
        <f t="shared" si="16"/>
        <v>68720</v>
      </c>
      <c r="AC89" s="276">
        <f t="shared" si="17"/>
        <v>12350</v>
      </c>
      <c r="AD89" s="276">
        <f t="shared" si="18"/>
        <v>25270</v>
      </c>
    </row>
    <row r="90" ht="13.5" spans="1:30">
      <c r="A90" s="59">
        <f t="shared" si="19"/>
        <v>5</v>
      </c>
      <c r="B90" s="245">
        <v>0.028</v>
      </c>
      <c r="C90" s="246">
        <f t="shared" si="2"/>
        <v>0.0006157521496</v>
      </c>
      <c r="D90" s="247" t="s">
        <v>1684</v>
      </c>
      <c r="E90" s="247" t="s">
        <v>1684</v>
      </c>
      <c r="F90" s="248">
        <v>0.034</v>
      </c>
      <c r="G90" s="245">
        <v>0.038</v>
      </c>
      <c r="H90" s="245" t="s">
        <v>1684</v>
      </c>
      <c r="I90" s="259">
        <f t="shared" si="3"/>
        <v>27.7483906445387</v>
      </c>
      <c r="J90" s="259">
        <v>24.99</v>
      </c>
      <c r="K90" s="259">
        <v>30.54</v>
      </c>
      <c r="L90" s="249">
        <f t="shared" si="4"/>
        <v>0.00548019413144</v>
      </c>
      <c r="M90" s="258" t="s">
        <v>1684</v>
      </c>
      <c r="N90" s="258" t="s">
        <v>1684</v>
      </c>
      <c r="O90" s="258" t="s">
        <v>1684</v>
      </c>
      <c r="Q90" s="273">
        <f t="shared" si="5"/>
        <v>1.8</v>
      </c>
      <c r="R90" s="274">
        <f t="shared" si="6"/>
        <v>2.5434</v>
      </c>
      <c r="S90" s="275">
        <f t="shared" si="7"/>
        <v>13</v>
      </c>
      <c r="T90" s="275">
        <f t="shared" si="8"/>
        <v>15</v>
      </c>
      <c r="U90" s="273">
        <f t="shared" si="9"/>
        <v>1.872</v>
      </c>
      <c r="V90" s="273">
        <f t="shared" si="10"/>
        <v>1.909</v>
      </c>
      <c r="W90" s="273">
        <f t="shared" si="11"/>
        <v>1.944</v>
      </c>
      <c r="X90" s="273">
        <f t="shared" si="12"/>
        <v>0.00671783092998162</v>
      </c>
      <c r="Y90" s="273">
        <f t="shared" si="13"/>
        <v>0.00666397442100058</v>
      </c>
      <c r="Z90" s="273">
        <f t="shared" si="14"/>
        <v>0.00677887053170749</v>
      </c>
      <c r="AA90" s="273">
        <f t="shared" si="15"/>
        <v>22.63626</v>
      </c>
      <c r="AB90" s="276">
        <f t="shared" si="16"/>
        <v>68720</v>
      </c>
      <c r="AC90" s="276">
        <f t="shared" si="17"/>
        <v>12350</v>
      </c>
      <c r="AD90" s="276">
        <f t="shared" si="18"/>
        <v>25270</v>
      </c>
    </row>
    <row r="91" ht="13.5" spans="1:30">
      <c r="A91" s="59">
        <f t="shared" si="19"/>
        <v>6</v>
      </c>
      <c r="B91" s="245">
        <v>0.032</v>
      </c>
      <c r="C91" s="246">
        <f t="shared" si="2"/>
        <v>0.0008042477056</v>
      </c>
      <c r="D91" s="247" t="s">
        <v>1684</v>
      </c>
      <c r="E91" s="247" t="s">
        <v>1684</v>
      </c>
      <c r="F91" s="248">
        <v>0.039</v>
      </c>
      <c r="G91" s="245">
        <v>0.043</v>
      </c>
      <c r="H91" s="245" t="s">
        <v>1684</v>
      </c>
      <c r="I91" s="259">
        <f t="shared" si="3"/>
        <v>21.244861587225</v>
      </c>
      <c r="J91" s="259">
        <v>19.13</v>
      </c>
      <c r="K91" s="259">
        <v>23.38</v>
      </c>
      <c r="L91" s="249">
        <f t="shared" si="4"/>
        <v>0.00715780457984</v>
      </c>
      <c r="M91" s="258" t="s">
        <v>1684</v>
      </c>
      <c r="N91" s="258" t="s">
        <v>1684</v>
      </c>
      <c r="O91" s="258" t="s">
        <v>1684</v>
      </c>
      <c r="Q91" s="273">
        <f t="shared" si="5"/>
        <v>1.8</v>
      </c>
      <c r="R91" s="274">
        <f t="shared" si="6"/>
        <v>2.5434</v>
      </c>
      <c r="S91" s="275">
        <f t="shared" si="7"/>
        <v>13</v>
      </c>
      <c r="T91" s="275">
        <f t="shared" si="8"/>
        <v>15</v>
      </c>
      <c r="U91" s="273">
        <f t="shared" si="9"/>
        <v>1.872</v>
      </c>
      <c r="V91" s="273">
        <f t="shared" si="10"/>
        <v>1.909</v>
      </c>
      <c r="W91" s="273">
        <f t="shared" si="11"/>
        <v>1.944</v>
      </c>
      <c r="X91" s="273">
        <f t="shared" si="12"/>
        <v>0.00671783092998162</v>
      </c>
      <c r="Y91" s="273">
        <f t="shared" si="13"/>
        <v>0.00666397442100058</v>
      </c>
      <c r="Z91" s="273">
        <f t="shared" si="14"/>
        <v>0.00677887053170749</v>
      </c>
      <c r="AA91" s="273">
        <f t="shared" si="15"/>
        <v>22.63626</v>
      </c>
      <c r="AB91" s="276">
        <f t="shared" si="16"/>
        <v>68720</v>
      </c>
      <c r="AC91" s="276">
        <f t="shared" si="17"/>
        <v>12350</v>
      </c>
      <c r="AD91" s="276">
        <f t="shared" si="18"/>
        <v>25270</v>
      </c>
    </row>
    <row r="92" ht="13.5" spans="1:30">
      <c r="A92" s="59">
        <f t="shared" si="19"/>
        <v>7</v>
      </c>
      <c r="B92" s="245">
        <v>0.036</v>
      </c>
      <c r="C92" s="249">
        <f t="shared" si="2"/>
        <v>0.0010178760024</v>
      </c>
      <c r="D92" s="247" t="s">
        <v>1684</v>
      </c>
      <c r="E92" s="247" t="s">
        <v>1684</v>
      </c>
      <c r="F92" s="248">
        <v>0.044</v>
      </c>
      <c r="G92" s="245">
        <v>0.049</v>
      </c>
      <c r="H92" s="245" t="s">
        <v>1684</v>
      </c>
      <c r="I92" s="259">
        <f t="shared" si="3"/>
        <v>16.7860634763259</v>
      </c>
      <c r="J92" s="259">
        <v>15.16</v>
      </c>
      <c r="K92" s="259">
        <v>18.42</v>
      </c>
      <c r="L92" s="249">
        <f t="shared" si="4"/>
        <v>0.00905909642136</v>
      </c>
      <c r="M92" s="258" t="s">
        <v>1684</v>
      </c>
      <c r="N92" s="258" t="s">
        <v>1684</v>
      </c>
      <c r="O92" s="258" t="s">
        <v>1684</v>
      </c>
      <c r="Q92" s="273">
        <f t="shared" si="5"/>
        <v>1.8</v>
      </c>
      <c r="R92" s="274">
        <f t="shared" si="6"/>
        <v>2.5434</v>
      </c>
      <c r="S92" s="275">
        <f t="shared" si="7"/>
        <v>13</v>
      </c>
      <c r="T92" s="275">
        <f t="shared" si="8"/>
        <v>15</v>
      </c>
      <c r="U92" s="273">
        <f t="shared" si="9"/>
        <v>1.872</v>
      </c>
      <c r="V92" s="273">
        <f t="shared" si="10"/>
        <v>1.909</v>
      </c>
      <c r="W92" s="273">
        <f t="shared" si="11"/>
        <v>1.944</v>
      </c>
      <c r="X92" s="273">
        <f t="shared" si="12"/>
        <v>0.00671783092998162</v>
      </c>
      <c r="Y92" s="273">
        <f t="shared" si="13"/>
        <v>0.00666397442100058</v>
      </c>
      <c r="Z92" s="273">
        <f t="shared" si="14"/>
        <v>0.00677887053170749</v>
      </c>
      <c r="AA92" s="273">
        <f t="shared" si="15"/>
        <v>22.63626</v>
      </c>
      <c r="AB92" s="276">
        <f t="shared" si="16"/>
        <v>68720</v>
      </c>
      <c r="AC92" s="276">
        <f t="shared" si="17"/>
        <v>12350</v>
      </c>
      <c r="AD92" s="276">
        <f t="shared" si="18"/>
        <v>25270</v>
      </c>
    </row>
    <row r="93" ht="13.5" spans="1:30">
      <c r="A93" s="59">
        <f t="shared" si="19"/>
        <v>8</v>
      </c>
      <c r="B93" s="245">
        <v>0.04</v>
      </c>
      <c r="C93" s="249">
        <f t="shared" si="2"/>
        <v>0.00125663704</v>
      </c>
      <c r="D93" s="247" t="s">
        <v>1684</v>
      </c>
      <c r="E93" s="247">
        <v>48</v>
      </c>
      <c r="F93" s="248">
        <v>0.049</v>
      </c>
      <c r="G93" s="245">
        <v>0.054</v>
      </c>
      <c r="H93" s="245" t="s">
        <v>1684</v>
      </c>
      <c r="I93" s="259">
        <f t="shared" si="3"/>
        <v>13.596711415824</v>
      </c>
      <c r="J93" s="259">
        <v>12.28</v>
      </c>
      <c r="K93" s="259">
        <v>14.92</v>
      </c>
      <c r="L93" s="249">
        <f t="shared" si="4"/>
        <v>0.011184069656</v>
      </c>
      <c r="M93" s="258" t="s">
        <v>1684</v>
      </c>
      <c r="N93" s="258" t="s">
        <v>1684</v>
      </c>
      <c r="O93" s="258" t="s">
        <v>1684</v>
      </c>
      <c r="Q93" s="273">
        <f t="shared" si="5"/>
        <v>1.8</v>
      </c>
      <c r="R93" s="274">
        <f t="shared" si="6"/>
        <v>2.5434</v>
      </c>
      <c r="S93" s="275">
        <f t="shared" si="7"/>
        <v>13</v>
      </c>
      <c r="T93" s="275">
        <f t="shared" si="8"/>
        <v>15</v>
      </c>
      <c r="U93" s="273">
        <f t="shared" si="9"/>
        <v>1.872</v>
      </c>
      <c r="V93" s="273">
        <f t="shared" si="10"/>
        <v>1.909</v>
      </c>
      <c r="W93" s="273">
        <f t="shared" si="11"/>
        <v>1.944</v>
      </c>
      <c r="X93" s="273">
        <f t="shared" si="12"/>
        <v>0.00671783092998162</v>
      </c>
      <c r="Y93" s="273">
        <f t="shared" si="13"/>
        <v>0.00666397442100058</v>
      </c>
      <c r="Z93" s="273">
        <f t="shared" si="14"/>
        <v>0.00677887053170749</v>
      </c>
      <c r="AA93" s="273">
        <f t="shared" si="15"/>
        <v>22.63626</v>
      </c>
      <c r="AB93" s="276">
        <f t="shared" si="16"/>
        <v>68720</v>
      </c>
      <c r="AC93" s="276">
        <f t="shared" si="17"/>
        <v>12350</v>
      </c>
      <c r="AD93" s="276">
        <f t="shared" si="18"/>
        <v>25270</v>
      </c>
    </row>
    <row r="94" ht="13.5" spans="1:30">
      <c r="A94" s="59">
        <f t="shared" si="19"/>
        <v>9</v>
      </c>
      <c r="B94" s="245">
        <v>0.045</v>
      </c>
      <c r="C94" s="249">
        <f t="shared" si="2"/>
        <v>0.00159043125375</v>
      </c>
      <c r="D94" s="247" t="s">
        <v>1684</v>
      </c>
      <c r="E94" s="247" t="s">
        <v>1684</v>
      </c>
      <c r="F94" s="248">
        <v>0.055</v>
      </c>
      <c r="G94" s="245">
        <v>0.061</v>
      </c>
      <c r="H94" s="245" t="s">
        <v>1684</v>
      </c>
      <c r="I94" s="259">
        <f t="shared" si="3"/>
        <v>10.7430806248486</v>
      </c>
      <c r="J94" s="245">
        <v>9.705</v>
      </c>
      <c r="K94" s="259">
        <v>11.79</v>
      </c>
      <c r="L94" s="249">
        <f t="shared" si="4"/>
        <v>0.014154838158375</v>
      </c>
      <c r="M94" s="258" t="s">
        <v>1684</v>
      </c>
      <c r="N94" s="258" t="s">
        <v>1684</v>
      </c>
      <c r="O94" s="258" t="s">
        <v>1684</v>
      </c>
      <c r="Q94" s="273">
        <f t="shared" si="5"/>
        <v>1.8</v>
      </c>
      <c r="R94" s="274">
        <f t="shared" si="6"/>
        <v>2.5434</v>
      </c>
      <c r="S94" s="275">
        <f t="shared" si="7"/>
        <v>13</v>
      </c>
      <c r="T94" s="275">
        <f t="shared" si="8"/>
        <v>15</v>
      </c>
      <c r="U94" s="273">
        <f t="shared" si="9"/>
        <v>1.872</v>
      </c>
      <c r="V94" s="273">
        <f t="shared" si="10"/>
        <v>1.909</v>
      </c>
      <c r="W94" s="273">
        <f t="shared" si="11"/>
        <v>1.944</v>
      </c>
      <c r="X94" s="273">
        <f t="shared" si="12"/>
        <v>0.00671783092998162</v>
      </c>
      <c r="Y94" s="273">
        <f t="shared" si="13"/>
        <v>0.00666397442100058</v>
      </c>
      <c r="Z94" s="273">
        <f t="shared" si="14"/>
        <v>0.00677887053170749</v>
      </c>
      <c r="AA94" s="273">
        <f t="shared" si="15"/>
        <v>22.63626</v>
      </c>
      <c r="AB94" s="276">
        <f t="shared" si="16"/>
        <v>68720</v>
      </c>
      <c r="AC94" s="276">
        <f t="shared" si="17"/>
        <v>12350</v>
      </c>
      <c r="AD94" s="276">
        <f t="shared" si="18"/>
        <v>25270</v>
      </c>
    </row>
    <row r="95" ht="13.5" spans="1:30">
      <c r="A95" s="59">
        <f t="shared" si="19"/>
        <v>10</v>
      </c>
      <c r="B95" s="245">
        <v>0.05</v>
      </c>
      <c r="C95" s="249">
        <f t="shared" si="2"/>
        <v>0.001963495375</v>
      </c>
      <c r="D95" s="247">
        <v>44</v>
      </c>
      <c r="E95" s="247">
        <v>47</v>
      </c>
      <c r="F95" s="248">
        <v>0.06</v>
      </c>
      <c r="G95" s="245">
        <v>0.066</v>
      </c>
      <c r="H95" s="245" t="s">
        <v>1684</v>
      </c>
      <c r="I95" s="245">
        <f t="shared" si="3"/>
        <v>8.70189530612735</v>
      </c>
      <c r="J95" s="245">
        <v>7.922</v>
      </c>
      <c r="K95" s="245">
        <v>9.489</v>
      </c>
      <c r="L95" s="249">
        <f t="shared" si="4"/>
        <v>0.0174751088375</v>
      </c>
      <c r="M95" s="260">
        <v>62.85</v>
      </c>
      <c r="N95" s="261">
        <v>20.3</v>
      </c>
      <c r="O95" s="261">
        <v>23.2</v>
      </c>
      <c r="Q95" s="273">
        <f t="shared" si="5"/>
        <v>1.8</v>
      </c>
      <c r="R95" s="274">
        <f t="shared" si="6"/>
        <v>2.5434</v>
      </c>
      <c r="S95" s="275">
        <f t="shared" si="7"/>
        <v>13</v>
      </c>
      <c r="T95" s="275">
        <f t="shared" si="8"/>
        <v>15</v>
      </c>
      <c r="U95" s="273">
        <f t="shared" si="9"/>
        <v>1.872</v>
      </c>
      <c r="V95" s="273">
        <f t="shared" si="10"/>
        <v>1.909</v>
      </c>
      <c r="W95" s="273">
        <f t="shared" si="11"/>
        <v>1.944</v>
      </c>
      <c r="X95" s="273">
        <f t="shared" si="12"/>
        <v>0.00671783092998162</v>
      </c>
      <c r="Y95" s="273">
        <f t="shared" si="13"/>
        <v>0.00666397442100058</v>
      </c>
      <c r="Z95" s="273">
        <f t="shared" si="14"/>
        <v>0.00677887053170749</v>
      </c>
      <c r="AA95" s="273">
        <f t="shared" si="15"/>
        <v>22.63626</v>
      </c>
      <c r="AB95" s="276">
        <f t="shared" si="16"/>
        <v>68720</v>
      </c>
      <c r="AC95" s="276">
        <f t="shared" si="17"/>
        <v>12350</v>
      </c>
      <c r="AD95" s="276">
        <f t="shared" si="18"/>
        <v>25270</v>
      </c>
    </row>
    <row r="96" ht="13.5" spans="1:30">
      <c r="A96" s="59">
        <f t="shared" si="19"/>
        <v>11</v>
      </c>
      <c r="B96" s="245">
        <v>0.056</v>
      </c>
      <c r="C96" s="249">
        <f t="shared" si="2"/>
        <v>0.0024630085984</v>
      </c>
      <c r="D96" s="247">
        <v>43</v>
      </c>
      <c r="E96" s="247" t="s">
        <v>1684</v>
      </c>
      <c r="F96" s="248">
        <v>0.067</v>
      </c>
      <c r="G96" s="245">
        <v>0.074</v>
      </c>
      <c r="H96" s="245" t="s">
        <v>1684</v>
      </c>
      <c r="I96" s="245">
        <f t="shared" si="3"/>
        <v>6.93709766113468</v>
      </c>
      <c r="J96" s="245">
        <v>6.316</v>
      </c>
      <c r="K96" s="245">
        <v>7.565</v>
      </c>
      <c r="L96" s="249">
        <f t="shared" si="4"/>
        <v>0.02192077652576</v>
      </c>
      <c r="M96" s="262">
        <v>90.46</v>
      </c>
      <c r="N96" s="258">
        <v>29</v>
      </c>
      <c r="O96" s="258">
        <v>32</v>
      </c>
      <c r="Q96" s="273">
        <f t="shared" si="5"/>
        <v>1.8</v>
      </c>
      <c r="R96" s="274">
        <f t="shared" si="6"/>
        <v>2.5434</v>
      </c>
      <c r="S96" s="275">
        <f t="shared" si="7"/>
        <v>13</v>
      </c>
      <c r="T96" s="275">
        <f t="shared" si="8"/>
        <v>15</v>
      </c>
      <c r="U96" s="273">
        <f t="shared" si="9"/>
        <v>1.872</v>
      </c>
      <c r="V96" s="273">
        <f t="shared" si="10"/>
        <v>1.909</v>
      </c>
      <c r="W96" s="273">
        <f t="shared" si="11"/>
        <v>1.944</v>
      </c>
      <c r="X96" s="273">
        <f t="shared" si="12"/>
        <v>0.00671783092998162</v>
      </c>
      <c r="Y96" s="273">
        <f t="shared" si="13"/>
        <v>0.00666397442100058</v>
      </c>
      <c r="Z96" s="273">
        <f t="shared" si="14"/>
        <v>0.00677887053170749</v>
      </c>
      <c r="AA96" s="273">
        <f t="shared" si="15"/>
        <v>22.63626</v>
      </c>
      <c r="AB96" s="276">
        <f t="shared" si="16"/>
        <v>68720</v>
      </c>
      <c r="AC96" s="276">
        <f t="shared" si="17"/>
        <v>12350</v>
      </c>
      <c r="AD96" s="276">
        <f t="shared" si="18"/>
        <v>25270</v>
      </c>
    </row>
    <row r="97" ht="13.5" spans="1:30">
      <c r="A97" s="59">
        <f t="shared" si="19"/>
        <v>12</v>
      </c>
      <c r="B97" s="245">
        <v>0.063</v>
      </c>
      <c r="C97" s="249">
        <f t="shared" si="2"/>
        <v>0.00311724525735</v>
      </c>
      <c r="D97" s="247">
        <v>42</v>
      </c>
      <c r="E97" s="247">
        <v>46</v>
      </c>
      <c r="F97" s="248">
        <v>0.076</v>
      </c>
      <c r="G97" s="245">
        <v>0.083</v>
      </c>
      <c r="H97" s="245" t="s">
        <v>1684</v>
      </c>
      <c r="I97" s="245">
        <f t="shared" si="3"/>
        <v>5.48116358410642</v>
      </c>
      <c r="J97" s="245">
        <v>5.045</v>
      </c>
      <c r="K97" s="245">
        <v>5.922</v>
      </c>
      <c r="L97" s="249">
        <f t="shared" si="4"/>
        <v>0.027743482790415</v>
      </c>
      <c r="M97" s="262">
        <v>90.46</v>
      </c>
      <c r="N97" s="258">
        <v>29</v>
      </c>
      <c r="O97" s="258">
        <v>32</v>
      </c>
      <c r="Q97" s="273">
        <f t="shared" si="5"/>
        <v>1.8</v>
      </c>
      <c r="R97" s="274">
        <f t="shared" si="6"/>
        <v>2.5434</v>
      </c>
      <c r="S97" s="275">
        <f t="shared" si="7"/>
        <v>13</v>
      </c>
      <c r="T97" s="275">
        <f t="shared" si="8"/>
        <v>15</v>
      </c>
      <c r="U97" s="273">
        <f t="shared" si="9"/>
        <v>1.872</v>
      </c>
      <c r="V97" s="273">
        <f t="shared" si="10"/>
        <v>1.909</v>
      </c>
      <c r="W97" s="273">
        <f t="shared" si="11"/>
        <v>1.944</v>
      </c>
      <c r="X97" s="273">
        <f t="shared" si="12"/>
        <v>0.00671783092998162</v>
      </c>
      <c r="Y97" s="273">
        <f t="shared" si="13"/>
        <v>0.00666397442100058</v>
      </c>
      <c r="Z97" s="273">
        <f t="shared" si="14"/>
        <v>0.00677887053170749</v>
      </c>
      <c r="AA97" s="273">
        <f t="shared" si="15"/>
        <v>22.63626</v>
      </c>
      <c r="AB97" s="276">
        <f t="shared" si="16"/>
        <v>68720</v>
      </c>
      <c r="AC97" s="276">
        <f t="shared" si="17"/>
        <v>12350</v>
      </c>
      <c r="AD97" s="276">
        <f t="shared" si="18"/>
        <v>25270</v>
      </c>
    </row>
    <row r="98" ht="13.5" spans="1:30">
      <c r="A98" s="59">
        <f t="shared" si="19"/>
        <v>13</v>
      </c>
      <c r="B98" s="245">
        <v>0.071</v>
      </c>
      <c r="C98" s="249">
        <f t="shared" si="2"/>
        <v>0.00395919207415</v>
      </c>
      <c r="D98" s="247">
        <v>41</v>
      </c>
      <c r="E98" s="247">
        <v>45</v>
      </c>
      <c r="F98" s="248">
        <v>0.084</v>
      </c>
      <c r="G98" s="245">
        <v>0.091</v>
      </c>
      <c r="H98" s="245">
        <v>0.097</v>
      </c>
      <c r="I98" s="245">
        <f t="shared" si="3"/>
        <v>4.31556006056702</v>
      </c>
      <c r="J98" s="245">
        <v>3.941</v>
      </c>
      <c r="K98" s="245">
        <v>4.747</v>
      </c>
      <c r="L98" s="249">
        <f t="shared" si="4"/>
        <v>0.035236809459935</v>
      </c>
      <c r="M98" s="262">
        <v>115.4</v>
      </c>
      <c r="N98" s="258">
        <v>40.6</v>
      </c>
      <c r="O98" s="258">
        <v>44.2</v>
      </c>
      <c r="Q98" s="273">
        <f t="shared" si="5"/>
        <v>1.8</v>
      </c>
      <c r="R98" s="274">
        <f t="shared" si="6"/>
        <v>2.5434</v>
      </c>
      <c r="S98" s="275">
        <f t="shared" si="7"/>
        <v>13</v>
      </c>
      <c r="T98" s="275">
        <f t="shared" si="8"/>
        <v>15</v>
      </c>
      <c r="U98" s="273">
        <f t="shared" si="9"/>
        <v>1.872</v>
      </c>
      <c r="V98" s="273">
        <f t="shared" si="10"/>
        <v>1.909</v>
      </c>
      <c r="W98" s="273">
        <f t="shared" si="11"/>
        <v>1.944</v>
      </c>
      <c r="X98" s="273">
        <f t="shared" si="12"/>
        <v>0.00671783092998162</v>
      </c>
      <c r="Y98" s="273">
        <f t="shared" si="13"/>
        <v>0.00666397442100058</v>
      </c>
      <c r="Z98" s="273">
        <f t="shared" si="14"/>
        <v>0.00677887053170749</v>
      </c>
      <c r="AA98" s="273">
        <f t="shared" si="15"/>
        <v>22.63626</v>
      </c>
      <c r="AB98" s="276">
        <f t="shared" si="16"/>
        <v>68720</v>
      </c>
      <c r="AC98" s="276">
        <f t="shared" si="17"/>
        <v>12350</v>
      </c>
      <c r="AD98" s="276">
        <f t="shared" si="18"/>
        <v>25270</v>
      </c>
    </row>
    <row r="99" ht="13.5" spans="1:30">
      <c r="A99" s="59">
        <f t="shared" si="19"/>
        <v>14</v>
      </c>
      <c r="B99" s="245">
        <v>0.08</v>
      </c>
      <c r="C99" s="249">
        <f t="shared" si="2"/>
        <v>0.00502654816</v>
      </c>
      <c r="D99" s="247">
        <v>40</v>
      </c>
      <c r="E99" s="247">
        <v>44</v>
      </c>
      <c r="F99" s="248">
        <v>0.094</v>
      </c>
      <c r="G99" s="245">
        <v>0.101</v>
      </c>
      <c r="H99" s="245">
        <v>0.108</v>
      </c>
      <c r="I99" s="245">
        <f t="shared" si="3"/>
        <v>3.39917785395599</v>
      </c>
      <c r="J99" s="245">
        <v>3.133</v>
      </c>
      <c r="K99" s="245">
        <v>3.703</v>
      </c>
      <c r="L99" s="249">
        <f t="shared" si="4"/>
        <v>0.044736278624</v>
      </c>
      <c r="M99" s="262">
        <v>150.8</v>
      </c>
      <c r="N99" s="258">
        <v>50</v>
      </c>
      <c r="O99" s="258">
        <v>53.8</v>
      </c>
      <c r="Q99" s="273">
        <f t="shared" si="5"/>
        <v>1.8</v>
      </c>
      <c r="R99" s="274">
        <f t="shared" si="6"/>
        <v>2.5434</v>
      </c>
      <c r="S99" s="275">
        <f t="shared" si="7"/>
        <v>13</v>
      </c>
      <c r="T99" s="275">
        <f t="shared" si="8"/>
        <v>15</v>
      </c>
      <c r="U99" s="273">
        <f t="shared" si="9"/>
        <v>1.872</v>
      </c>
      <c r="V99" s="273">
        <f t="shared" si="10"/>
        <v>1.909</v>
      </c>
      <c r="W99" s="273">
        <f t="shared" si="11"/>
        <v>1.944</v>
      </c>
      <c r="X99" s="273">
        <f t="shared" si="12"/>
        <v>0.00671783092998162</v>
      </c>
      <c r="Y99" s="273">
        <f t="shared" si="13"/>
        <v>0.00666397442100058</v>
      </c>
      <c r="Z99" s="273">
        <f t="shared" si="14"/>
        <v>0.00677887053170749</v>
      </c>
      <c r="AA99" s="273">
        <f t="shared" si="15"/>
        <v>22.63626</v>
      </c>
      <c r="AB99" s="276">
        <f t="shared" si="16"/>
        <v>68720</v>
      </c>
      <c r="AC99" s="276">
        <f t="shared" si="17"/>
        <v>12350</v>
      </c>
      <c r="AD99" s="276">
        <f t="shared" si="18"/>
        <v>25270</v>
      </c>
    </row>
    <row r="100" ht="13.5" spans="1:30">
      <c r="A100" s="59">
        <f t="shared" si="19"/>
        <v>15</v>
      </c>
      <c r="B100" s="245">
        <v>0.09</v>
      </c>
      <c r="C100" s="249">
        <f t="shared" si="2"/>
        <v>0.006361725015</v>
      </c>
      <c r="D100" s="247">
        <v>39</v>
      </c>
      <c r="E100" s="247">
        <v>43</v>
      </c>
      <c r="F100" s="248">
        <v>0.105</v>
      </c>
      <c r="G100" s="245">
        <v>0.113</v>
      </c>
      <c r="H100" s="245">
        <v>0.12</v>
      </c>
      <c r="I100" s="245">
        <f t="shared" si="3"/>
        <v>2.68577015621214</v>
      </c>
      <c r="J100" s="245">
        <v>2.495</v>
      </c>
      <c r="K100" s="245">
        <v>2.9</v>
      </c>
      <c r="L100" s="249">
        <f t="shared" si="4"/>
        <v>0.0566193526335</v>
      </c>
      <c r="M100" s="262">
        <v>190.9</v>
      </c>
      <c r="N100" s="258">
        <v>62.6</v>
      </c>
      <c r="O100" s="258">
        <v>67</v>
      </c>
      <c r="Q100" s="273">
        <f t="shared" si="5"/>
        <v>1.8</v>
      </c>
      <c r="R100" s="274">
        <f t="shared" si="6"/>
        <v>2.5434</v>
      </c>
      <c r="S100" s="275">
        <f t="shared" si="7"/>
        <v>13</v>
      </c>
      <c r="T100" s="275">
        <f t="shared" si="8"/>
        <v>15</v>
      </c>
      <c r="U100" s="273">
        <f t="shared" si="9"/>
        <v>1.872</v>
      </c>
      <c r="V100" s="273">
        <f t="shared" si="10"/>
        <v>1.909</v>
      </c>
      <c r="W100" s="273">
        <f t="shared" si="11"/>
        <v>1.944</v>
      </c>
      <c r="X100" s="273">
        <f t="shared" si="12"/>
        <v>0.00671783092998162</v>
      </c>
      <c r="Y100" s="273">
        <f t="shared" si="13"/>
        <v>0.00666397442100058</v>
      </c>
      <c r="Z100" s="273">
        <f t="shared" si="14"/>
        <v>0.00677887053170749</v>
      </c>
      <c r="AA100" s="273">
        <f t="shared" si="15"/>
        <v>22.63626</v>
      </c>
      <c r="AB100" s="276">
        <f t="shared" si="16"/>
        <v>68720</v>
      </c>
      <c r="AC100" s="276">
        <f t="shared" si="17"/>
        <v>12350</v>
      </c>
      <c r="AD100" s="276">
        <f t="shared" si="18"/>
        <v>25270</v>
      </c>
    </row>
    <row r="101" ht="13.5" spans="1:30">
      <c r="A101" s="59">
        <f t="shared" si="19"/>
        <v>16</v>
      </c>
      <c r="B101" s="245">
        <v>0.1</v>
      </c>
      <c r="C101" s="249">
        <f t="shared" si="2"/>
        <v>0.0078539815</v>
      </c>
      <c r="D101" s="247">
        <v>38</v>
      </c>
      <c r="E101" s="247">
        <v>42</v>
      </c>
      <c r="F101" s="248">
        <v>0.117</v>
      </c>
      <c r="G101" s="245">
        <v>0.125</v>
      </c>
      <c r="H101" s="245">
        <v>0.132</v>
      </c>
      <c r="I101" s="245">
        <f t="shared" si="3"/>
        <v>2.17547382653184</v>
      </c>
      <c r="J101" s="245">
        <v>2.034</v>
      </c>
      <c r="K101" s="245">
        <v>2.333</v>
      </c>
      <c r="L101" s="249">
        <f t="shared" si="4"/>
        <v>0.06990043535</v>
      </c>
      <c r="M101" s="262">
        <v>227.8</v>
      </c>
      <c r="N101" s="258">
        <v>78</v>
      </c>
      <c r="O101" s="258">
        <v>83</v>
      </c>
      <c r="Q101" s="273">
        <f t="shared" si="5"/>
        <v>1.8</v>
      </c>
      <c r="R101" s="274">
        <f t="shared" si="6"/>
        <v>2.5434</v>
      </c>
      <c r="S101" s="275">
        <f t="shared" si="7"/>
        <v>13</v>
      </c>
      <c r="T101" s="275">
        <f t="shared" si="8"/>
        <v>15</v>
      </c>
      <c r="U101" s="273">
        <f t="shared" si="9"/>
        <v>1.872</v>
      </c>
      <c r="V101" s="273">
        <f t="shared" si="10"/>
        <v>1.909</v>
      </c>
      <c r="W101" s="273">
        <f t="shared" si="11"/>
        <v>1.944</v>
      </c>
      <c r="X101" s="273">
        <f t="shared" si="12"/>
        <v>0.00671783092998162</v>
      </c>
      <c r="Y101" s="273">
        <f t="shared" si="13"/>
        <v>0.00666397442100058</v>
      </c>
      <c r="Z101" s="273">
        <f t="shared" si="14"/>
        <v>0.00677887053170749</v>
      </c>
      <c r="AA101" s="273">
        <f t="shared" si="15"/>
        <v>22.63626</v>
      </c>
      <c r="AB101" s="276">
        <f t="shared" si="16"/>
        <v>68720</v>
      </c>
      <c r="AC101" s="276">
        <f t="shared" si="17"/>
        <v>12350</v>
      </c>
      <c r="AD101" s="276">
        <f t="shared" si="18"/>
        <v>25270</v>
      </c>
    </row>
    <row r="102" ht="13.5" spans="1:30">
      <c r="A102" s="59">
        <f t="shared" si="19"/>
        <v>17</v>
      </c>
      <c r="B102" s="245">
        <v>0.112</v>
      </c>
      <c r="C102" s="249">
        <f t="shared" si="2"/>
        <v>0.0098520343936</v>
      </c>
      <c r="D102" s="247">
        <v>37</v>
      </c>
      <c r="E102" s="247">
        <v>41</v>
      </c>
      <c r="F102" s="248">
        <v>0.13</v>
      </c>
      <c r="G102" s="245">
        <v>0.139</v>
      </c>
      <c r="H102" s="245">
        <v>0.147</v>
      </c>
      <c r="I102" s="245">
        <f t="shared" si="3"/>
        <v>1.73427441528367</v>
      </c>
      <c r="J102" s="245">
        <v>1.632</v>
      </c>
      <c r="K102" s="245">
        <v>1.848</v>
      </c>
      <c r="L102" s="249">
        <f t="shared" si="4"/>
        <v>0.08768310610304</v>
      </c>
      <c r="M102" s="262">
        <v>275.6</v>
      </c>
      <c r="N102" s="258">
        <v>93</v>
      </c>
      <c r="O102" s="258">
        <v>98.4</v>
      </c>
      <c r="Q102" s="273">
        <f t="shared" si="5"/>
        <v>1.8</v>
      </c>
      <c r="R102" s="274">
        <f t="shared" si="6"/>
        <v>2.5434</v>
      </c>
      <c r="S102" s="275">
        <f t="shared" si="7"/>
        <v>13</v>
      </c>
      <c r="T102" s="275">
        <f t="shared" si="8"/>
        <v>15</v>
      </c>
      <c r="U102" s="273">
        <f t="shared" si="9"/>
        <v>1.872</v>
      </c>
      <c r="V102" s="273">
        <f t="shared" si="10"/>
        <v>1.909</v>
      </c>
      <c r="W102" s="273">
        <f t="shared" si="11"/>
        <v>1.944</v>
      </c>
      <c r="X102" s="273">
        <f t="shared" si="12"/>
        <v>0.00671783092998162</v>
      </c>
      <c r="Y102" s="273">
        <f t="shared" si="13"/>
        <v>0.00666397442100058</v>
      </c>
      <c r="Z102" s="273">
        <f t="shared" si="14"/>
        <v>0.00677887053170749</v>
      </c>
      <c r="AA102" s="273">
        <f t="shared" si="15"/>
        <v>22.63626</v>
      </c>
      <c r="AB102" s="276">
        <f t="shared" si="16"/>
        <v>68720</v>
      </c>
      <c r="AC102" s="276">
        <f t="shared" si="17"/>
        <v>12350</v>
      </c>
      <c r="AD102" s="276">
        <f t="shared" si="18"/>
        <v>25270</v>
      </c>
    </row>
    <row r="103" ht="13.5" spans="1:30">
      <c r="A103" s="59">
        <f t="shared" si="19"/>
        <v>18</v>
      </c>
      <c r="B103" s="250">
        <v>0.118</v>
      </c>
      <c r="C103" s="251">
        <f t="shared" si="2"/>
        <v>0.0109358838406</v>
      </c>
      <c r="D103" s="247" t="s">
        <v>1684</v>
      </c>
      <c r="E103" s="247" t="s">
        <v>1684</v>
      </c>
      <c r="F103" s="248">
        <v>0.136</v>
      </c>
      <c r="G103" s="245">
        <v>0.145</v>
      </c>
      <c r="H103" s="245">
        <v>0.154</v>
      </c>
      <c r="I103" s="245">
        <f t="shared" si="3"/>
        <v>1.56239142956897</v>
      </c>
      <c r="J103" s="245">
        <v>1.474</v>
      </c>
      <c r="K103" s="245">
        <v>1.6599</v>
      </c>
      <c r="L103" s="249">
        <f t="shared" si="4"/>
        <v>0.09732936618134</v>
      </c>
      <c r="M103" s="262">
        <v>328</v>
      </c>
      <c r="N103" s="258">
        <v>108</v>
      </c>
      <c r="O103" s="258">
        <v>112.3</v>
      </c>
      <c r="Q103" s="273">
        <f t="shared" si="5"/>
        <v>1.8</v>
      </c>
      <c r="R103" s="274">
        <f t="shared" si="6"/>
        <v>2.5434</v>
      </c>
      <c r="S103" s="275">
        <f t="shared" si="7"/>
        <v>13</v>
      </c>
      <c r="T103" s="275">
        <f t="shared" si="8"/>
        <v>15</v>
      </c>
      <c r="U103" s="273">
        <f t="shared" si="9"/>
        <v>1.872</v>
      </c>
      <c r="V103" s="273">
        <f t="shared" si="10"/>
        <v>1.909</v>
      </c>
      <c r="W103" s="273">
        <f t="shared" si="11"/>
        <v>1.944</v>
      </c>
      <c r="X103" s="273">
        <f t="shared" si="12"/>
        <v>0.00671783092998162</v>
      </c>
      <c r="Y103" s="273">
        <f t="shared" si="13"/>
        <v>0.00666397442100058</v>
      </c>
      <c r="Z103" s="273">
        <f t="shared" si="14"/>
        <v>0.00677887053170749</v>
      </c>
      <c r="AA103" s="273">
        <f t="shared" si="15"/>
        <v>22.63626</v>
      </c>
      <c r="AB103" s="276">
        <f t="shared" si="16"/>
        <v>68720</v>
      </c>
      <c r="AC103" s="276">
        <f t="shared" si="17"/>
        <v>12350</v>
      </c>
      <c r="AD103" s="276">
        <f t="shared" si="18"/>
        <v>25270</v>
      </c>
    </row>
    <row r="104" ht="13.5" spans="1:30">
      <c r="A104" s="59">
        <f t="shared" si="19"/>
        <v>19</v>
      </c>
      <c r="B104" s="245">
        <v>0.125</v>
      </c>
      <c r="C104" s="251">
        <f t="shared" ref="C104:C167" si="20">3.14*B104*B104/4</f>
        <v>0.012265625</v>
      </c>
      <c r="D104" s="247">
        <v>36</v>
      </c>
      <c r="E104" s="247">
        <v>40</v>
      </c>
      <c r="F104" s="248">
        <v>0.144</v>
      </c>
      <c r="G104" s="245">
        <v>0.154</v>
      </c>
      <c r="H104" s="245">
        <v>0.162</v>
      </c>
      <c r="I104" s="245">
        <f t="shared" si="3"/>
        <v>1.39300942164099</v>
      </c>
      <c r="J104" s="245">
        <v>1.317</v>
      </c>
      <c r="K104" s="245">
        <v>1.475</v>
      </c>
      <c r="L104" s="251">
        <f t="shared" si="4"/>
        <v>0.1091640625</v>
      </c>
      <c r="M104" s="262">
        <v>328</v>
      </c>
      <c r="N104" s="258">
        <v>108</v>
      </c>
      <c r="O104" s="258">
        <v>112.3</v>
      </c>
      <c r="Q104" s="273">
        <f t="shared" si="5"/>
        <v>1.8</v>
      </c>
      <c r="R104" s="274">
        <f t="shared" si="6"/>
        <v>2.5434</v>
      </c>
      <c r="S104" s="275">
        <f t="shared" si="7"/>
        <v>13</v>
      </c>
      <c r="T104" s="275">
        <f t="shared" si="8"/>
        <v>15</v>
      </c>
      <c r="U104" s="273">
        <f t="shared" si="9"/>
        <v>1.872</v>
      </c>
      <c r="V104" s="273">
        <f t="shared" si="10"/>
        <v>1.909</v>
      </c>
      <c r="W104" s="273">
        <f t="shared" si="11"/>
        <v>1.944</v>
      </c>
      <c r="X104" s="273">
        <f t="shared" si="12"/>
        <v>0.00671783092998162</v>
      </c>
      <c r="Y104" s="273">
        <f t="shared" si="13"/>
        <v>0.00666397442100058</v>
      </c>
      <c r="Z104" s="273">
        <f t="shared" si="14"/>
        <v>0.00677887053170749</v>
      </c>
      <c r="AA104" s="273">
        <f t="shared" si="15"/>
        <v>22.63626</v>
      </c>
      <c r="AB104" s="276">
        <f t="shared" si="16"/>
        <v>68720</v>
      </c>
      <c r="AC104" s="276">
        <f t="shared" si="17"/>
        <v>12350</v>
      </c>
      <c r="AD104" s="276">
        <f t="shared" si="18"/>
        <v>25270</v>
      </c>
    </row>
    <row r="105" ht="13.5" spans="1:30">
      <c r="A105" s="59">
        <f t="shared" si="19"/>
        <v>20</v>
      </c>
      <c r="B105" s="250">
        <v>0.132</v>
      </c>
      <c r="C105" s="251">
        <f t="shared" si="20"/>
        <v>0.01367784</v>
      </c>
      <c r="D105" s="247" t="s">
        <v>1684</v>
      </c>
      <c r="E105" s="245" t="s">
        <v>1684</v>
      </c>
      <c r="F105" s="248">
        <v>0.152</v>
      </c>
      <c r="G105" s="245">
        <v>0.162</v>
      </c>
      <c r="H105" s="245">
        <v>0.171</v>
      </c>
      <c r="I105" s="245">
        <f t="shared" si="3"/>
        <v>1.24918343739328</v>
      </c>
      <c r="J105" s="245">
        <v>1.184</v>
      </c>
      <c r="K105" s="245">
        <v>1.319</v>
      </c>
      <c r="L105" s="251">
        <f t="shared" si="4"/>
        <v>0.121732776</v>
      </c>
      <c r="M105" s="262">
        <v>334.8</v>
      </c>
      <c r="N105" s="258">
        <v>125</v>
      </c>
      <c r="O105" s="258">
        <v>131.8</v>
      </c>
      <c r="Q105" s="273">
        <f t="shared" si="5"/>
        <v>1.8</v>
      </c>
      <c r="R105" s="274">
        <f t="shared" si="6"/>
        <v>2.5434</v>
      </c>
      <c r="S105" s="275">
        <f t="shared" si="7"/>
        <v>13</v>
      </c>
      <c r="T105" s="275">
        <f t="shared" si="8"/>
        <v>15</v>
      </c>
      <c r="U105" s="273">
        <f t="shared" si="9"/>
        <v>1.872</v>
      </c>
      <c r="V105" s="273">
        <f t="shared" si="10"/>
        <v>1.909</v>
      </c>
      <c r="W105" s="273">
        <f t="shared" si="11"/>
        <v>1.944</v>
      </c>
      <c r="X105" s="273">
        <f t="shared" si="12"/>
        <v>0.00671783092998162</v>
      </c>
      <c r="Y105" s="273">
        <f t="shared" si="13"/>
        <v>0.00666397442100058</v>
      </c>
      <c r="Z105" s="273">
        <f t="shared" si="14"/>
        <v>0.00677887053170749</v>
      </c>
      <c r="AA105" s="273">
        <f t="shared" si="15"/>
        <v>22.63626</v>
      </c>
      <c r="AB105" s="276">
        <f t="shared" si="16"/>
        <v>68720</v>
      </c>
      <c r="AC105" s="276">
        <f t="shared" si="17"/>
        <v>12350</v>
      </c>
      <c r="AD105" s="276">
        <f t="shared" si="18"/>
        <v>25270</v>
      </c>
    </row>
    <row r="106" ht="13.5" spans="1:30">
      <c r="A106" s="59">
        <f t="shared" si="19"/>
        <v>21</v>
      </c>
      <c r="B106" s="245">
        <v>0.14</v>
      </c>
      <c r="C106" s="251">
        <f t="shared" si="20"/>
        <v>0.015386</v>
      </c>
      <c r="D106" s="247">
        <v>35</v>
      </c>
      <c r="E106" s="247">
        <v>39</v>
      </c>
      <c r="F106" s="248">
        <v>0.16</v>
      </c>
      <c r="G106" s="245">
        <v>0.171</v>
      </c>
      <c r="H106" s="245">
        <v>0.181</v>
      </c>
      <c r="I106" s="245">
        <f t="shared" si="3"/>
        <v>1.11049858230308</v>
      </c>
      <c r="J106" s="245">
        <v>1.055</v>
      </c>
      <c r="K106" s="245">
        <v>1.17</v>
      </c>
      <c r="L106" s="251">
        <f t="shared" si="4"/>
        <v>0.1369354</v>
      </c>
      <c r="M106" s="262">
        <v>446.3</v>
      </c>
      <c r="N106" s="258">
        <v>143</v>
      </c>
      <c r="O106" s="258">
        <v>153</v>
      </c>
      <c r="Q106" s="273">
        <f t="shared" si="5"/>
        <v>1.8</v>
      </c>
      <c r="R106" s="274">
        <f t="shared" si="6"/>
        <v>2.5434</v>
      </c>
      <c r="S106" s="275">
        <f t="shared" si="7"/>
        <v>13</v>
      </c>
      <c r="T106" s="275">
        <f t="shared" si="8"/>
        <v>15</v>
      </c>
      <c r="U106" s="273">
        <f t="shared" si="9"/>
        <v>1.872</v>
      </c>
      <c r="V106" s="273">
        <f t="shared" si="10"/>
        <v>1.909</v>
      </c>
      <c r="W106" s="273">
        <f t="shared" si="11"/>
        <v>1.944</v>
      </c>
      <c r="X106" s="273">
        <f t="shared" si="12"/>
        <v>0.00671783092998162</v>
      </c>
      <c r="Y106" s="273">
        <f t="shared" si="13"/>
        <v>0.00666397442100058</v>
      </c>
      <c r="Z106" s="273">
        <f t="shared" si="14"/>
        <v>0.00677887053170749</v>
      </c>
      <c r="AA106" s="273">
        <f t="shared" si="15"/>
        <v>22.63626</v>
      </c>
      <c r="AB106" s="276">
        <f t="shared" si="16"/>
        <v>68720</v>
      </c>
      <c r="AC106" s="276">
        <f t="shared" si="17"/>
        <v>12350</v>
      </c>
      <c r="AD106" s="276">
        <f t="shared" si="18"/>
        <v>25270</v>
      </c>
    </row>
    <row r="107" ht="13.5" spans="1:30">
      <c r="A107" s="59">
        <f t="shared" si="19"/>
        <v>22</v>
      </c>
      <c r="B107" s="250">
        <v>0.15</v>
      </c>
      <c r="C107" s="251">
        <f t="shared" si="20"/>
        <v>0.0176625</v>
      </c>
      <c r="D107" s="247" t="s">
        <v>1684</v>
      </c>
      <c r="E107" s="247" t="s">
        <v>1684</v>
      </c>
      <c r="F107" s="248">
        <v>0.171</v>
      </c>
      <c r="G107" s="245">
        <v>0.182</v>
      </c>
      <c r="H107" s="245">
        <v>0.193</v>
      </c>
      <c r="I107" s="252">
        <f t="shared" si="3"/>
        <v>0.967367653917354</v>
      </c>
      <c r="J107" s="252">
        <v>0.9219</v>
      </c>
      <c r="K107" s="252">
        <v>1.0159</v>
      </c>
      <c r="L107" s="251">
        <f t="shared" si="4"/>
        <v>0.15719625</v>
      </c>
      <c r="M107" s="262">
        <v>446.3</v>
      </c>
      <c r="N107" s="258">
        <v>143</v>
      </c>
      <c r="O107" s="258">
        <v>153</v>
      </c>
      <c r="Q107" s="273">
        <f t="shared" si="5"/>
        <v>1.8</v>
      </c>
      <c r="R107" s="274">
        <f t="shared" si="6"/>
        <v>2.5434</v>
      </c>
      <c r="S107" s="275">
        <f t="shared" si="7"/>
        <v>13</v>
      </c>
      <c r="T107" s="275">
        <f t="shared" si="8"/>
        <v>15</v>
      </c>
      <c r="U107" s="273">
        <f t="shared" si="9"/>
        <v>1.872</v>
      </c>
      <c r="V107" s="273">
        <f t="shared" si="10"/>
        <v>1.909</v>
      </c>
      <c r="W107" s="273">
        <f t="shared" si="11"/>
        <v>1.944</v>
      </c>
      <c r="X107" s="273">
        <f t="shared" si="12"/>
        <v>0.00671783092998162</v>
      </c>
      <c r="Y107" s="273">
        <f t="shared" si="13"/>
        <v>0.00666397442100058</v>
      </c>
      <c r="Z107" s="273">
        <f t="shared" si="14"/>
        <v>0.00677887053170749</v>
      </c>
      <c r="AA107" s="273">
        <f t="shared" si="15"/>
        <v>22.63626</v>
      </c>
      <c r="AB107" s="276">
        <f t="shared" si="16"/>
        <v>68720</v>
      </c>
      <c r="AC107" s="276">
        <f t="shared" si="17"/>
        <v>12350</v>
      </c>
      <c r="AD107" s="276">
        <f t="shared" si="18"/>
        <v>25270</v>
      </c>
    </row>
    <row r="108" ht="13.5" spans="1:30">
      <c r="A108" s="59">
        <f t="shared" si="19"/>
        <v>23</v>
      </c>
      <c r="B108" s="245">
        <v>0.16</v>
      </c>
      <c r="C108" s="251">
        <f t="shared" si="20"/>
        <v>0.020096</v>
      </c>
      <c r="D108" s="247">
        <v>34</v>
      </c>
      <c r="E108" s="247">
        <v>38</v>
      </c>
      <c r="F108" s="248">
        <v>0.182</v>
      </c>
      <c r="G108" s="245">
        <v>0.194</v>
      </c>
      <c r="H108" s="245">
        <v>0.205</v>
      </c>
      <c r="I108" s="252">
        <f t="shared" si="3"/>
        <v>0.850225477075799</v>
      </c>
      <c r="J108" s="252">
        <v>0.8122</v>
      </c>
      <c r="K108" s="252">
        <v>0.8906</v>
      </c>
      <c r="L108" s="251">
        <f t="shared" si="4"/>
        <v>0.1788544</v>
      </c>
      <c r="M108" s="262">
        <v>583.2</v>
      </c>
      <c r="N108" s="258">
        <v>181</v>
      </c>
      <c r="O108" s="258">
        <v>200</v>
      </c>
      <c r="Q108" s="273">
        <f t="shared" si="5"/>
        <v>1.8</v>
      </c>
      <c r="R108" s="274">
        <f t="shared" si="6"/>
        <v>2.5434</v>
      </c>
      <c r="S108" s="275">
        <f t="shared" si="7"/>
        <v>13</v>
      </c>
      <c r="T108" s="275">
        <f t="shared" si="8"/>
        <v>15</v>
      </c>
      <c r="U108" s="273">
        <f t="shared" si="9"/>
        <v>1.872</v>
      </c>
      <c r="V108" s="273">
        <f t="shared" si="10"/>
        <v>1.909</v>
      </c>
      <c r="W108" s="273">
        <f t="shared" si="11"/>
        <v>1.944</v>
      </c>
      <c r="X108" s="273">
        <f t="shared" si="12"/>
        <v>0.00671783092998162</v>
      </c>
      <c r="Y108" s="273">
        <f t="shared" si="13"/>
        <v>0.00666397442100058</v>
      </c>
      <c r="Z108" s="273">
        <f t="shared" si="14"/>
        <v>0.00677887053170749</v>
      </c>
      <c r="AA108" s="273">
        <f t="shared" si="15"/>
        <v>22.63626</v>
      </c>
      <c r="AB108" s="276">
        <f t="shared" si="16"/>
        <v>68720</v>
      </c>
      <c r="AC108" s="276">
        <f t="shared" si="17"/>
        <v>12350</v>
      </c>
      <c r="AD108" s="276">
        <f t="shared" si="18"/>
        <v>25270</v>
      </c>
    </row>
    <row r="109" ht="13.5" spans="1:30">
      <c r="A109" s="59">
        <f t="shared" si="19"/>
        <v>24</v>
      </c>
      <c r="B109" s="250">
        <v>0.17</v>
      </c>
      <c r="C109" s="251">
        <f t="shared" si="20"/>
        <v>0.0226865</v>
      </c>
      <c r="D109" s="247" t="s">
        <v>1684</v>
      </c>
      <c r="E109" s="247" t="s">
        <v>1684</v>
      </c>
      <c r="F109" s="248">
        <v>0.194</v>
      </c>
      <c r="G109" s="245">
        <v>0.205</v>
      </c>
      <c r="H109" s="245">
        <v>0.217</v>
      </c>
      <c r="I109" s="252">
        <f t="shared" si="3"/>
        <v>0.753140907029081</v>
      </c>
      <c r="J109" s="252">
        <v>0.7211</v>
      </c>
      <c r="K109" s="252">
        <v>0.7871</v>
      </c>
      <c r="L109" s="251">
        <f t="shared" si="4"/>
        <v>0.20190985</v>
      </c>
      <c r="M109" s="262">
        <v>583.2</v>
      </c>
      <c r="N109" s="258">
        <v>181</v>
      </c>
      <c r="O109" s="258">
        <v>200</v>
      </c>
      <c r="Q109" s="273">
        <f t="shared" si="5"/>
        <v>1.8</v>
      </c>
      <c r="R109" s="274">
        <f t="shared" si="6"/>
        <v>2.5434</v>
      </c>
      <c r="S109" s="275">
        <f t="shared" si="7"/>
        <v>13</v>
      </c>
      <c r="T109" s="275">
        <f t="shared" si="8"/>
        <v>15</v>
      </c>
      <c r="U109" s="273">
        <f t="shared" si="9"/>
        <v>1.872</v>
      </c>
      <c r="V109" s="273">
        <f t="shared" si="10"/>
        <v>1.909</v>
      </c>
      <c r="W109" s="273">
        <f t="shared" si="11"/>
        <v>1.944</v>
      </c>
      <c r="X109" s="273">
        <f t="shared" si="12"/>
        <v>0.00671783092998162</v>
      </c>
      <c r="Y109" s="273">
        <f t="shared" si="13"/>
        <v>0.00666397442100058</v>
      </c>
      <c r="Z109" s="273">
        <f t="shared" si="14"/>
        <v>0.00677887053170749</v>
      </c>
      <c r="AA109" s="273">
        <f t="shared" si="15"/>
        <v>22.63626</v>
      </c>
      <c r="AB109" s="276">
        <f t="shared" si="16"/>
        <v>68720</v>
      </c>
      <c r="AC109" s="276">
        <f t="shared" si="17"/>
        <v>12350</v>
      </c>
      <c r="AD109" s="276">
        <f t="shared" si="18"/>
        <v>25270</v>
      </c>
    </row>
    <row r="110" ht="13.5" spans="1:30">
      <c r="A110" s="59">
        <f t="shared" si="19"/>
        <v>25</v>
      </c>
      <c r="B110" s="245">
        <v>0.18</v>
      </c>
      <c r="C110" s="251">
        <f t="shared" si="20"/>
        <v>0.025434</v>
      </c>
      <c r="D110" s="247">
        <v>33</v>
      </c>
      <c r="E110" s="247">
        <v>36</v>
      </c>
      <c r="F110" s="248">
        <v>0.204</v>
      </c>
      <c r="G110" s="245">
        <v>0.217</v>
      </c>
      <c r="H110" s="245">
        <v>0.229</v>
      </c>
      <c r="I110" s="252">
        <f t="shared" si="3"/>
        <v>0.671783092998162</v>
      </c>
      <c r="J110" s="252">
        <v>0.6444</v>
      </c>
      <c r="K110" s="252">
        <v>0.7007</v>
      </c>
      <c r="L110" s="251">
        <f t="shared" si="4"/>
        <v>0.2263626</v>
      </c>
      <c r="M110" s="262">
        <v>738.1</v>
      </c>
      <c r="N110" s="258">
        <v>225</v>
      </c>
      <c r="O110" s="258">
        <v>252.7</v>
      </c>
      <c r="Q110" s="273">
        <f t="shared" si="5"/>
        <v>1.8</v>
      </c>
      <c r="R110" s="274">
        <f t="shared" si="6"/>
        <v>2.5434</v>
      </c>
      <c r="S110" s="275">
        <f t="shared" si="7"/>
        <v>13</v>
      </c>
      <c r="T110" s="275">
        <f t="shared" si="8"/>
        <v>15</v>
      </c>
      <c r="U110" s="273">
        <f t="shared" si="9"/>
        <v>1.872</v>
      </c>
      <c r="V110" s="273">
        <f t="shared" si="10"/>
        <v>1.909</v>
      </c>
      <c r="W110" s="273">
        <f t="shared" si="11"/>
        <v>1.944</v>
      </c>
      <c r="X110" s="273">
        <f t="shared" si="12"/>
        <v>0.00671783092998162</v>
      </c>
      <c r="Y110" s="273">
        <f t="shared" si="13"/>
        <v>0.00666397442100058</v>
      </c>
      <c r="Z110" s="273">
        <f t="shared" si="14"/>
        <v>0.00677887053170749</v>
      </c>
      <c r="AA110" s="273">
        <f t="shared" si="15"/>
        <v>22.63626</v>
      </c>
      <c r="AB110" s="276">
        <f t="shared" si="16"/>
        <v>68720</v>
      </c>
      <c r="AC110" s="276">
        <f t="shared" si="17"/>
        <v>12350</v>
      </c>
      <c r="AD110" s="276">
        <f t="shared" si="18"/>
        <v>25270</v>
      </c>
    </row>
    <row r="111" ht="13.5" spans="1:30">
      <c r="A111" s="59">
        <f t="shared" si="19"/>
        <v>26</v>
      </c>
      <c r="B111" s="250">
        <v>0.19</v>
      </c>
      <c r="C111" s="251">
        <f t="shared" si="20"/>
        <v>0.0283385</v>
      </c>
      <c r="D111" s="247" t="s">
        <v>1684</v>
      </c>
      <c r="E111" s="247" t="s">
        <v>1684</v>
      </c>
      <c r="F111" s="248">
        <v>0.216</v>
      </c>
      <c r="G111" s="245">
        <v>0.228</v>
      </c>
      <c r="H111" s="245">
        <v>0.24</v>
      </c>
      <c r="I111" s="252">
        <f t="shared" si="3"/>
        <v>0.602929978203337</v>
      </c>
      <c r="J111" s="252">
        <v>0.5794</v>
      </c>
      <c r="K111" s="252">
        <v>0.6278</v>
      </c>
      <c r="L111" s="251">
        <f t="shared" si="4"/>
        <v>0.25221265</v>
      </c>
      <c r="M111" s="262">
        <v>738.1</v>
      </c>
      <c r="N111" s="258">
        <v>225</v>
      </c>
      <c r="O111" s="258">
        <v>252.7</v>
      </c>
      <c r="Q111" s="273">
        <f t="shared" si="5"/>
        <v>1.8</v>
      </c>
      <c r="R111" s="274">
        <f t="shared" si="6"/>
        <v>2.5434</v>
      </c>
      <c r="S111" s="275">
        <f t="shared" si="7"/>
        <v>13</v>
      </c>
      <c r="T111" s="275">
        <f t="shared" si="8"/>
        <v>15</v>
      </c>
      <c r="U111" s="273">
        <f t="shared" si="9"/>
        <v>1.872</v>
      </c>
      <c r="V111" s="273">
        <f t="shared" si="10"/>
        <v>1.909</v>
      </c>
      <c r="W111" s="273">
        <f t="shared" si="11"/>
        <v>1.944</v>
      </c>
      <c r="X111" s="273">
        <f t="shared" si="12"/>
        <v>0.00671783092998162</v>
      </c>
      <c r="Y111" s="273">
        <f t="shared" si="13"/>
        <v>0.00666397442100058</v>
      </c>
      <c r="Z111" s="273">
        <f t="shared" si="14"/>
        <v>0.00677887053170749</v>
      </c>
      <c r="AA111" s="273">
        <f t="shared" si="15"/>
        <v>22.63626</v>
      </c>
      <c r="AB111" s="276">
        <f t="shared" si="16"/>
        <v>68720</v>
      </c>
      <c r="AC111" s="276">
        <f t="shared" si="17"/>
        <v>12350</v>
      </c>
      <c r="AD111" s="276">
        <f t="shared" si="18"/>
        <v>25270</v>
      </c>
    </row>
    <row r="112" ht="13.5" spans="1:30">
      <c r="A112" s="59">
        <f t="shared" si="19"/>
        <v>27</v>
      </c>
      <c r="B112" s="245">
        <v>0.2</v>
      </c>
      <c r="C112" s="251">
        <f t="shared" si="20"/>
        <v>0.0314</v>
      </c>
      <c r="D112" s="247">
        <v>32</v>
      </c>
      <c r="E112" s="247">
        <v>35</v>
      </c>
      <c r="F112" s="248">
        <v>0.226</v>
      </c>
      <c r="G112" s="245">
        <v>0.239</v>
      </c>
      <c r="H112" s="245">
        <v>0.262</v>
      </c>
      <c r="I112" s="252">
        <f t="shared" si="3"/>
        <v>0.544144305328511</v>
      </c>
      <c r="J112" s="252">
        <v>0.5237</v>
      </c>
      <c r="K112" s="252">
        <v>0.5657</v>
      </c>
      <c r="L112" s="251">
        <f t="shared" si="4"/>
        <v>0.27946</v>
      </c>
      <c r="M112" s="262">
        <v>879.8</v>
      </c>
      <c r="N112" s="258">
        <v>272</v>
      </c>
      <c r="O112" s="258">
        <v>312</v>
      </c>
      <c r="Q112" s="273">
        <f t="shared" si="5"/>
        <v>1.8</v>
      </c>
      <c r="R112" s="274">
        <f t="shared" si="6"/>
        <v>2.5434</v>
      </c>
      <c r="S112" s="275">
        <f t="shared" si="7"/>
        <v>13</v>
      </c>
      <c r="T112" s="275">
        <f t="shared" si="8"/>
        <v>15</v>
      </c>
      <c r="U112" s="273">
        <f t="shared" si="9"/>
        <v>1.872</v>
      </c>
      <c r="V112" s="273">
        <f t="shared" si="10"/>
        <v>1.909</v>
      </c>
      <c r="W112" s="273">
        <f t="shared" si="11"/>
        <v>1.944</v>
      </c>
      <c r="X112" s="273">
        <f t="shared" si="12"/>
        <v>0.00671783092998162</v>
      </c>
      <c r="Y112" s="273">
        <f t="shared" si="13"/>
        <v>0.00666397442100058</v>
      </c>
      <c r="Z112" s="273">
        <f t="shared" si="14"/>
        <v>0.00677887053170749</v>
      </c>
      <c r="AA112" s="273">
        <f t="shared" si="15"/>
        <v>22.63626</v>
      </c>
      <c r="AB112" s="276">
        <f t="shared" si="16"/>
        <v>68720</v>
      </c>
      <c r="AC112" s="276">
        <f t="shared" si="17"/>
        <v>12350</v>
      </c>
      <c r="AD112" s="276">
        <f t="shared" si="18"/>
        <v>25270</v>
      </c>
    </row>
    <row r="113" ht="13.5" spans="1:30">
      <c r="A113" s="59">
        <f t="shared" si="19"/>
        <v>28</v>
      </c>
      <c r="B113" s="250">
        <v>0.212</v>
      </c>
      <c r="C113" s="251">
        <f t="shared" si="20"/>
        <v>0.03528104</v>
      </c>
      <c r="D113" s="247" t="s">
        <v>1684</v>
      </c>
      <c r="E113" s="247" t="s">
        <v>1684</v>
      </c>
      <c r="F113" s="248">
        <v>0.24</v>
      </c>
      <c r="G113" s="245">
        <v>0.254</v>
      </c>
      <c r="H113" s="245">
        <v>0.268</v>
      </c>
      <c r="I113" s="252">
        <f t="shared" si="3"/>
        <v>0.484286494596397</v>
      </c>
      <c r="J113" s="252">
        <v>0.4669</v>
      </c>
      <c r="K113" s="252">
        <v>0.5026</v>
      </c>
      <c r="L113" s="251">
        <f t="shared" si="4"/>
        <v>0.314001256</v>
      </c>
      <c r="M113" s="262">
        <v>879.8</v>
      </c>
      <c r="N113" s="258">
        <v>272</v>
      </c>
      <c r="O113" s="258">
        <v>312</v>
      </c>
      <c r="Q113" s="273">
        <f t="shared" si="5"/>
        <v>1.8</v>
      </c>
      <c r="R113" s="274">
        <f t="shared" si="6"/>
        <v>2.5434</v>
      </c>
      <c r="S113" s="275">
        <f t="shared" si="7"/>
        <v>13</v>
      </c>
      <c r="T113" s="275">
        <f t="shared" si="8"/>
        <v>15</v>
      </c>
      <c r="U113" s="273">
        <f t="shared" si="9"/>
        <v>1.872</v>
      </c>
      <c r="V113" s="273">
        <f t="shared" si="10"/>
        <v>1.909</v>
      </c>
      <c r="W113" s="273">
        <f t="shared" si="11"/>
        <v>1.944</v>
      </c>
      <c r="X113" s="273">
        <f t="shared" si="12"/>
        <v>0.00671783092998162</v>
      </c>
      <c r="Y113" s="273">
        <f t="shared" si="13"/>
        <v>0.00666397442100058</v>
      </c>
      <c r="Z113" s="273">
        <f t="shared" si="14"/>
        <v>0.00677887053170749</v>
      </c>
      <c r="AA113" s="273">
        <f t="shared" si="15"/>
        <v>22.63626</v>
      </c>
      <c r="AB113" s="276">
        <f t="shared" si="16"/>
        <v>68720</v>
      </c>
      <c r="AC113" s="276">
        <f t="shared" si="17"/>
        <v>12350</v>
      </c>
      <c r="AD113" s="276">
        <f t="shared" si="18"/>
        <v>25270</v>
      </c>
    </row>
    <row r="114" ht="13.5" spans="1:30">
      <c r="A114" s="59">
        <f t="shared" si="19"/>
        <v>29</v>
      </c>
      <c r="B114" s="245">
        <v>0.224</v>
      </c>
      <c r="C114" s="251">
        <f t="shared" si="20"/>
        <v>0.03938816</v>
      </c>
      <c r="D114" s="247">
        <v>31</v>
      </c>
      <c r="E114" s="247">
        <v>34</v>
      </c>
      <c r="F114" s="248">
        <v>0.252</v>
      </c>
      <c r="G114" s="245">
        <v>0.266</v>
      </c>
      <c r="H114" s="245">
        <v>0.28</v>
      </c>
      <c r="I114" s="252">
        <f t="shared" si="3"/>
        <v>0.433788508712142</v>
      </c>
      <c r="J114" s="252">
        <v>0.4188</v>
      </c>
      <c r="K114" s="252">
        <v>0.4495</v>
      </c>
      <c r="L114" s="251">
        <f t="shared" si="4"/>
        <v>0.350554624</v>
      </c>
      <c r="M114" s="262">
        <v>879.8</v>
      </c>
      <c r="N114" s="258">
        <v>272</v>
      </c>
      <c r="O114" s="258">
        <v>312</v>
      </c>
      <c r="Q114" s="273">
        <f t="shared" si="5"/>
        <v>1.8</v>
      </c>
      <c r="R114" s="274">
        <f t="shared" si="6"/>
        <v>2.5434</v>
      </c>
      <c r="S114" s="275">
        <f t="shared" si="7"/>
        <v>13</v>
      </c>
      <c r="T114" s="275">
        <f t="shared" si="8"/>
        <v>15</v>
      </c>
      <c r="U114" s="273">
        <f t="shared" si="9"/>
        <v>1.872</v>
      </c>
      <c r="V114" s="273">
        <f t="shared" si="10"/>
        <v>1.909</v>
      </c>
      <c r="W114" s="273">
        <f t="shared" si="11"/>
        <v>1.944</v>
      </c>
      <c r="X114" s="273">
        <f t="shared" si="12"/>
        <v>0.00671783092998162</v>
      </c>
      <c r="Y114" s="273">
        <f t="shared" si="13"/>
        <v>0.00666397442100058</v>
      </c>
      <c r="Z114" s="273">
        <f t="shared" si="14"/>
        <v>0.00677887053170749</v>
      </c>
      <c r="AA114" s="273">
        <f t="shared" si="15"/>
        <v>22.63626</v>
      </c>
      <c r="AB114" s="276">
        <f t="shared" si="16"/>
        <v>68720</v>
      </c>
      <c r="AC114" s="276">
        <f t="shared" si="17"/>
        <v>12350</v>
      </c>
      <c r="AD114" s="276">
        <f t="shared" si="18"/>
        <v>25270</v>
      </c>
    </row>
    <row r="115" ht="13.5" spans="1:30">
      <c r="A115" s="59">
        <f t="shared" si="19"/>
        <v>30</v>
      </c>
      <c r="B115" s="250">
        <v>0.236</v>
      </c>
      <c r="C115" s="251">
        <f t="shared" si="20"/>
        <v>0.04372136</v>
      </c>
      <c r="D115" s="247" t="s">
        <v>1684</v>
      </c>
      <c r="E115" s="247" t="s">
        <v>1684</v>
      </c>
      <c r="F115" s="248">
        <v>0.267</v>
      </c>
      <c r="G115" s="245">
        <v>0.283</v>
      </c>
      <c r="H115" s="245">
        <v>0.298</v>
      </c>
      <c r="I115" s="252">
        <f t="shared" si="3"/>
        <v>0.390795967630359</v>
      </c>
      <c r="J115" s="252">
        <v>0.3747</v>
      </c>
      <c r="K115" s="252">
        <v>0.4079</v>
      </c>
      <c r="L115" s="251">
        <f t="shared" si="4"/>
        <v>0.389120104</v>
      </c>
      <c r="M115" s="262">
        <v>1163</v>
      </c>
      <c r="N115" s="258">
        <v>350</v>
      </c>
      <c r="O115" s="258">
        <v>412.6</v>
      </c>
      <c r="Q115" s="273">
        <f t="shared" si="5"/>
        <v>1.8</v>
      </c>
      <c r="R115" s="274">
        <f t="shared" si="6"/>
        <v>2.5434</v>
      </c>
      <c r="S115" s="275">
        <f t="shared" si="7"/>
        <v>13</v>
      </c>
      <c r="T115" s="275">
        <f t="shared" si="8"/>
        <v>15</v>
      </c>
      <c r="U115" s="273">
        <f t="shared" si="9"/>
        <v>1.872</v>
      </c>
      <c r="V115" s="273">
        <f t="shared" si="10"/>
        <v>1.909</v>
      </c>
      <c r="W115" s="273">
        <f t="shared" si="11"/>
        <v>1.944</v>
      </c>
      <c r="X115" s="273">
        <f t="shared" si="12"/>
        <v>0.00671783092998162</v>
      </c>
      <c r="Y115" s="273">
        <f t="shared" si="13"/>
        <v>0.00666397442100058</v>
      </c>
      <c r="Z115" s="273">
        <f t="shared" si="14"/>
        <v>0.00677887053170749</v>
      </c>
      <c r="AA115" s="273">
        <f t="shared" si="15"/>
        <v>22.63626</v>
      </c>
      <c r="AB115" s="276">
        <f t="shared" si="16"/>
        <v>68720</v>
      </c>
      <c r="AC115" s="276">
        <f t="shared" si="17"/>
        <v>12350</v>
      </c>
      <c r="AD115" s="276">
        <f t="shared" si="18"/>
        <v>25270</v>
      </c>
    </row>
    <row r="116" ht="13.5" spans="1:30">
      <c r="A116" s="59">
        <f t="shared" si="19"/>
        <v>31</v>
      </c>
      <c r="B116" s="245">
        <v>0.25</v>
      </c>
      <c r="C116" s="251">
        <f t="shared" si="20"/>
        <v>0.0490625</v>
      </c>
      <c r="D116" s="247">
        <v>30</v>
      </c>
      <c r="E116" s="247">
        <v>33</v>
      </c>
      <c r="F116" s="248">
        <v>0.281</v>
      </c>
      <c r="G116" s="245">
        <v>0.297</v>
      </c>
      <c r="H116" s="245">
        <v>0.312</v>
      </c>
      <c r="I116" s="252">
        <f t="shared" si="3"/>
        <v>0.348252355410247</v>
      </c>
      <c r="J116" s="252">
        <v>0.3345</v>
      </c>
      <c r="K116" s="252">
        <v>0.3628</v>
      </c>
      <c r="L116" s="251">
        <f t="shared" si="4"/>
        <v>0.43665625</v>
      </c>
      <c r="M116" s="262">
        <v>1375</v>
      </c>
      <c r="N116" s="258">
        <v>410</v>
      </c>
      <c r="O116" s="258">
        <v>487.5</v>
      </c>
      <c r="Q116" s="273">
        <f t="shared" si="5"/>
        <v>1.8</v>
      </c>
      <c r="R116" s="274">
        <f t="shared" si="6"/>
        <v>2.5434</v>
      </c>
      <c r="S116" s="275">
        <f t="shared" si="7"/>
        <v>13</v>
      </c>
      <c r="T116" s="275">
        <f t="shared" si="8"/>
        <v>15</v>
      </c>
      <c r="U116" s="273">
        <f t="shared" si="9"/>
        <v>1.872</v>
      </c>
      <c r="V116" s="273">
        <f t="shared" si="10"/>
        <v>1.909</v>
      </c>
      <c r="W116" s="273">
        <f t="shared" si="11"/>
        <v>1.944</v>
      </c>
      <c r="X116" s="273">
        <f t="shared" si="12"/>
        <v>0.00671783092998162</v>
      </c>
      <c r="Y116" s="273">
        <f t="shared" si="13"/>
        <v>0.00666397442100058</v>
      </c>
      <c r="Z116" s="273">
        <f t="shared" si="14"/>
        <v>0.00677887053170749</v>
      </c>
      <c r="AA116" s="273">
        <f t="shared" si="15"/>
        <v>22.63626</v>
      </c>
      <c r="AB116" s="276">
        <f t="shared" si="16"/>
        <v>68720</v>
      </c>
      <c r="AC116" s="276">
        <f t="shared" si="17"/>
        <v>12350</v>
      </c>
      <c r="AD116" s="276">
        <f t="shared" si="18"/>
        <v>25270</v>
      </c>
    </row>
    <row r="117" ht="13.5" spans="1:30">
      <c r="A117" s="59">
        <f t="shared" si="19"/>
        <v>32</v>
      </c>
      <c r="B117" s="250">
        <v>0.265</v>
      </c>
      <c r="C117" s="251">
        <f t="shared" si="20"/>
        <v>0.055126625</v>
      </c>
      <c r="D117" s="247" t="s">
        <v>1684</v>
      </c>
      <c r="E117" s="247" t="s">
        <v>1684</v>
      </c>
      <c r="F117" s="248">
        <v>0.297</v>
      </c>
      <c r="G117" s="245">
        <v>0.314</v>
      </c>
      <c r="H117" s="245">
        <v>0.33</v>
      </c>
      <c r="I117" s="252">
        <f t="shared" si="3"/>
        <v>0.309943356541694</v>
      </c>
      <c r="J117" s="252">
        <v>0.2982</v>
      </c>
      <c r="K117" s="252">
        <v>0.3223</v>
      </c>
      <c r="L117" s="251">
        <f t="shared" si="4"/>
        <v>0.4906269625</v>
      </c>
      <c r="M117" s="262">
        <v>1487</v>
      </c>
      <c r="N117" s="258">
        <v>438</v>
      </c>
      <c r="O117" s="258">
        <v>527.3</v>
      </c>
      <c r="Q117" s="273">
        <f t="shared" si="5"/>
        <v>1.8</v>
      </c>
      <c r="R117" s="274">
        <f t="shared" si="6"/>
        <v>2.5434</v>
      </c>
      <c r="S117" s="275">
        <f t="shared" si="7"/>
        <v>13</v>
      </c>
      <c r="T117" s="275">
        <f t="shared" si="8"/>
        <v>15</v>
      </c>
      <c r="U117" s="273">
        <f t="shared" si="9"/>
        <v>1.872</v>
      </c>
      <c r="V117" s="273">
        <f t="shared" si="10"/>
        <v>1.909</v>
      </c>
      <c r="W117" s="273">
        <f t="shared" si="11"/>
        <v>1.944</v>
      </c>
      <c r="X117" s="273">
        <f t="shared" si="12"/>
        <v>0.00671783092998162</v>
      </c>
      <c r="Y117" s="273">
        <f t="shared" si="13"/>
        <v>0.00666397442100058</v>
      </c>
      <c r="Z117" s="273">
        <f t="shared" si="14"/>
        <v>0.00677887053170749</v>
      </c>
      <c r="AA117" s="273">
        <f t="shared" si="15"/>
        <v>22.63626</v>
      </c>
      <c r="AB117" s="276">
        <f t="shared" si="16"/>
        <v>68720</v>
      </c>
      <c r="AC117" s="276">
        <f t="shared" si="17"/>
        <v>12350</v>
      </c>
      <c r="AD117" s="276">
        <f t="shared" si="18"/>
        <v>25270</v>
      </c>
    </row>
    <row r="118" ht="13.5" spans="1:30">
      <c r="A118" s="59">
        <f t="shared" si="19"/>
        <v>33</v>
      </c>
      <c r="B118" s="245">
        <v>0.28</v>
      </c>
      <c r="C118" s="251">
        <f t="shared" si="20"/>
        <v>0.061544</v>
      </c>
      <c r="D118" s="247">
        <v>29</v>
      </c>
      <c r="E118" s="247">
        <v>32</v>
      </c>
      <c r="F118" s="248">
        <v>0.312</v>
      </c>
      <c r="G118" s="245">
        <v>0.329</v>
      </c>
      <c r="H118" s="245">
        <v>0.345</v>
      </c>
      <c r="I118" s="252">
        <f t="shared" si="3"/>
        <v>0.277624645575771</v>
      </c>
      <c r="J118" s="252">
        <v>0.2676</v>
      </c>
      <c r="K118" s="252">
        <v>0.2882</v>
      </c>
      <c r="L118" s="251">
        <f t="shared" si="4"/>
        <v>0.5477416</v>
      </c>
      <c r="M118" s="262">
        <v>1724</v>
      </c>
      <c r="N118" s="258">
        <v>505</v>
      </c>
      <c r="O118" s="258">
        <v>611.5</v>
      </c>
      <c r="Q118" s="273">
        <f t="shared" si="5"/>
        <v>1.8</v>
      </c>
      <c r="R118" s="274">
        <f t="shared" si="6"/>
        <v>2.5434</v>
      </c>
      <c r="S118" s="275">
        <f t="shared" si="7"/>
        <v>13</v>
      </c>
      <c r="T118" s="275">
        <f t="shared" si="8"/>
        <v>15</v>
      </c>
      <c r="U118" s="273">
        <f t="shared" si="9"/>
        <v>1.872</v>
      </c>
      <c r="V118" s="273">
        <f t="shared" si="10"/>
        <v>1.909</v>
      </c>
      <c r="W118" s="273">
        <f t="shared" si="11"/>
        <v>1.944</v>
      </c>
      <c r="X118" s="273">
        <f t="shared" si="12"/>
        <v>0.00671783092998162</v>
      </c>
      <c r="Y118" s="273">
        <f t="shared" si="13"/>
        <v>0.00666397442100058</v>
      </c>
      <c r="Z118" s="273">
        <f t="shared" si="14"/>
        <v>0.00677887053170749</v>
      </c>
      <c r="AA118" s="273">
        <f t="shared" si="15"/>
        <v>22.63626</v>
      </c>
      <c r="AB118" s="276">
        <f t="shared" si="16"/>
        <v>68720</v>
      </c>
      <c r="AC118" s="276">
        <f t="shared" si="17"/>
        <v>12350</v>
      </c>
      <c r="AD118" s="276">
        <f t="shared" si="18"/>
        <v>25270</v>
      </c>
    </row>
    <row r="119" ht="13.5" spans="1:30">
      <c r="A119" s="59">
        <f t="shared" si="19"/>
        <v>34</v>
      </c>
      <c r="B119" s="250">
        <v>0.3</v>
      </c>
      <c r="C119" s="251">
        <f t="shared" si="20"/>
        <v>0.07065</v>
      </c>
      <c r="D119" s="247" t="s">
        <v>1684</v>
      </c>
      <c r="E119" s="247" t="s">
        <v>1684</v>
      </c>
      <c r="F119" s="248">
        <v>0.334</v>
      </c>
      <c r="G119" s="245">
        <v>0.352</v>
      </c>
      <c r="H119" s="245">
        <v>0.369</v>
      </c>
      <c r="I119" s="252">
        <f t="shared" si="3"/>
        <v>0.241841913479338</v>
      </c>
      <c r="J119" s="252">
        <v>0.2335</v>
      </c>
      <c r="K119" s="252">
        <v>0.2506</v>
      </c>
      <c r="L119" s="251">
        <f t="shared" si="4"/>
        <v>0.628785</v>
      </c>
      <c r="M119" s="262">
        <v>1979</v>
      </c>
      <c r="N119" s="258">
        <v>565</v>
      </c>
      <c r="O119" s="258">
        <v>702</v>
      </c>
      <c r="Q119" s="273">
        <f t="shared" si="5"/>
        <v>1.8</v>
      </c>
      <c r="R119" s="274">
        <f t="shared" si="6"/>
        <v>2.5434</v>
      </c>
      <c r="S119" s="275">
        <f t="shared" si="7"/>
        <v>13</v>
      </c>
      <c r="T119" s="275">
        <f t="shared" si="8"/>
        <v>15</v>
      </c>
      <c r="U119" s="273">
        <f t="shared" si="9"/>
        <v>1.872</v>
      </c>
      <c r="V119" s="273">
        <f t="shared" si="10"/>
        <v>1.909</v>
      </c>
      <c r="W119" s="273">
        <f t="shared" si="11"/>
        <v>1.944</v>
      </c>
      <c r="X119" s="273">
        <f t="shared" si="12"/>
        <v>0.00671783092998162</v>
      </c>
      <c r="Y119" s="273">
        <f t="shared" si="13"/>
        <v>0.00666397442100058</v>
      </c>
      <c r="Z119" s="273">
        <f t="shared" si="14"/>
        <v>0.00677887053170749</v>
      </c>
      <c r="AA119" s="273">
        <f t="shared" si="15"/>
        <v>22.63626</v>
      </c>
      <c r="AB119" s="276">
        <f t="shared" si="16"/>
        <v>68720</v>
      </c>
      <c r="AC119" s="276">
        <f t="shared" si="17"/>
        <v>12350</v>
      </c>
      <c r="AD119" s="276">
        <f t="shared" si="18"/>
        <v>25270</v>
      </c>
    </row>
    <row r="120" ht="13.5" spans="1:30">
      <c r="A120" s="59">
        <f t="shared" si="19"/>
        <v>35</v>
      </c>
      <c r="B120" s="245">
        <v>0.315</v>
      </c>
      <c r="C120" s="251">
        <f t="shared" si="20"/>
        <v>0.077891625</v>
      </c>
      <c r="D120" s="247">
        <v>28</v>
      </c>
      <c r="E120" s="247">
        <v>30</v>
      </c>
      <c r="F120" s="248">
        <v>0.349</v>
      </c>
      <c r="G120" s="245">
        <v>0.367</v>
      </c>
      <c r="H120" s="245">
        <v>0.384</v>
      </c>
      <c r="I120" s="252">
        <f t="shared" si="3"/>
        <v>0.219357744652461</v>
      </c>
      <c r="J120" s="252">
        <v>0.2121</v>
      </c>
      <c r="K120" s="252">
        <v>0.227</v>
      </c>
      <c r="L120" s="251">
        <f t="shared" si="4"/>
        <v>0.6932354625</v>
      </c>
      <c r="M120" s="262">
        <v>1979</v>
      </c>
      <c r="N120" s="258">
        <v>565</v>
      </c>
      <c r="O120" s="258">
        <v>702</v>
      </c>
      <c r="Q120" s="273">
        <f t="shared" si="5"/>
        <v>1.8</v>
      </c>
      <c r="R120" s="274">
        <f t="shared" si="6"/>
        <v>2.5434</v>
      </c>
      <c r="S120" s="275">
        <f t="shared" si="7"/>
        <v>13</v>
      </c>
      <c r="T120" s="275">
        <f t="shared" si="8"/>
        <v>15</v>
      </c>
      <c r="U120" s="273">
        <f t="shared" si="9"/>
        <v>1.872</v>
      </c>
      <c r="V120" s="273">
        <f t="shared" si="10"/>
        <v>1.909</v>
      </c>
      <c r="W120" s="273">
        <f t="shared" si="11"/>
        <v>1.944</v>
      </c>
      <c r="X120" s="273">
        <f t="shared" si="12"/>
        <v>0.00671783092998162</v>
      </c>
      <c r="Y120" s="273">
        <f t="shared" si="13"/>
        <v>0.00666397442100058</v>
      </c>
      <c r="Z120" s="273">
        <f t="shared" si="14"/>
        <v>0.00677887053170749</v>
      </c>
      <c r="AA120" s="273">
        <f t="shared" si="15"/>
        <v>22.63626</v>
      </c>
      <c r="AB120" s="276">
        <f t="shared" si="16"/>
        <v>68720</v>
      </c>
      <c r="AC120" s="276">
        <f t="shared" si="17"/>
        <v>12350</v>
      </c>
      <c r="AD120" s="276">
        <f t="shared" si="18"/>
        <v>25270</v>
      </c>
    </row>
    <row r="121" ht="13.5" spans="1:30">
      <c r="A121" s="59">
        <f t="shared" si="19"/>
        <v>36</v>
      </c>
      <c r="B121" s="250">
        <v>0.335</v>
      </c>
      <c r="C121" s="251">
        <f t="shared" si="20"/>
        <v>0.088096625</v>
      </c>
      <c r="D121" s="247" t="s">
        <v>1684</v>
      </c>
      <c r="E121" s="245" t="s">
        <v>1684</v>
      </c>
      <c r="F121" s="248">
        <v>0.372</v>
      </c>
      <c r="G121" s="245">
        <v>0.391</v>
      </c>
      <c r="H121" s="245">
        <v>0.408</v>
      </c>
      <c r="I121" s="252">
        <f t="shared" si="3"/>
        <v>0.193947624977861</v>
      </c>
      <c r="J121" s="252">
        <v>0.1878</v>
      </c>
      <c r="K121" s="252">
        <v>0.2004</v>
      </c>
      <c r="L121" s="251">
        <f t="shared" si="4"/>
        <v>0.7840599625</v>
      </c>
      <c r="M121" s="263">
        <v>2252</v>
      </c>
      <c r="N121" s="264">
        <v>635</v>
      </c>
      <c r="O121" s="264">
        <v>799</v>
      </c>
      <c r="Q121" s="273">
        <f t="shared" si="5"/>
        <v>1.8</v>
      </c>
      <c r="R121" s="274">
        <f t="shared" si="6"/>
        <v>2.5434</v>
      </c>
      <c r="S121" s="275">
        <f t="shared" si="7"/>
        <v>13</v>
      </c>
      <c r="T121" s="275">
        <f t="shared" si="8"/>
        <v>15</v>
      </c>
      <c r="U121" s="273">
        <f t="shared" si="9"/>
        <v>1.872</v>
      </c>
      <c r="V121" s="273">
        <f t="shared" si="10"/>
        <v>1.909</v>
      </c>
      <c r="W121" s="273">
        <f t="shared" si="11"/>
        <v>1.944</v>
      </c>
      <c r="X121" s="273">
        <f t="shared" si="12"/>
        <v>0.00671783092998162</v>
      </c>
      <c r="Y121" s="273">
        <f t="shared" si="13"/>
        <v>0.00666397442100058</v>
      </c>
      <c r="Z121" s="273">
        <f t="shared" si="14"/>
        <v>0.00677887053170749</v>
      </c>
      <c r="AA121" s="273">
        <f t="shared" si="15"/>
        <v>22.63626</v>
      </c>
      <c r="AB121" s="276">
        <f t="shared" si="16"/>
        <v>68720</v>
      </c>
      <c r="AC121" s="276">
        <f t="shared" si="17"/>
        <v>12350</v>
      </c>
      <c r="AD121" s="276">
        <f t="shared" si="18"/>
        <v>25270</v>
      </c>
    </row>
    <row r="122" ht="13.5" spans="1:30">
      <c r="A122" s="59">
        <f t="shared" si="19"/>
        <v>37</v>
      </c>
      <c r="B122" s="245">
        <v>0.355</v>
      </c>
      <c r="C122" s="251">
        <f t="shared" si="20"/>
        <v>0.098929625</v>
      </c>
      <c r="D122" s="247">
        <v>27</v>
      </c>
      <c r="E122" s="247">
        <v>29</v>
      </c>
      <c r="F122" s="248">
        <v>0.392</v>
      </c>
      <c r="G122" s="245">
        <v>0.411</v>
      </c>
      <c r="H122" s="245">
        <v>0.428</v>
      </c>
      <c r="I122" s="252">
        <f t="shared" si="3"/>
        <v>0.172709956065387</v>
      </c>
      <c r="J122" s="252">
        <v>0.1674</v>
      </c>
      <c r="K122" s="252">
        <v>0.1782</v>
      </c>
      <c r="L122" s="251">
        <f t="shared" si="4"/>
        <v>0.8804736625</v>
      </c>
      <c r="M122" s="263">
        <v>2694</v>
      </c>
      <c r="N122" s="264">
        <v>746</v>
      </c>
      <c r="O122" s="264">
        <v>956</v>
      </c>
      <c r="Q122" s="273">
        <f t="shared" si="5"/>
        <v>1.8</v>
      </c>
      <c r="R122" s="274">
        <f t="shared" si="6"/>
        <v>2.5434</v>
      </c>
      <c r="S122" s="275">
        <f t="shared" si="7"/>
        <v>13</v>
      </c>
      <c r="T122" s="275">
        <f t="shared" si="8"/>
        <v>15</v>
      </c>
      <c r="U122" s="273">
        <f t="shared" si="9"/>
        <v>1.872</v>
      </c>
      <c r="V122" s="273">
        <f t="shared" si="10"/>
        <v>1.909</v>
      </c>
      <c r="W122" s="273">
        <f t="shared" si="11"/>
        <v>1.944</v>
      </c>
      <c r="X122" s="273">
        <f t="shared" si="12"/>
        <v>0.00671783092998162</v>
      </c>
      <c r="Y122" s="273">
        <f t="shared" si="13"/>
        <v>0.00666397442100058</v>
      </c>
      <c r="Z122" s="273">
        <f t="shared" si="14"/>
        <v>0.00677887053170749</v>
      </c>
      <c r="AA122" s="273">
        <f t="shared" si="15"/>
        <v>22.63626</v>
      </c>
      <c r="AB122" s="276">
        <f t="shared" si="16"/>
        <v>68720</v>
      </c>
      <c r="AC122" s="276">
        <f t="shared" si="17"/>
        <v>12350</v>
      </c>
      <c r="AD122" s="276">
        <f t="shared" si="18"/>
        <v>25270</v>
      </c>
    </row>
    <row r="123" ht="13.5" spans="1:30">
      <c r="A123" s="59">
        <f t="shared" si="19"/>
        <v>38</v>
      </c>
      <c r="B123" s="250">
        <v>0.375</v>
      </c>
      <c r="C123" s="252">
        <f t="shared" si="20"/>
        <v>0.110390625</v>
      </c>
      <c r="D123" s="247" t="s">
        <v>1684</v>
      </c>
      <c r="E123" s="245" t="s">
        <v>1684</v>
      </c>
      <c r="F123" s="248">
        <v>0.414</v>
      </c>
      <c r="G123" s="245">
        <v>0.434</v>
      </c>
      <c r="H123" s="245">
        <v>0.453</v>
      </c>
      <c r="I123" s="252">
        <f t="shared" si="3"/>
        <v>0.154778824626777</v>
      </c>
      <c r="J123" s="252">
        <v>0.1494</v>
      </c>
      <c r="K123" s="252">
        <v>0.1604</v>
      </c>
      <c r="L123" s="251">
        <f t="shared" si="4"/>
        <v>0.9824765625</v>
      </c>
      <c r="M123" s="263">
        <v>3010</v>
      </c>
      <c r="N123" s="264">
        <v>820</v>
      </c>
      <c r="O123" s="264">
        <v>1070</v>
      </c>
      <c r="Q123" s="273">
        <f t="shared" si="5"/>
        <v>1.8</v>
      </c>
      <c r="R123" s="274">
        <f t="shared" si="6"/>
        <v>2.5434</v>
      </c>
      <c r="S123" s="275">
        <f t="shared" si="7"/>
        <v>13</v>
      </c>
      <c r="T123" s="275">
        <f t="shared" si="8"/>
        <v>15</v>
      </c>
      <c r="U123" s="273">
        <f t="shared" si="9"/>
        <v>1.872</v>
      </c>
      <c r="V123" s="273">
        <f t="shared" si="10"/>
        <v>1.909</v>
      </c>
      <c r="W123" s="273">
        <f t="shared" si="11"/>
        <v>1.944</v>
      </c>
      <c r="X123" s="273">
        <f t="shared" si="12"/>
        <v>0.00671783092998162</v>
      </c>
      <c r="Y123" s="273">
        <f t="shared" si="13"/>
        <v>0.00666397442100058</v>
      </c>
      <c r="Z123" s="273">
        <f t="shared" si="14"/>
        <v>0.00677887053170749</v>
      </c>
      <c r="AA123" s="273">
        <f t="shared" si="15"/>
        <v>22.63626</v>
      </c>
      <c r="AB123" s="276">
        <f t="shared" si="16"/>
        <v>68720</v>
      </c>
      <c r="AC123" s="276">
        <f t="shared" si="17"/>
        <v>12350</v>
      </c>
      <c r="AD123" s="276">
        <f t="shared" si="18"/>
        <v>25270</v>
      </c>
    </row>
    <row r="124" ht="13.5" spans="1:30">
      <c r="A124" s="59">
        <f t="shared" si="19"/>
        <v>39</v>
      </c>
      <c r="B124" s="245">
        <v>0.4</v>
      </c>
      <c r="C124" s="252">
        <f t="shared" si="20"/>
        <v>0.1256</v>
      </c>
      <c r="D124" s="247">
        <v>26</v>
      </c>
      <c r="E124" s="247">
        <v>27</v>
      </c>
      <c r="F124" s="248">
        <v>0.439</v>
      </c>
      <c r="G124" s="245">
        <v>0.459</v>
      </c>
      <c r="H124" s="245">
        <v>0.478</v>
      </c>
      <c r="I124" s="252">
        <f t="shared" si="3"/>
        <v>0.136036076332128</v>
      </c>
      <c r="J124" s="252">
        <v>0.1316</v>
      </c>
      <c r="K124" s="252">
        <v>0.1407</v>
      </c>
      <c r="L124" s="252">
        <f t="shared" si="4"/>
        <v>1.11784</v>
      </c>
      <c r="M124" s="263">
        <v>3520</v>
      </c>
      <c r="N124" s="264">
        <v>950</v>
      </c>
      <c r="O124" s="264">
        <v>1250</v>
      </c>
      <c r="Q124" s="273">
        <f t="shared" si="5"/>
        <v>1.8</v>
      </c>
      <c r="R124" s="274">
        <f t="shared" si="6"/>
        <v>2.5434</v>
      </c>
      <c r="S124" s="275">
        <f t="shared" si="7"/>
        <v>13</v>
      </c>
      <c r="T124" s="275">
        <f t="shared" si="8"/>
        <v>15</v>
      </c>
      <c r="U124" s="273">
        <f t="shared" si="9"/>
        <v>1.872</v>
      </c>
      <c r="V124" s="273">
        <f t="shared" si="10"/>
        <v>1.909</v>
      </c>
      <c r="W124" s="273">
        <f t="shared" si="11"/>
        <v>1.944</v>
      </c>
      <c r="X124" s="273">
        <f t="shared" si="12"/>
        <v>0.00671783092998162</v>
      </c>
      <c r="Y124" s="273">
        <f t="shared" si="13"/>
        <v>0.00666397442100058</v>
      </c>
      <c r="Z124" s="273">
        <f t="shared" si="14"/>
        <v>0.00677887053170749</v>
      </c>
      <c r="AA124" s="273">
        <f t="shared" si="15"/>
        <v>22.63626</v>
      </c>
      <c r="AB124" s="276">
        <f t="shared" si="16"/>
        <v>68720</v>
      </c>
      <c r="AC124" s="276">
        <f t="shared" si="17"/>
        <v>12350</v>
      </c>
      <c r="AD124" s="276">
        <f t="shared" si="18"/>
        <v>25270</v>
      </c>
    </row>
    <row r="125" ht="13.5" spans="1:30">
      <c r="A125" s="59">
        <f t="shared" si="19"/>
        <v>40</v>
      </c>
      <c r="B125" s="250">
        <v>0.425</v>
      </c>
      <c r="C125" s="252">
        <f t="shared" si="20"/>
        <v>0.141790625</v>
      </c>
      <c r="D125" s="247" t="s">
        <v>1684</v>
      </c>
      <c r="E125" s="247" t="s">
        <v>1684</v>
      </c>
      <c r="F125" s="248">
        <v>0.466</v>
      </c>
      <c r="G125" s="245">
        <v>0.488</v>
      </c>
      <c r="H125" s="245">
        <v>0.508</v>
      </c>
      <c r="I125" s="252">
        <f t="shared" si="3"/>
        <v>0.120502545124653</v>
      </c>
      <c r="J125" s="252">
        <v>0.1167</v>
      </c>
      <c r="K125" s="252">
        <v>0.1244</v>
      </c>
      <c r="L125" s="252">
        <f t="shared" si="4"/>
        <v>1.2619365625</v>
      </c>
      <c r="M125" s="263">
        <v>3520</v>
      </c>
      <c r="N125" s="264">
        <v>950</v>
      </c>
      <c r="O125" s="264">
        <v>1250</v>
      </c>
      <c r="Q125" s="273">
        <f t="shared" si="5"/>
        <v>1.8</v>
      </c>
      <c r="R125" s="274">
        <f t="shared" si="6"/>
        <v>2.5434</v>
      </c>
      <c r="S125" s="275">
        <f t="shared" si="7"/>
        <v>13</v>
      </c>
      <c r="T125" s="275">
        <f t="shared" si="8"/>
        <v>15</v>
      </c>
      <c r="U125" s="273">
        <f t="shared" si="9"/>
        <v>1.872</v>
      </c>
      <c r="V125" s="273">
        <f t="shared" si="10"/>
        <v>1.909</v>
      </c>
      <c r="W125" s="273">
        <f t="shared" si="11"/>
        <v>1.944</v>
      </c>
      <c r="X125" s="273">
        <f t="shared" si="12"/>
        <v>0.00671783092998162</v>
      </c>
      <c r="Y125" s="273">
        <f t="shared" si="13"/>
        <v>0.00666397442100058</v>
      </c>
      <c r="Z125" s="273">
        <f t="shared" si="14"/>
        <v>0.00677887053170749</v>
      </c>
      <c r="AA125" s="273">
        <f t="shared" si="15"/>
        <v>22.63626</v>
      </c>
      <c r="AB125" s="276">
        <f t="shared" si="16"/>
        <v>68720</v>
      </c>
      <c r="AC125" s="276">
        <f t="shared" si="17"/>
        <v>12350</v>
      </c>
      <c r="AD125" s="276">
        <f t="shared" si="18"/>
        <v>25270</v>
      </c>
    </row>
    <row r="126" ht="13.5" spans="1:30">
      <c r="A126" s="59">
        <f t="shared" si="19"/>
        <v>41</v>
      </c>
      <c r="B126" s="245">
        <v>0.45</v>
      </c>
      <c r="C126" s="252">
        <f t="shared" si="20"/>
        <v>0.1589625</v>
      </c>
      <c r="D126" s="247">
        <v>25</v>
      </c>
      <c r="E126" s="247">
        <v>26</v>
      </c>
      <c r="F126" s="248">
        <v>0.491</v>
      </c>
      <c r="G126" s="245">
        <v>0.513</v>
      </c>
      <c r="H126" s="245">
        <v>0.533</v>
      </c>
      <c r="I126" s="252">
        <f t="shared" si="3"/>
        <v>0.107485294879706</v>
      </c>
      <c r="J126" s="252">
        <v>0.1042</v>
      </c>
      <c r="K126" s="252">
        <v>0.1109</v>
      </c>
      <c r="L126" s="252">
        <f t="shared" si="4"/>
        <v>1.41476625</v>
      </c>
      <c r="M126" s="263">
        <v>4452</v>
      </c>
      <c r="N126" s="264">
        <v>1160</v>
      </c>
      <c r="O126" s="264">
        <v>1580</v>
      </c>
      <c r="Q126" s="273">
        <f t="shared" si="5"/>
        <v>1.8</v>
      </c>
      <c r="R126" s="274">
        <f t="shared" si="6"/>
        <v>2.5434</v>
      </c>
      <c r="S126" s="275">
        <f t="shared" si="7"/>
        <v>13</v>
      </c>
      <c r="T126" s="275">
        <f t="shared" si="8"/>
        <v>15</v>
      </c>
      <c r="U126" s="273">
        <f t="shared" si="9"/>
        <v>1.872</v>
      </c>
      <c r="V126" s="273">
        <f t="shared" si="10"/>
        <v>1.909</v>
      </c>
      <c r="W126" s="273">
        <f t="shared" si="11"/>
        <v>1.944</v>
      </c>
      <c r="X126" s="273">
        <f t="shared" si="12"/>
        <v>0.00671783092998162</v>
      </c>
      <c r="Y126" s="273">
        <f t="shared" si="13"/>
        <v>0.00666397442100058</v>
      </c>
      <c r="Z126" s="273">
        <f t="shared" si="14"/>
        <v>0.00677887053170749</v>
      </c>
      <c r="AA126" s="273">
        <f t="shared" si="15"/>
        <v>22.63626</v>
      </c>
      <c r="AB126" s="276">
        <f t="shared" si="16"/>
        <v>68720</v>
      </c>
      <c r="AC126" s="276">
        <f t="shared" si="17"/>
        <v>12350</v>
      </c>
      <c r="AD126" s="276">
        <f t="shared" si="18"/>
        <v>25270</v>
      </c>
    </row>
    <row r="127" ht="13.5" spans="1:30">
      <c r="A127" s="59">
        <f t="shared" si="19"/>
        <v>42</v>
      </c>
      <c r="B127" s="250">
        <v>0.475</v>
      </c>
      <c r="C127" s="252">
        <f t="shared" si="20"/>
        <v>0.177115625</v>
      </c>
      <c r="D127" s="247" t="s">
        <v>1684</v>
      </c>
      <c r="E127" s="247" t="s">
        <v>1684</v>
      </c>
      <c r="F127" s="248">
        <v>0.519</v>
      </c>
      <c r="G127" s="245">
        <v>0.541</v>
      </c>
      <c r="H127" s="245">
        <v>0.562</v>
      </c>
      <c r="I127" s="251">
        <f t="shared" si="3"/>
        <v>0.0964687965125339</v>
      </c>
      <c r="J127" s="251">
        <v>0.09366</v>
      </c>
      <c r="K127" s="251">
        <v>0.09938</v>
      </c>
      <c r="L127" s="252">
        <f t="shared" si="4"/>
        <v>1.5763290625</v>
      </c>
      <c r="M127" s="263">
        <v>4452</v>
      </c>
      <c r="N127" s="264">
        <v>1160</v>
      </c>
      <c r="O127" s="264">
        <v>1580</v>
      </c>
      <c r="Q127" s="273">
        <f t="shared" si="5"/>
        <v>1.8</v>
      </c>
      <c r="R127" s="274">
        <f t="shared" si="6"/>
        <v>2.5434</v>
      </c>
      <c r="S127" s="275">
        <f t="shared" si="7"/>
        <v>13</v>
      </c>
      <c r="T127" s="275">
        <f t="shared" si="8"/>
        <v>15</v>
      </c>
      <c r="U127" s="273">
        <f t="shared" si="9"/>
        <v>1.872</v>
      </c>
      <c r="V127" s="273">
        <f t="shared" si="10"/>
        <v>1.909</v>
      </c>
      <c r="W127" s="273">
        <f t="shared" si="11"/>
        <v>1.944</v>
      </c>
      <c r="X127" s="273">
        <f t="shared" si="12"/>
        <v>0.00671783092998162</v>
      </c>
      <c r="Y127" s="273">
        <f t="shared" si="13"/>
        <v>0.00666397442100058</v>
      </c>
      <c r="Z127" s="273">
        <f t="shared" si="14"/>
        <v>0.00677887053170749</v>
      </c>
      <c r="AA127" s="273">
        <f t="shared" si="15"/>
        <v>22.63626</v>
      </c>
      <c r="AB127" s="276">
        <f t="shared" si="16"/>
        <v>68720</v>
      </c>
      <c r="AC127" s="276">
        <f t="shared" si="17"/>
        <v>12350</v>
      </c>
      <c r="AD127" s="276">
        <f t="shared" si="18"/>
        <v>25270</v>
      </c>
    </row>
    <row r="128" ht="13.5" spans="1:30">
      <c r="A128" s="59">
        <f t="shared" si="19"/>
        <v>43</v>
      </c>
      <c r="B128" s="245">
        <v>0.5</v>
      </c>
      <c r="C128" s="252">
        <f t="shared" si="20"/>
        <v>0.19625</v>
      </c>
      <c r="D128" s="247">
        <v>24</v>
      </c>
      <c r="E128" s="247">
        <v>25</v>
      </c>
      <c r="F128" s="248">
        <v>0.544</v>
      </c>
      <c r="G128" s="245">
        <v>0.566</v>
      </c>
      <c r="H128" s="245">
        <v>0.587</v>
      </c>
      <c r="I128" s="251">
        <f t="shared" si="3"/>
        <v>0.0870630888525618</v>
      </c>
      <c r="J128" s="251">
        <v>0.08462</v>
      </c>
      <c r="K128" s="251">
        <v>0.08959</v>
      </c>
      <c r="L128" s="252">
        <f t="shared" si="4"/>
        <v>1.746625</v>
      </c>
      <c r="M128" s="263">
        <v>5499</v>
      </c>
      <c r="N128" s="264">
        <v>1400</v>
      </c>
      <c r="O128" s="264">
        <v>1950</v>
      </c>
      <c r="Q128" s="273">
        <f t="shared" si="5"/>
        <v>1.8</v>
      </c>
      <c r="R128" s="274">
        <f t="shared" si="6"/>
        <v>2.5434</v>
      </c>
      <c r="S128" s="275">
        <f t="shared" si="7"/>
        <v>13</v>
      </c>
      <c r="T128" s="275">
        <f t="shared" si="8"/>
        <v>15</v>
      </c>
      <c r="U128" s="273">
        <f t="shared" si="9"/>
        <v>1.872</v>
      </c>
      <c r="V128" s="273">
        <f t="shared" si="10"/>
        <v>1.909</v>
      </c>
      <c r="W128" s="273">
        <f t="shared" si="11"/>
        <v>1.944</v>
      </c>
      <c r="X128" s="273">
        <f t="shared" si="12"/>
        <v>0.00671783092998162</v>
      </c>
      <c r="Y128" s="273">
        <f t="shared" si="13"/>
        <v>0.00666397442100058</v>
      </c>
      <c r="Z128" s="273">
        <f t="shared" si="14"/>
        <v>0.00677887053170749</v>
      </c>
      <c r="AA128" s="273">
        <f t="shared" si="15"/>
        <v>22.63626</v>
      </c>
      <c r="AB128" s="276">
        <f t="shared" si="16"/>
        <v>68720</v>
      </c>
      <c r="AC128" s="276">
        <f t="shared" si="17"/>
        <v>12350</v>
      </c>
      <c r="AD128" s="276">
        <f t="shared" si="18"/>
        <v>25270</v>
      </c>
    </row>
    <row r="129" ht="13.5" spans="1:30">
      <c r="A129" s="59">
        <f t="shared" si="19"/>
        <v>44</v>
      </c>
      <c r="B129" s="250">
        <v>0.53</v>
      </c>
      <c r="C129" s="252">
        <f t="shared" si="20"/>
        <v>0.2205065</v>
      </c>
      <c r="D129" s="247" t="s">
        <v>1684</v>
      </c>
      <c r="E129" s="247" t="s">
        <v>1684</v>
      </c>
      <c r="F129" s="248">
        <v>0.576</v>
      </c>
      <c r="G129" s="245">
        <v>0.6</v>
      </c>
      <c r="H129" s="245">
        <v>0.623</v>
      </c>
      <c r="I129" s="251">
        <f t="shared" si="3"/>
        <v>0.0774858391354235</v>
      </c>
      <c r="J129" s="251">
        <v>0.07512</v>
      </c>
      <c r="K129" s="251">
        <v>0.07995</v>
      </c>
      <c r="L129" s="252">
        <f t="shared" si="4"/>
        <v>1.96250785</v>
      </c>
      <c r="M129" s="263">
        <v>5499</v>
      </c>
      <c r="N129" s="264">
        <v>1400</v>
      </c>
      <c r="O129" s="264">
        <v>1950</v>
      </c>
      <c r="Q129" s="273">
        <f t="shared" si="5"/>
        <v>1.8</v>
      </c>
      <c r="R129" s="274">
        <f t="shared" si="6"/>
        <v>2.5434</v>
      </c>
      <c r="S129" s="275">
        <f t="shared" si="7"/>
        <v>13</v>
      </c>
      <c r="T129" s="275">
        <f t="shared" si="8"/>
        <v>15</v>
      </c>
      <c r="U129" s="273">
        <f t="shared" si="9"/>
        <v>1.872</v>
      </c>
      <c r="V129" s="273">
        <f t="shared" si="10"/>
        <v>1.909</v>
      </c>
      <c r="W129" s="273">
        <f t="shared" si="11"/>
        <v>1.944</v>
      </c>
      <c r="X129" s="273">
        <f t="shared" si="12"/>
        <v>0.00671783092998162</v>
      </c>
      <c r="Y129" s="273">
        <f t="shared" si="13"/>
        <v>0.00666397442100058</v>
      </c>
      <c r="Z129" s="273">
        <f t="shared" si="14"/>
        <v>0.00677887053170749</v>
      </c>
      <c r="AA129" s="273">
        <f t="shared" si="15"/>
        <v>22.63626</v>
      </c>
      <c r="AB129" s="276">
        <f t="shared" si="16"/>
        <v>68720</v>
      </c>
      <c r="AC129" s="276">
        <f t="shared" si="17"/>
        <v>12350</v>
      </c>
      <c r="AD129" s="276">
        <f t="shared" si="18"/>
        <v>25270</v>
      </c>
    </row>
    <row r="130" ht="13.5" spans="1:30">
      <c r="A130" s="59">
        <f t="shared" si="19"/>
        <v>45</v>
      </c>
      <c r="B130" s="245">
        <v>0.56</v>
      </c>
      <c r="C130" s="252">
        <f t="shared" si="20"/>
        <v>0.246176</v>
      </c>
      <c r="D130" s="247">
        <v>23</v>
      </c>
      <c r="E130" s="247">
        <v>24</v>
      </c>
      <c r="F130" s="248">
        <v>0.606</v>
      </c>
      <c r="G130" s="245">
        <v>0.63</v>
      </c>
      <c r="H130" s="245">
        <v>0.653</v>
      </c>
      <c r="I130" s="251">
        <f t="shared" si="3"/>
        <v>0.0694061613939427</v>
      </c>
      <c r="J130" s="251">
        <v>0.06736</v>
      </c>
      <c r="K130" s="251">
        <v>0.07153</v>
      </c>
      <c r="L130" s="252">
        <f t="shared" si="4"/>
        <v>2.1909664</v>
      </c>
      <c r="M130" s="263">
        <v>6653</v>
      </c>
      <c r="N130" s="264">
        <v>1650</v>
      </c>
      <c r="O130" s="264">
        <v>2360</v>
      </c>
      <c r="Q130" s="273">
        <f t="shared" si="5"/>
        <v>1.8</v>
      </c>
      <c r="R130" s="274">
        <f t="shared" si="6"/>
        <v>2.5434</v>
      </c>
      <c r="S130" s="275">
        <f t="shared" si="7"/>
        <v>13</v>
      </c>
      <c r="T130" s="275">
        <f t="shared" si="8"/>
        <v>15</v>
      </c>
      <c r="U130" s="273">
        <f t="shared" si="9"/>
        <v>1.872</v>
      </c>
      <c r="V130" s="273">
        <f t="shared" si="10"/>
        <v>1.909</v>
      </c>
      <c r="W130" s="273">
        <f t="shared" si="11"/>
        <v>1.944</v>
      </c>
      <c r="X130" s="273">
        <f t="shared" si="12"/>
        <v>0.00671783092998162</v>
      </c>
      <c r="Y130" s="273">
        <f t="shared" si="13"/>
        <v>0.00666397442100058</v>
      </c>
      <c r="Z130" s="273">
        <f t="shared" si="14"/>
        <v>0.00677887053170749</v>
      </c>
      <c r="AA130" s="273">
        <f t="shared" si="15"/>
        <v>22.63626</v>
      </c>
      <c r="AB130" s="276">
        <f t="shared" si="16"/>
        <v>68720</v>
      </c>
      <c r="AC130" s="276">
        <f t="shared" si="17"/>
        <v>12350</v>
      </c>
      <c r="AD130" s="276">
        <f t="shared" si="18"/>
        <v>25270</v>
      </c>
    </row>
    <row r="131" ht="13.5" spans="1:30">
      <c r="A131" s="59">
        <f t="shared" si="19"/>
        <v>46</v>
      </c>
      <c r="B131" s="250">
        <v>0.6</v>
      </c>
      <c r="C131" s="252">
        <f t="shared" si="20"/>
        <v>0.2826</v>
      </c>
      <c r="D131" s="247" t="s">
        <v>1684</v>
      </c>
      <c r="E131" s="247" t="s">
        <v>1684</v>
      </c>
      <c r="F131" s="248">
        <v>0.649</v>
      </c>
      <c r="G131" s="245">
        <v>0.674</v>
      </c>
      <c r="H131" s="245">
        <v>0.698</v>
      </c>
      <c r="I131" s="251">
        <f t="shared" si="3"/>
        <v>0.0604604783698346</v>
      </c>
      <c r="J131" s="251">
        <v>0.05876</v>
      </c>
      <c r="K131" s="251">
        <v>0.06222</v>
      </c>
      <c r="L131" s="252">
        <f t="shared" si="4"/>
        <v>2.51514</v>
      </c>
      <c r="M131" s="263">
        <v>7916</v>
      </c>
      <c r="N131" s="264">
        <v>1930</v>
      </c>
      <c r="O131" s="264">
        <v>2810</v>
      </c>
      <c r="Q131" s="273">
        <f t="shared" si="5"/>
        <v>1.8</v>
      </c>
      <c r="R131" s="274">
        <f t="shared" si="6"/>
        <v>2.5434</v>
      </c>
      <c r="S131" s="275">
        <f t="shared" si="7"/>
        <v>13</v>
      </c>
      <c r="T131" s="275">
        <f t="shared" si="8"/>
        <v>15</v>
      </c>
      <c r="U131" s="273">
        <f t="shared" si="9"/>
        <v>1.872</v>
      </c>
      <c r="V131" s="273">
        <f t="shared" si="10"/>
        <v>1.909</v>
      </c>
      <c r="W131" s="273">
        <f t="shared" si="11"/>
        <v>1.944</v>
      </c>
      <c r="X131" s="273">
        <f t="shared" si="12"/>
        <v>0.00671783092998162</v>
      </c>
      <c r="Y131" s="273">
        <f t="shared" si="13"/>
        <v>0.00666397442100058</v>
      </c>
      <c r="Z131" s="273">
        <f t="shared" si="14"/>
        <v>0.00677887053170749</v>
      </c>
      <c r="AA131" s="273">
        <f t="shared" si="15"/>
        <v>22.63626</v>
      </c>
      <c r="AB131" s="276">
        <f t="shared" si="16"/>
        <v>68720</v>
      </c>
      <c r="AC131" s="276">
        <f t="shared" si="17"/>
        <v>12350</v>
      </c>
      <c r="AD131" s="276">
        <f t="shared" si="18"/>
        <v>25270</v>
      </c>
    </row>
    <row r="132" ht="13.5" spans="1:30">
      <c r="A132" s="59">
        <f t="shared" si="19"/>
        <v>47</v>
      </c>
      <c r="B132" s="245">
        <v>0.63</v>
      </c>
      <c r="C132" s="252">
        <f t="shared" si="20"/>
        <v>0.3115665</v>
      </c>
      <c r="D132" s="247">
        <v>22</v>
      </c>
      <c r="E132" s="247">
        <v>23</v>
      </c>
      <c r="F132" s="248">
        <v>0.679</v>
      </c>
      <c r="G132" s="245">
        <v>0.704</v>
      </c>
      <c r="H132" s="245">
        <v>0.728</v>
      </c>
      <c r="I132" s="251">
        <f t="shared" si="3"/>
        <v>0.0548394361631153</v>
      </c>
      <c r="J132" s="251">
        <v>0.05335</v>
      </c>
      <c r="K132" s="251">
        <v>0.05638</v>
      </c>
      <c r="L132" s="252">
        <f t="shared" si="4"/>
        <v>2.77294185</v>
      </c>
      <c r="M132" s="263">
        <v>7916</v>
      </c>
      <c r="N132" s="264">
        <v>1930</v>
      </c>
      <c r="O132" s="264">
        <v>2810</v>
      </c>
      <c r="Q132" s="273">
        <f t="shared" si="5"/>
        <v>1.8</v>
      </c>
      <c r="R132" s="274">
        <f t="shared" si="6"/>
        <v>2.5434</v>
      </c>
      <c r="S132" s="275">
        <f t="shared" si="7"/>
        <v>13</v>
      </c>
      <c r="T132" s="275">
        <f t="shared" si="8"/>
        <v>15</v>
      </c>
      <c r="U132" s="273">
        <f t="shared" si="9"/>
        <v>1.872</v>
      </c>
      <c r="V132" s="273">
        <f t="shared" si="10"/>
        <v>1.909</v>
      </c>
      <c r="W132" s="273">
        <f t="shared" si="11"/>
        <v>1.944</v>
      </c>
      <c r="X132" s="273">
        <f t="shared" si="12"/>
        <v>0.00671783092998162</v>
      </c>
      <c r="Y132" s="273">
        <f t="shared" si="13"/>
        <v>0.00666397442100058</v>
      </c>
      <c r="Z132" s="273">
        <f t="shared" si="14"/>
        <v>0.00677887053170749</v>
      </c>
      <c r="AA132" s="273">
        <f t="shared" si="15"/>
        <v>22.63626</v>
      </c>
      <c r="AB132" s="276">
        <f t="shared" si="16"/>
        <v>68720</v>
      </c>
      <c r="AC132" s="276">
        <f t="shared" si="17"/>
        <v>12350</v>
      </c>
      <c r="AD132" s="276">
        <f t="shared" si="18"/>
        <v>25270</v>
      </c>
    </row>
    <row r="133" ht="13.5" spans="1:30">
      <c r="A133" s="59">
        <f t="shared" si="19"/>
        <v>48</v>
      </c>
      <c r="B133" s="250">
        <v>0.67</v>
      </c>
      <c r="C133" s="252">
        <f t="shared" si="20"/>
        <v>0.3523865</v>
      </c>
      <c r="D133" s="247" t="s">
        <v>1684</v>
      </c>
      <c r="E133" s="247" t="s">
        <v>1684</v>
      </c>
      <c r="F133" s="248">
        <v>0.722</v>
      </c>
      <c r="G133" s="245">
        <v>0.749</v>
      </c>
      <c r="H133" s="245">
        <v>0.774</v>
      </c>
      <c r="I133" s="251">
        <f t="shared" si="3"/>
        <v>0.0484869062444652</v>
      </c>
      <c r="J133" s="251">
        <v>0.04708</v>
      </c>
      <c r="K133" s="251">
        <v>0.04994</v>
      </c>
      <c r="L133" s="252">
        <f t="shared" si="4"/>
        <v>3.13623985</v>
      </c>
      <c r="M133" s="263">
        <v>9290</v>
      </c>
      <c r="N133" s="264">
        <v>2220</v>
      </c>
      <c r="O133" s="264">
        <v>3360</v>
      </c>
      <c r="Q133" s="273">
        <f t="shared" si="5"/>
        <v>1.8</v>
      </c>
      <c r="R133" s="274">
        <f t="shared" si="6"/>
        <v>2.5434</v>
      </c>
      <c r="S133" s="275">
        <f t="shared" si="7"/>
        <v>13</v>
      </c>
      <c r="T133" s="275">
        <f t="shared" si="8"/>
        <v>15</v>
      </c>
      <c r="U133" s="273">
        <f t="shared" si="9"/>
        <v>1.872</v>
      </c>
      <c r="V133" s="273">
        <f t="shared" si="10"/>
        <v>1.909</v>
      </c>
      <c r="W133" s="273">
        <f t="shared" si="11"/>
        <v>1.944</v>
      </c>
      <c r="X133" s="273">
        <f t="shared" si="12"/>
        <v>0.00671783092998162</v>
      </c>
      <c r="Y133" s="273">
        <f t="shared" si="13"/>
        <v>0.00666397442100058</v>
      </c>
      <c r="Z133" s="273">
        <f t="shared" si="14"/>
        <v>0.00677887053170749</v>
      </c>
      <c r="AA133" s="273">
        <f t="shared" si="15"/>
        <v>22.63626</v>
      </c>
      <c r="AB133" s="276">
        <f t="shared" si="16"/>
        <v>68720</v>
      </c>
      <c r="AC133" s="276">
        <f t="shared" si="17"/>
        <v>12350</v>
      </c>
      <c r="AD133" s="276">
        <f t="shared" si="18"/>
        <v>25270</v>
      </c>
    </row>
    <row r="134" ht="13.5" spans="1:30">
      <c r="A134" s="59">
        <f t="shared" si="19"/>
        <v>49</v>
      </c>
      <c r="B134" s="245">
        <v>0.71</v>
      </c>
      <c r="C134" s="252">
        <f t="shared" si="20"/>
        <v>0.3957185</v>
      </c>
      <c r="D134" s="247">
        <v>21</v>
      </c>
      <c r="E134" s="238">
        <v>22</v>
      </c>
      <c r="F134" s="248">
        <v>0.762</v>
      </c>
      <c r="G134" s="245">
        <v>0.789</v>
      </c>
      <c r="H134" s="245">
        <v>0.814</v>
      </c>
      <c r="I134" s="251">
        <f t="shared" si="3"/>
        <v>0.0431774890163469</v>
      </c>
      <c r="J134" s="251">
        <v>0.04198</v>
      </c>
      <c r="K134" s="251">
        <v>0.04442</v>
      </c>
      <c r="L134" s="252">
        <f t="shared" si="4"/>
        <v>3.52189465</v>
      </c>
      <c r="M134" s="263">
        <v>10770</v>
      </c>
      <c r="N134" s="264">
        <v>2520</v>
      </c>
      <c r="O134" s="264">
        <v>3780</v>
      </c>
      <c r="Q134" s="273">
        <f t="shared" si="5"/>
        <v>1.8</v>
      </c>
      <c r="R134" s="274">
        <f t="shared" si="6"/>
        <v>2.5434</v>
      </c>
      <c r="S134" s="275">
        <f t="shared" si="7"/>
        <v>13</v>
      </c>
      <c r="T134" s="275">
        <f t="shared" si="8"/>
        <v>15</v>
      </c>
      <c r="U134" s="273">
        <f t="shared" si="9"/>
        <v>1.872</v>
      </c>
      <c r="V134" s="273">
        <f t="shared" si="10"/>
        <v>1.909</v>
      </c>
      <c r="W134" s="273">
        <f t="shared" si="11"/>
        <v>1.944</v>
      </c>
      <c r="X134" s="273">
        <f t="shared" si="12"/>
        <v>0.00671783092998162</v>
      </c>
      <c r="Y134" s="273">
        <f t="shared" si="13"/>
        <v>0.00666397442100058</v>
      </c>
      <c r="Z134" s="273">
        <f t="shared" si="14"/>
        <v>0.00677887053170749</v>
      </c>
      <c r="AA134" s="273">
        <f t="shared" si="15"/>
        <v>22.63626</v>
      </c>
      <c r="AB134" s="276">
        <f t="shared" si="16"/>
        <v>68720</v>
      </c>
      <c r="AC134" s="276">
        <f t="shared" si="17"/>
        <v>12350</v>
      </c>
      <c r="AD134" s="276">
        <f t="shared" si="18"/>
        <v>25270</v>
      </c>
    </row>
    <row r="135" ht="13.5" spans="1:30">
      <c r="A135" s="59">
        <f t="shared" si="19"/>
        <v>50</v>
      </c>
      <c r="B135" s="250">
        <v>0.75</v>
      </c>
      <c r="C135" s="252">
        <f t="shared" si="20"/>
        <v>0.4415625</v>
      </c>
      <c r="D135" s="247" t="s">
        <v>1684</v>
      </c>
      <c r="E135" s="238" t="s">
        <v>1684</v>
      </c>
      <c r="F135" s="248">
        <v>0.805</v>
      </c>
      <c r="G135" s="245">
        <v>0.834</v>
      </c>
      <c r="H135" s="245">
        <v>0.861</v>
      </c>
      <c r="I135" s="251">
        <f t="shared" si="3"/>
        <v>0.0386947061566941</v>
      </c>
      <c r="J135" s="251">
        <v>0.03756</v>
      </c>
      <c r="K135" s="251">
        <v>0.03987</v>
      </c>
      <c r="L135" s="252">
        <f t="shared" si="4"/>
        <v>3.92990625</v>
      </c>
      <c r="M135" s="263">
        <v>12370</v>
      </c>
      <c r="N135" s="264">
        <v>2830</v>
      </c>
      <c r="O135" s="264">
        <v>4400</v>
      </c>
      <c r="Q135" s="273">
        <f t="shared" si="5"/>
        <v>1.8</v>
      </c>
      <c r="R135" s="274">
        <f t="shared" si="6"/>
        <v>2.5434</v>
      </c>
      <c r="S135" s="275">
        <f t="shared" si="7"/>
        <v>13</v>
      </c>
      <c r="T135" s="275">
        <f t="shared" si="8"/>
        <v>15</v>
      </c>
      <c r="U135" s="273">
        <f t="shared" si="9"/>
        <v>1.872</v>
      </c>
      <c r="V135" s="273">
        <f t="shared" si="10"/>
        <v>1.909</v>
      </c>
      <c r="W135" s="273">
        <f t="shared" si="11"/>
        <v>1.944</v>
      </c>
      <c r="X135" s="273">
        <f t="shared" si="12"/>
        <v>0.00671783092998162</v>
      </c>
      <c r="Y135" s="273">
        <f t="shared" si="13"/>
        <v>0.00666397442100058</v>
      </c>
      <c r="Z135" s="273">
        <f t="shared" si="14"/>
        <v>0.00677887053170749</v>
      </c>
      <c r="AA135" s="273">
        <f t="shared" si="15"/>
        <v>22.63626</v>
      </c>
      <c r="AB135" s="276">
        <f t="shared" si="16"/>
        <v>68720</v>
      </c>
      <c r="AC135" s="276">
        <f t="shared" si="17"/>
        <v>12350</v>
      </c>
      <c r="AD135" s="276">
        <f t="shared" si="18"/>
        <v>25270</v>
      </c>
    </row>
    <row r="136" ht="13.5" spans="1:30">
      <c r="A136" s="59">
        <f t="shared" si="19"/>
        <v>51</v>
      </c>
      <c r="B136" s="245">
        <v>0.8</v>
      </c>
      <c r="C136" s="252">
        <f t="shared" si="20"/>
        <v>0.5024</v>
      </c>
      <c r="D136" s="247">
        <v>20</v>
      </c>
      <c r="E136" s="238">
        <v>21</v>
      </c>
      <c r="F136" s="248">
        <v>0.855</v>
      </c>
      <c r="G136" s="245">
        <v>0.884</v>
      </c>
      <c r="H136" s="245">
        <v>0.911</v>
      </c>
      <c r="I136" s="251">
        <f t="shared" si="3"/>
        <v>0.034009019083032</v>
      </c>
      <c r="J136" s="251">
        <v>0.03305</v>
      </c>
      <c r="K136" s="251">
        <v>0.035</v>
      </c>
      <c r="L136" s="252">
        <f t="shared" si="4"/>
        <v>4.47136</v>
      </c>
      <c r="M136" s="263">
        <v>13570</v>
      </c>
      <c r="N136" s="264">
        <v>3170</v>
      </c>
      <c r="O136" s="264">
        <v>5000</v>
      </c>
      <c r="Q136" s="273">
        <f t="shared" si="5"/>
        <v>1.8</v>
      </c>
      <c r="R136" s="274">
        <f t="shared" si="6"/>
        <v>2.5434</v>
      </c>
      <c r="S136" s="275">
        <f t="shared" si="7"/>
        <v>13</v>
      </c>
      <c r="T136" s="275">
        <f t="shared" si="8"/>
        <v>15</v>
      </c>
      <c r="U136" s="273">
        <f t="shared" si="9"/>
        <v>1.872</v>
      </c>
      <c r="V136" s="273">
        <f t="shared" si="10"/>
        <v>1.909</v>
      </c>
      <c r="W136" s="273">
        <f t="shared" si="11"/>
        <v>1.944</v>
      </c>
      <c r="X136" s="273">
        <f t="shared" si="12"/>
        <v>0.00671783092998162</v>
      </c>
      <c r="Y136" s="273">
        <f t="shared" si="13"/>
        <v>0.00666397442100058</v>
      </c>
      <c r="Z136" s="273">
        <f t="shared" si="14"/>
        <v>0.00677887053170749</v>
      </c>
      <c r="AA136" s="273">
        <f t="shared" si="15"/>
        <v>22.63626</v>
      </c>
      <c r="AB136" s="276">
        <f t="shared" si="16"/>
        <v>68720</v>
      </c>
      <c r="AC136" s="276">
        <f t="shared" si="17"/>
        <v>12350</v>
      </c>
      <c r="AD136" s="276">
        <f t="shared" si="18"/>
        <v>25270</v>
      </c>
    </row>
    <row r="137" ht="13.5" spans="1:30">
      <c r="A137" s="59">
        <f t="shared" si="19"/>
        <v>52</v>
      </c>
      <c r="B137" s="250">
        <v>0.85</v>
      </c>
      <c r="C137" s="252">
        <f t="shared" si="20"/>
        <v>0.5671625</v>
      </c>
      <c r="D137" s="247" t="s">
        <v>1684</v>
      </c>
      <c r="E137" s="238" t="s">
        <v>1684</v>
      </c>
      <c r="F137" s="248">
        <v>0.909</v>
      </c>
      <c r="G137" s="245">
        <v>0.939</v>
      </c>
      <c r="H137" s="245">
        <v>0.968</v>
      </c>
      <c r="I137" s="251">
        <f t="shared" si="3"/>
        <v>0.0301256362811633</v>
      </c>
      <c r="J137" s="251">
        <v>0.02925</v>
      </c>
      <c r="K137" s="251">
        <v>0.03104</v>
      </c>
      <c r="L137" s="252">
        <f t="shared" si="4"/>
        <v>5.04774625</v>
      </c>
      <c r="M137" s="263">
        <f>M136/2+M138/2</f>
        <v>15375</v>
      </c>
      <c r="N137" s="264">
        <v>3520</v>
      </c>
      <c r="O137" s="264">
        <v>5640</v>
      </c>
      <c r="Q137" s="273">
        <f t="shared" si="5"/>
        <v>1.8</v>
      </c>
      <c r="R137" s="274">
        <f t="shared" si="6"/>
        <v>2.5434</v>
      </c>
      <c r="S137" s="275">
        <f t="shared" si="7"/>
        <v>13</v>
      </c>
      <c r="T137" s="275">
        <f t="shared" si="8"/>
        <v>15</v>
      </c>
      <c r="U137" s="273">
        <f t="shared" si="9"/>
        <v>1.872</v>
      </c>
      <c r="V137" s="273">
        <f t="shared" si="10"/>
        <v>1.909</v>
      </c>
      <c r="W137" s="273">
        <f t="shared" si="11"/>
        <v>1.944</v>
      </c>
      <c r="X137" s="273">
        <f t="shared" si="12"/>
        <v>0.00671783092998162</v>
      </c>
      <c r="Y137" s="273">
        <f t="shared" si="13"/>
        <v>0.00666397442100058</v>
      </c>
      <c r="Z137" s="273">
        <f t="shared" si="14"/>
        <v>0.00677887053170749</v>
      </c>
      <c r="AA137" s="273">
        <f t="shared" si="15"/>
        <v>22.63626</v>
      </c>
      <c r="AB137" s="276">
        <f t="shared" si="16"/>
        <v>68720</v>
      </c>
      <c r="AC137" s="276">
        <f t="shared" si="17"/>
        <v>12350</v>
      </c>
      <c r="AD137" s="276">
        <f t="shared" si="18"/>
        <v>25270</v>
      </c>
    </row>
    <row r="138" ht="13.5" spans="1:30">
      <c r="A138" s="59">
        <f t="shared" si="19"/>
        <v>53</v>
      </c>
      <c r="B138" s="245">
        <v>0.9</v>
      </c>
      <c r="C138" s="252">
        <f t="shared" si="20"/>
        <v>0.63585</v>
      </c>
      <c r="D138" s="247">
        <v>19</v>
      </c>
      <c r="E138" s="238">
        <v>20</v>
      </c>
      <c r="F138" s="248">
        <v>0.959</v>
      </c>
      <c r="G138" s="245">
        <v>0.989</v>
      </c>
      <c r="H138" s="245">
        <v>1.018</v>
      </c>
      <c r="I138" s="251">
        <f t="shared" si="3"/>
        <v>0.0268713237199265</v>
      </c>
      <c r="J138" s="251">
        <v>0.02612</v>
      </c>
      <c r="K138" s="251">
        <v>0.02765</v>
      </c>
      <c r="L138" s="252">
        <f t="shared" si="4"/>
        <v>5.659065</v>
      </c>
      <c r="M138" s="263">
        <v>17180</v>
      </c>
      <c r="N138" s="264">
        <v>3880</v>
      </c>
      <c r="O138" s="264">
        <v>6320</v>
      </c>
      <c r="Q138" s="273">
        <f t="shared" si="5"/>
        <v>1.8</v>
      </c>
      <c r="R138" s="274">
        <f t="shared" si="6"/>
        <v>2.5434</v>
      </c>
      <c r="S138" s="275">
        <f t="shared" si="7"/>
        <v>13</v>
      </c>
      <c r="T138" s="275">
        <f t="shared" si="8"/>
        <v>15</v>
      </c>
      <c r="U138" s="273">
        <f t="shared" si="9"/>
        <v>1.872</v>
      </c>
      <c r="V138" s="273">
        <f t="shared" si="10"/>
        <v>1.909</v>
      </c>
      <c r="W138" s="273">
        <f t="shared" si="11"/>
        <v>1.944</v>
      </c>
      <c r="X138" s="273">
        <f t="shared" si="12"/>
        <v>0.00671783092998162</v>
      </c>
      <c r="Y138" s="273">
        <f t="shared" si="13"/>
        <v>0.00666397442100058</v>
      </c>
      <c r="Z138" s="273">
        <f t="shared" si="14"/>
        <v>0.00677887053170749</v>
      </c>
      <c r="AA138" s="273">
        <f t="shared" si="15"/>
        <v>22.63626</v>
      </c>
      <c r="AB138" s="276">
        <f t="shared" si="16"/>
        <v>68720</v>
      </c>
      <c r="AC138" s="276">
        <f t="shared" si="17"/>
        <v>12350</v>
      </c>
      <c r="AD138" s="276">
        <f t="shared" si="18"/>
        <v>25270</v>
      </c>
    </row>
    <row r="139" ht="13.5" spans="1:30">
      <c r="A139" s="59">
        <f t="shared" si="19"/>
        <v>54</v>
      </c>
      <c r="B139" s="250">
        <v>0.95</v>
      </c>
      <c r="C139" s="252">
        <f t="shared" si="20"/>
        <v>0.7084625</v>
      </c>
      <c r="D139" s="247" t="s">
        <v>1684</v>
      </c>
      <c r="E139" s="238" t="s">
        <v>1684</v>
      </c>
      <c r="F139" s="248">
        <v>1.012</v>
      </c>
      <c r="G139" s="245">
        <v>1.044</v>
      </c>
      <c r="H139" s="245">
        <v>1.074</v>
      </c>
      <c r="I139" s="251">
        <f t="shared" si="3"/>
        <v>0.0241171991281335</v>
      </c>
      <c r="J139" s="251">
        <v>0.02342</v>
      </c>
      <c r="K139" s="251">
        <v>0.02484</v>
      </c>
      <c r="L139" s="252">
        <f t="shared" si="4"/>
        <v>6.30531625</v>
      </c>
      <c r="M139" s="263">
        <v>17180</v>
      </c>
      <c r="N139" s="264">
        <v>3880</v>
      </c>
      <c r="O139" s="264">
        <v>6320</v>
      </c>
      <c r="Q139" s="273">
        <f t="shared" si="5"/>
        <v>1.8</v>
      </c>
      <c r="R139" s="274">
        <f t="shared" si="6"/>
        <v>2.5434</v>
      </c>
      <c r="S139" s="275">
        <f t="shared" si="7"/>
        <v>13</v>
      </c>
      <c r="T139" s="275">
        <f t="shared" si="8"/>
        <v>15</v>
      </c>
      <c r="U139" s="273">
        <f t="shared" si="9"/>
        <v>1.872</v>
      </c>
      <c r="V139" s="273">
        <f t="shared" si="10"/>
        <v>1.909</v>
      </c>
      <c r="W139" s="273">
        <f t="shared" si="11"/>
        <v>1.944</v>
      </c>
      <c r="X139" s="273">
        <f t="shared" si="12"/>
        <v>0.00671783092998162</v>
      </c>
      <c r="Y139" s="273">
        <f t="shared" si="13"/>
        <v>0.00666397442100058</v>
      </c>
      <c r="Z139" s="273">
        <f t="shared" si="14"/>
        <v>0.00677887053170749</v>
      </c>
      <c r="AA139" s="273">
        <f t="shared" si="15"/>
        <v>22.63626</v>
      </c>
      <c r="AB139" s="276">
        <f t="shared" si="16"/>
        <v>68720</v>
      </c>
      <c r="AC139" s="276">
        <f t="shared" si="17"/>
        <v>12350</v>
      </c>
      <c r="AD139" s="276">
        <f t="shared" si="18"/>
        <v>25270</v>
      </c>
    </row>
    <row r="140" ht="13.5" spans="1:30">
      <c r="A140" s="59">
        <f t="shared" si="19"/>
        <v>55</v>
      </c>
      <c r="B140" s="245">
        <v>1</v>
      </c>
      <c r="C140" s="252">
        <f t="shared" si="20"/>
        <v>0.785</v>
      </c>
      <c r="D140" s="247">
        <v>18</v>
      </c>
      <c r="E140" s="238">
        <v>19</v>
      </c>
      <c r="F140" s="248">
        <v>1.062</v>
      </c>
      <c r="G140" s="245">
        <v>1.094</v>
      </c>
      <c r="H140" s="245">
        <v>1.124</v>
      </c>
      <c r="I140" s="251">
        <f t="shared" si="3"/>
        <v>0.0217657722131405</v>
      </c>
      <c r="J140" s="251">
        <v>0.02116</v>
      </c>
      <c r="K140" s="251">
        <v>0.0224</v>
      </c>
      <c r="L140" s="252">
        <f t="shared" si="4"/>
        <v>6.9865</v>
      </c>
      <c r="M140" s="263">
        <v>21210</v>
      </c>
      <c r="N140" s="264">
        <v>4630</v>
      </c>
      <c r="O140" s="264">
        <v>7800</v>
      </c>
      <c r="Q140" s="273">
        <f t="shared" si="5"/>
        <v>1.8</v>
      </c>
      <c r="R140" s="274">
        <f t="shared" si="6"/>
        <v>2.5434</v>
      </c>
      <c r="S140" s="275">
        <f t="shared" si="7"/>
        <v>13</v>
      </c>
      <c r="T140" s="275">
        <f t="shared" si="8"/>
        <v>15</v>
      </c>
      <c r="U140" s="273">
        <f t="shared" si="9"/>
        <v>1.872</v>
      </c>
      <c r="V140" s="273">
        <f t="shared" si="10"/>
        <v>1.909</v>
      </c>
      <c r="W140" s="273">
        <f t="shared" si="11"/>
        <v>1.944</v>
      </c>
      <c r="X140" s="273">
        <f t="shared" si="12"/>
        <v>0.00671783092998162</v>
      </c>
      <c r="Y140" s="273">
        <f t="shared" si="13"/>
        <v>0.00666397442100058</v>
      </c>
      <c r="Z140" s="273">
        <f t="shared" si="14"/>
        <v>0.00677887053170749</v>
      </c>
      <c r="AA140" s="273">
        <f t="shared" si="15"/>
        <v>22.63626</v>
      </c>
      <c r="AB140" s="276">
        <f t="shared" si="16"/>
        <v>68720</v>
      </c>
      <c r="AC140" s="276">
        <f t="shared" si="17"/>
        <v>12350</v>
      </c>
      <c r="AD140" s="276">
        <f t="shared" si="18"/>
        <v>25270</v>
      </c>
    </row>
    <row r="141" ht="13.5" spans="1:30">
      <c r="A141" s="59">
        <f t="shared" si="19"/>
        <v>56</v>
      </c>
      <c r="B141" s="250">
        <v>1.06</v>
      </c>
      <c r="C141" s="252">
        <f t="shared" si="20"/>
        <v>0.882026</v>
      </c>
      <c r="D141" s="247" t="s">
        <v>1684</v>
      </c>
      <c r="E141" s="238" t="s">
        <v>1684</v>
      </c>
      <c r="F141" s="248">
        <v>1.124</v>
      </c>
      <c r="G141" s="245">
        <v>1.157</v>
      </c>
      <c r="H141" s="245">
        <v>1.188</v>
      </c>
      <c r="I141" s="251">
        <f t="shared" si="3"/>
        <v>0.0193714597838559</v>
      </c>
      <c r="J141" s="279">
        <f t="shared" ref="J141:J169" si="21">1/59/C141</f>
        <v>0.0192161597757582</v>
      </c>
      <c r="K141" s="279">
        <f t="shared" ref="K141:K169" si="22">1/58/C141</f>
        <v>0.0195474728753402</v>
      </c>
      <c r="L141" s="252">
        <f t="shared" si="4"/>
        <v>7.8500314</v>
      </c>
      <c r="M141" s="263">
        <v>21210</v>
      </c>
      <c r="N141" s="264">
        <v>4630</v>
      </c>
      <c r="O141" s="264">
        <v>7800</v>
      </c>
      <c r="Q141" s="273">
        <f t="shared" si="5"/>
        <v>1.8</v>
      </c>
      <c r="R141" s="274">
        <f t="shared" si="6"/>
        <v>2.5434</v>
      </c>
      <c r="S141" s="275">
        <f t="shared" si="7"/>
        <v>13</v>
      </c>
      <c r="T141" s="275">
        <f t="shared" si="8"/>
        <v>15</v>
      </c>
      <c r="U141" s="273">
        <f t="shared" si="9"/>
        <v>1.872</v>
      </c>
      <c r="V141" s="273">
        <f t="shared" si="10"/>
        <v>1.909</v>
      </c>
      <c r="W141" s="273">
        <f t="shared" si="11"/>
        <v>1.944</v>
      </c>
      <c r="X141" s="273">
        <f t="shared" si="12"/>
        <v>0.00671783092998162</v>
      </c>
      <c r="Y141" s="273">
        <f t="shared" si="13"/>
        <v>0.00666397442100058</v>
      </c>
      <c r="Z141" s="273">
        <f t="shared" si="14"/>
        <v>0.00677887053170749</v>
      </c>
      <c r="AA141" s="273">
        <f t="shared" si="15"/>
        <v>22.63626</v>
      </c>
      <c r="AB141" s="276">
        <f t="shared" si="16"/>
        <v>68720</v>
      </c>
      <c r="AC141" s="276">
        <f t="shared" si="17"/>
        <v>12350</v>
      </c>
      <c r="AD141" s="276">
        <f t="shared" si="18"/>
        <v>25270</v>
      </c>
    </row>
    <row r="142" ht="13.5" spans="1:30">
      <c r="A142" s="59">
        <f t="shared" si="19"/>
        <v>57</v>
      </c>
      <c r="B142" s="245">
        <v>1.12</v>
      </c>
      <c r="C142" s="252">
        <f t="shared" si="20"/>
        <v>0.984704</v>
      </c>
      <c r="D142" s="247">
        <v>17</v>
      </c>
      <c r="E142" s="238">
        <v>18</v>
      </c>
      <c r="F142" s="248">
        <v>1.184</v>
      </c>
      <c r="G142" s="245">
        <v>1.217</v>
      </c>
      <c r="H142" s="245">
        <v>1.248</v>
      </c>
      <c r="I142" s="251">
        <f t="shared" si="3"/>
        <v>0.0173515403484857</v>
      </c>
      <c r="J142" s="279">
        <f t="shared" si="21"/>
        <v>0.0172124339317936</v>
      </c>
      <c r="K142" s="279">
        <f t="shared" si="22"/>
        <v>0.0175092000340659</v>
      </c>
      <c r="L142" s="252">
        <f t="shared" si="4"/>
        <v>8.7638656</v>
      </c>
      <c r="M142" s="263">
        <v>25660</v>
      </c>
      <c r="N142" s="264">
        <v>5440</v>
      </c>
      <c r="O142" s="264">
        <v>9440</v>
      </c>
      <c r="Q142" s="273">
        <f t="shared" si="5"/>
        <v>1.8</v>
      </c>
      <c r="R142" s="274">
        <f t="shared" si="6"/>
        <v>2.5434</v>
      </c>
      <c r="S142" s="275">
        <f t="shared" si="7"/>
        <v>13</v>
      </c>
      <c r="T142" s="275">
        <f t="shared" si="8"/>
        <v>15</v>
      </c>
      <c r="U142" s="273">
        <f t="shared" si="9"/>
        <v>1.872</v>
      </c>
      <c r="V142" s="273">
        <f t="shared" si="10"/>
        <v>1.909</v>
      </c>
      <c r="W142" s="273">
        <f t="shared" si="11"/>
        <v>1.944</v>
      </c>
      <c r="X142" s="273">
        <f t="shared" si="12"/>
        <v>0.00671783092998162</v>
      </c>
      <c r="Y142" s="273">
        <f t="shared" si="13"/>
        <v>0.00666397442100058</v>
      </c>
      <c r="Z142" s="273">
        <f t="shared" si="14"/>
        <v>0.00677887053170749</v>
      </c>
      <c r="AA142" s="273">
        <f t="shared" si="15"/>
        <v>22.63626</v>
      </c>
      <c r="AB142" s="276">
        <f t="shared" si="16"/>
        <v>68720</v>
      </c>
      <c r="AC142" s="276">
        <f t="shared" si="17"/>
        <v>12350</v>
      </c>
      <c r="AD142" s="276">
        <f t="shared" si="18"/>
        <v>25270</v>
      </c>
    </row>
    <row r="143" ht="13.5" spans="1:30">
      <c r="A143" s="59">
        <f t="shared" si="19"/>
        <v>58</v>
      </c>
      <c r="B143" s="250">
        <v>1.18</v>
      </c>
      <c r="C143" s="245">
        <f t="shared" si="20"/>
        <v>1.093034</v>
      </c>
      <c r="D143" s="247" t="s">
        <v>1684</v>
      </c>
      <c r="E143" s="238" t="s">
        <v>1684</v>
      </c>
      <c r="F143" s="248">
        <v>1.246</v>
      </c>
      <c r="G143" s="245">
        <v>1.279</v>
      </c>
      <c r="H143" s="245">
        <v>1.311</v>
      </c>
      <c r="I143" s="251">
        <f t="shared" si="3"/>
        <v>0.0156318387052143</v>
      </c>
      <c r="J143" s="279">
        <f t="shared" si="21"/>
        <v>0.0155065190491539</v>
      </c>
      <c r="K143" s="279">
        <f t="shared" si="22"/>
        <v>0.0157738728258634</v>
      </c>
      <c r="L143" s="252">
        <f t="shared" si="4"/>
        <v>9.7280026</v>
      </c>
      <c r="M143" s="263">
        <v>25660</v>
      </c>
      <c r="N143" s="264">
        <v>5440</v>
      </c>
      <c r="O143" s="264">
        <v>9440</v>
      </c>
      <c r="Q143" s="273">
        <f t="shared" si="5"/>
        <v>1.8</v>
      </c>
      <c r="R143" s="274">
        <f t="shared" si="6"/>
        <v>2.5434</v>
      </c>
      <c r="S143" s="275">
        <f t="shared" si="7"/>
        <v>13</v>
      </c>
      <c r="T143" s="275">
        <f t="shared" si="8"/>
        <v>15</v>
      </c>
      <c r="U143" s="273">
        <f t="shared" si="9"/>
        <v>1.872</v>
      </c>
      <c r="V143" s="273">
        <f t="shared" si="10"/>
        <v>1.909</v>
      </c>
      <c r="W143" s="273">
        <f t="shared" si="11"/>
        <v>1.944</v>
      </c>
      <c r="X143" s="273">
        <f t="shared" si="12"/>
        <v>0.00671783092998162</v>
      </c>
      <c r="Y143" s="273">
        <f t="shared" si="13"/>
        <v>0.00666397442100058</v>
      </c>
      <c r="Z143" s="273">
        <f t="shared" si="14"/>
        <v>0.00677887053170749</v>
      </c>
      <c r="AA143" s="273">
        <f t="shared" si="15"/>
        <v>22.63626</v>
      </c>
      <c r="AB143" s="276">
        <f t="shared" si="16"/>
        <v>68720</v>
      </c>
      <c r="AC143" s="276">
        <f t="shared" si="17"/>
        <v>12350</v>
      </c>
      <c r="AD143" s="276">
        <f t="shared" si="18"/>
        <v>25270</v>
      </c>
    </row>
    <row r="144" ht="13.5" spans="1:30">
      <c r="A144" s="59">
        <f t="shared" si="19"/>
        <v>59</v>
      </c>
      <c r="B144" s="245">
        <v>1.25</v>
      </c>
      <c r="C144" s="245">
        <f t="shared" si="20"/>
        <v>1.2265625</v>
      </c>
      <c r="D144" s="247">
        <v>16</v>
      </c>
      <c r="E144" s="238" t="s">
        <v>1684</v>
      </c>
      <c r="F144" s="248">
        <v>1.316</v>
      </c>
      <c r="G144" s="245">
        <v>1.349</v>
      </c>
      <c r="H144" s="245">
        <v>1.381</v>
      </c>
      <c r="I144" s="251">
        <f t="shared" si="3"/>
        <v>0.0139300942164099</v>
      </c>
      <c r="J144" s="279">
        <f t="shared" si="21"/>
        <v>0.0138184173593868</v>
      </c>
      <c r="K144" s="279">
        <f t="shared" si="22"/>
        <v>0.0140566659345486</v>
      </c>
      <c r="L144" s="245">
        <f t="shared" si="4"/>
        <v>10.91640625</v>
      </c>
      <c r="M144" s="263">
        <v>30540</v>
      </c>
      <c r="N144" s="264">
        <v>6340</v>
      </c>
      <c r="O144" s="264">
        <v>11230</v>
      </c>
      <c r="Q144" s="273">
        <f t="shared" si="5"/>
        <v>1.8</v>
      </c>
      <c r="R144" s="274">
        <f t="shared" si="6"/>
        <v>2.5434</v>
      </c>
      <c r="S144" s="275">
        <f t="shared" si="7"/>
        <v>13</v>
      </c>
      <c r="T144" s="275">
        <f t="shared" si="8"/>
        <v>15</v>
      </c>
      <c r="U144" s="273">
        <f t="shared" si="9"/>
        <v>1.872</v>
      </c>
      <c r="V144" s="273">
        <f t="shared" si="10"/>
        <v>1.909</v>
      </c>
      <c r="W144" s="273">
        <f t="shared" si="11"/>
        <v>1.944</v>
      </c>
      <c r="X144" s="273">
        <f t="shared" si="12"/>
        <v>0.00671783092998162</v>
      </c>
      <c r="Y144" s="273">
        <f t="shared" si="13"/>
        <v>0.00666397442100058</v>
      </c>
      <c r="Z144" s="273">
        <f t="shared" si="14"/>
        <v>0.00677887053170749</v>
      </c>
      <c r="AA144" s="273">
        <f t="shared" si="15"/>
        <v>22.63626</v>
      </c>
      <c r="AB144" s="276">
        <f t="shared" si="16"/>
        <v>68720</v>
      </c>
      <c r="AC144" s="276">
        <f t="shared" si="17"/>
        <v>12350</v>
      </c>
      <c r="AD144" s="276">
        <f t="shared" si="18"/>
        <v>25270</v>
      </c>
    </row>
    <row r="145" ht="13.5" spans="1:30">
      <c r="A145" s="59">
        <f t="shared" si="19"/>
        <v>60</v>
      </c>
      <c r="B145" s="250">
        <v>1.32</v>
      </c>
      <c r="C145" s="245">
        <f t="shared" si="20"/>
        <v>1.367784</v>
      </c>
      <c r="D145" s="247" t="s">
        <v>1684</v>
      </c>
      <c r="E145" s="238" t="s">
        <v>1684</v>
      </c>
      <c r="F145" s="248">
        <v>1.388</v>
      </c>
      <c r="G145" s="245">
        <v>1.422</v>
      </c>
      <c r="H145" s="245">
        <v>1.455</v>
      </c>
      <c r="I145" s="251">
        <f t="shared" si="3"/>
        <v>0.0124918343739328</v>
      </c>
      <c r="J145" s="279">
        <f t="shared" si="21"/>
        <v>0.012391687972935</v>
      </c>
      <c r="K145" s="279">
        <f t="shared" si="22"/>
        <v>0.0126053377655718</v>
      </c>
      <c r="L145" s="245">
        <f t="shared" si="4"/>
        <v>12.1732776</v>
      </c>
      <c r="M145" s="263">
        <v>35830</v>
      </c>
      <c r="N145" s="264">
        <v>7810</v>
      </c>
      <c r="O145" s="264">
        <v>13180</v>
      </c>
      <c r="Q145" s="273">
        <f t="shared" si="5"/>
        <v>1.8</v>
      </c>
      <c r="R145" s="274">
        <f t="shared" si="6"/>
        <v>2.5434</v>
      </c>
      <c r="S145" s="275">
        <f t="shared" si="7"/>
        <v>13</v>
      </c>
      <c r="T145" s="275">
        <f t="shared" si="8"/>
        <v>15</v>
      </c>
      <c r="U145" s="273">
        <f t="shared" si="9"/>
        <v>1.872</v>
      </c>
      <c r="V145" s="273">
        <f t="shared" si="10"/>
        <v>1.909</v>
      </c>
      <c r="W145" s="273">
        <f t="shared" si="11"/>
        <v>1.944</v>
      </c>
      <c r="X145" s="273">
        <f t="shared" si="12"/>
        <v>0.00671783092998162</v>
      </c>
      <c r="Y145" s="273">
        <f t="shared" si="13"/>
        <v>0.00666397442100058</v>
      </c>
      <c r="Z145" s="273">
        <f t="shared" si="14"/>
        <v>0.00677887053170749</v>
      </c>
      <c r="AA145" s="273">
        <f t="shared" si="15"/>
        <v>22.63626</v>
      </c>
      <c r="AB145" s="276">
        <f t="shared" si="16"/>
        <v>68720</v>
      </c>
      <c r="AC145" s="276">
        <f t="shared" si="17"/>
        <v>12350</v>
      </c>
      <c r="AD145" s="276">
        <f t="shared" si="18"/>
        <v>25270</v>
      </c>
    </row>
    <row r="146" ht="13.5" spans="1:30">
      <c r="A146" s="59">
        <f t="shared" si="19"/>
        <v>61</v>
      </c>
      <c r="B146" s="245">
        <v>1.4</v>
      </c>
      <c r="C146" s="245">
        <f t="shared" si="20"/>
        <v>1.5386</v>
      </c>
      <c r="D146" s="247">
        <v>15</v>
      </c>
      <c r="E146" s="238">
        <v>17</v>
      </c>
      <c r="F146" s="248">
        <v>1.468</v>
      </c>
      <c r="G146" s="245">
        <v>1.502</v>
      </c>
      <c r="H146" s="245">
        <v>1.535</v>
      </c>
      <c r="I146" s="251">
        <f t="shared" si="3"/>
        <v>0.0111049858230308</v>
      </c>
      <c r="J146" s="279">
        <f t="shared" si="21"/>
        <v>0.0110159577163479</v>
      </c>
      <c r="K146" s="279">
        <f t="shared" si="22"/>
        <v>0.0112058880218022</v>
      </c>
      <c r="L146" s="245">
        <f t="shared" si="4"/>
        <v>13.69354</v>
      </c>
      <c r="M146" s="263">
        <v>41550</v>
      </c>
      <c r="N146" s="264">
        <v>8220</v>
      </c>
      <c r="O146" s="264">
        <v>15200</v>
      </c>
      <c r="Q146" s="273">
        <f t="shared" si="5"/>
        <v>1.8</v>
      </c>
      <c r="R146" s="274">
        <f t="shared" si="6"/>
        <v>2.5434</v>
      </c>
      <c r="S146" s="275">
        <f t="shared" si="7"/>
        <v>13</v>
      </c>
      <c r="T146" s="275">
        <f t="shared" si="8"/>
        <v>15</v>
      </c>
      <c r="U146" s="273">
        <f t="shared" si="9"/>
        <v>1.872</v>
      </c>
      <c r="V146" s="273">
        <f t="shared" si="10"/>
        <v>1.909</v>
      </c>
      <c r="W146" s="273">
        <f t="shared" si="11"/>
        <v>1.944</v>
      </c>
      <c r="X146" s="273">
        <f t="shared" si="12"/>
        <v>0.00671783092998162</v>
      </c>
      <c r="Y146" s="273">
        <f t="shared" si="13"/>
        <v>0.00666397442100058</v>
      </c>
      <c r="Z146" s="273">
        <f t="shared" si="14"/>
        <v>0.00677887053170749</v>
      </c>
      <c r="AA146" s="273">
        <f t="shared" si="15"/>
        <v>22.63626</v>
      </c>
      <c r="AB146" s="276">
        <f t="shared" si="16"/>
        <v>68720</v>
      </c>
      <c r="AC146" s="276">
        <f t="shared" si="17"/>
        <v>12350</v>
      </c>
      <c r="AD146" s="276">
        <f t="shared" si="18"/>
        <v>25270</v>
      </c>
    </row>
    <row r="147" ht="13.5" spans="1:30">
      <c r="A147" s="59">
        <f t="shared" si="19"/>
        <v>62</v>
      </c>
      <c r="B147" s="250">
        <v>1.5</v>
      </c>
      <c r="C147" s="245">
        <f t="shared" si="20"/>
        <v>1.76625</v>
      </c>
      <c r="D147" s="247" t="s">
        <v>1684</v>
      </c>
      <c r="E147" s="238" t="s">
        <v>1684</v>
      </c>
      <c r="F147" s="248">
        <v>1.57</v>
      </c>
      <c r="G147" s="245">
        <v>1.606</v>
      </c>
      <c r="H147" s="245">
        <v>1.64</v>
      </c>
      <c r="I147" s="249">
        <f t="shared" si="3"/>
        <v>0.00967367653917353</v>
      </c>
      <c r="J147" s="279">
        <f t="shared" si="21"/>
        <v>0.00959612316624084</v>
      </c>
      <c r="K147" s="279">
        <f t="shared" si="22"/>
        <v>0.00976157356565878</v>
      </c>
      <c r="L147" s="245">
        <f t="shared" si="4"/>
        <v>15.719625</v>
      </c>
      <c r="M147" s="263">
        <v>47710</v>
      </c>
      <c r="N147" s="264">
        <v>9200</v>
      </c>
      <c r="O147" s="264">
        <v>17550</v>
      </c>
      <c r="Q147" s="273">
        <f t="shared" si="5"/>
        <v>1.8</v>
      </c>
      <c r="R147" s="274">
        <f t="shared" si="6"/>
        <v>2.5434</v>
      </c>
      <c r="S147" s="275">
        <f t="shared" si="7"/>
        <v>13</v>
      </c>
      <c r="T147" s="275">
        <f t="shared" si="8"/>
        <v>15</v>
      </c>
      <c r="U147" s="273">
        <f t="shared" si="9"/>
        <v>1.872</v>
      </c>
      <c r="V147" s="273">
        <f t="shared" si="10"/>
        <v>1.909</v>
      </c>
      <c r="W147" s="273">
        <f t="shared" si="11"/>
        <v>1.944</v>
      </c>
      <c r="X147" s="273">
        <f t="shared" si="12"/>
        <v>0.00671783092998162</v>
      </c>
      <c r="Y147" s="273">
        <f t="shared" si="13"/>
        <v>0.00666397442100058</v>
      </c>
      <c r="Z147" s="273">
        <f t="shared" si="14"/>
        <v>0.00677887053170749</v>
      </c>
      <c r="AA147" s="273">
        <f t="shared" si="15"/>
        <v>22.63626</v>
      </c>
      <c r="AB147" s="276">
        <f t="shared" si="16"/>
        <v>68720</v>
      </c>
      <c r="AC147" s="276">
        <f t="shared" si="17"/>
        <v>12350</v>
      </c>
      <c r="AD147" s="276">
        <f t="shared" si="18"/>
        <v>25270</v>
      </c>
    </row>
    <row r="148" ht="13.5" spans="1:30">
      <c r="A148" s="59">
        <f t="shared" si="19"/>
        <v>63</v>
      </c>
      <c r="B148" s="245">
        <v>1.6</v>
      </c>
      <c r="C148" s="245">
        <f t="shared" si="20"/>
        <v>2.0096</v>
      </c>
      <c r="D148" s="247">
        <v>14</v>
      </c>
      <c r="E148" s="238">
        <v>16</v>
      </c>
      <c r="F148" s="248">
        <v>1.67</v>
      </c>
      <c r="G148" s="245">
        <v>1.706</v>
      </c>
      <c r="H148" s="245">
        <v>1.74</v>
      </c>
      <c r="I148" s="249">
        <f t="shared" si="3"/>
        <v>0.00850225477075799</v>
      </c>
      <c r="J148" s="279">
        <f t="shared" si="21"/>
        <v>0.00843409262657886</v>
      </c>
      <c r="K148" s="279">
        <f t="shared" si="22"/>
        <v>0.00857950801669229</v>
      </c>
      <c r="L148" s="245">
        <f t="shared" si="4"/>
        <v>17.88544</v>
      </c>
      <c r="M148" s="263">
        <v>54300</v>
      </c>
      <c r="N148" s="264">
        <v>10700</v>
      </c>
      <c r="O148" s="264">
        <v>19970</v>
      </c>
      <c r="Q148" s="273">
        <f t="shared" si="5"/>
        <v>1.8</v>
      </c>
      <c r="R148" s="274">
        <f t="shared" si="6"/>
        <v>2.5434</v>
      </c>
      <c r="S148" s="275">
        <f t="shared" si="7"/>
        <v>13</v>
      </c>
      <c r="T148" s="275">
        <f t="shared" si="8"/>
        <v>15</v>
      </c>
      <c r="U148" s="273">
        <f t="shared" si="9"/>
        <v>1.872</v>
      </c>
      <c r="V148" s="273">
        <f t="shared" si="10"/>
        <v>1.909</v>
      </c>
      <c r="W148" s="273">
        <f t="shared" si="11"/>
        <v>1.944</v>
      </c>
      <c r="X148" s="273">
        <f t="shared" si="12"/>
        <v>0.00671783092998162</v>
      </c>
      <c r="Y148" s="273">
        <f t="shared" si="13"/>
        <v>0.00666397442100058</v>
      </c>
      <c r="Z148" s="273">
        <f t="shared" si="14"/>
        <v>0.00677887053170749</v>
      </c>
      <c r="AA148" s="273">
        <f t="shared" si="15"/>
        <v>22.63626</v>
      </c>
      <c r="AB148" s="276">
        <f t="shared" si="16"/>
        <v>68720</v>
      </c>
      <c r="AC148" s="276">
        <f t="shared" si="17"/>
        <v>12350</v>
      </c>
      <c r="AD148" s="276">
        <f t="shared" si="18"/>
        <v>25270</v>
      </c>
    </row>
    <row r="149" ht="13.5" spans="1:30">
      <c r="A149" s="59">
        <f t="shared" si="19"/>
        <v>64</v>
      </c>
      <c r="B149" s="250">
        <v>1.7</v>
      </c>
      <c r="C149" s="245">
        <f t="shared" si="20"/>
        <v>2.26865</v>
      </c>
      <c r="D149" s="247" t="s">
        <v>1684</v>
      </c>
      <c r="E149" s="238" t="s">
        <v>1684</v>
      </c>
      <c r="F149" s="248">
        <v>1.772</v>
      </c>
      <c r="G149" s="245">
        <v>1.809</v>
      </c>
      <c r="H149" s="245">
        <v>1.844</v>
      </c>
      <c r="I149" s="249">
        <f t="shared" si="3"/>
        <v>0.00753140907029081</v>
      </c>
      <c r="J149" s="279">
        <f t="shared" si="21"/>
        <v>0.0074710301467273</v>
      </c>
      <c r="K149" s="279">
        <f t="shared" si="22"/>
        <v>0.00759984101132604</v>
      </c>
      <c r="L149" s="245">
        <f t="shared" si="4"/>
        <v>20.190985</v>
      </c>
      <c r="M149" s="263">
        <v>61290</v>
      </c>
      <c r="N149" s="264">
        <v>11200</v>
      </c>
      <c r="O149" s="264">
        <v>22630</v>
      </c>
      <c r="Q149" s="273">
        <f t="shared" si="5"/>
        <v>1.8</v>
      </c>
      <c r="R149" s="274">
        <f t="shared" si="6"/>
        <v>2.5434</v>
      </c>
      <c r="S149" s="275">
        <f t="shared" si="7"/>
        <v>13</v>
      </c>
      <c r="T149" s="275">
        <f t="shared" si="8"/>
        <v>15</v>
      </c>
      <c r="U149" s="273">
        <f t="shared" si="9"/>
        <v>1.872</v>
      </c>
      <c r="V149" s="273">
        <f t="shared" si="10"/>
        <v>1.909</v>
      </c>
      <c r="W149" s="273">
        <f t="shared" si="11"/>
        <v>1.944</v>
      </c>
      <c r="X149" s="273">
        <f t="shared" si="12"/>
        <v>0.00671783092998162</v>
      </c>
      <c r="Y149" s="273">
        <f t="shared" si="13"/>
        <v>0.00666397442100058</v>
      </c>
      <c r="Z149" s="273">
        <f t="shared" si="14"/>
        <v>0.00677887053170749</v>
      </c>
      <c r="AA149" s="273">
        <f t="shared" si="15"/>
        <v>22.63626</v>
      </c>
      <c r="AB149" s="276">
        <f t="shared" si="16"/>
        <v>68720</v>
      </c>
      <c r="AC149" s="276">
        <f t="shared" si="17"/>
        <v>12350</v>
      </c>
      <c r="AD149" s="276">
        <f t="shared" si="18"/>
        <v>25270</v>
      </c>
    </row>
    <row r="150" ht="13.5" spans="1:30">
      <c r="A150" s="59">
        <f t="shared" si="19"/>
        <v>65</v>
      </c>
      <c r="B150" s="245">
        <v>1.8</v>
      </c>
      <c r="C150" s="245">
        <f t="shared" si="20"/>
        <v>2.5434</v>
      </c>
      <c r="D150" s="247">
        <v>13</v>
      </c>
      <c r="E150" s="238">
        <v>15</v>
      </c>
      <c r="F150" s="248">
        <v>1.872</v>
      </c>
      <c r="G150" s="245">
        <v>1.909</v>
      </c>
      <c r="H150" s="245">
        <v>1.944</v>
      </c>
      <c r="I150" s="249">
        <f t="shared" ref="I150:I169" si="23">1/58.527/C150</f>
        <v>0.00671783092998162</v>
      </c>
      <c r="J150" s="279">
        <f t="shared" si="21"/>
        <v>0.00666397442100058</v>
      </c>
      <c r="K150" s="279">
        <f t="shared" si="22"/>
        <v>0.00677887053170749</v>
      </c>
      <c r="L150" s="245">
        <f t="shared" ref="L150:L169" si="24">C150/100*100000*8.9/1000</f>
        <v>22.63626</v>
      </c>
      <c r="M150" s="263">
        <v>68720</v>
      </c>
      <c r="N150" s="264">
        <v>12350</v>
      </c>
      <c r="O150" s="264">
        <v>25270</v>
      </c>
      <c r="Q150" s="273">
        <f t="shared" ref="Q150:Q201" si="25">IF($B$7=B150,B150,Q151)</f>
        <v>1.8</v>
      </c>
      <c r="R150" s="274">
        <f t="shared" ref="R150:R201" si="26">IF(Q150=B150,C150,R151)</f>
        <v>2.5434</v>
      </c>
      <c r="S150" s="275">
        <f t="shared" ref="S150:S201" si="27">IF(Q150=B150,D150,S151)</f>
        <v>13</v>
      </c>
      <c r="T150" s="275">
        <f t="shared" ref="T150:T201" si="28">IF(Q150=B150,E150,T151)</f>
        <v>15</v>
      </c>
      <c r="U150" s="273">
        <f t="shared" ref="U150:U201" si="29">IF(Q150=B150,F150,U151)</f>
        <v>1.872</v>
      </c>
      <c r="V150" s="273">
        <f t="shared" ref="V150:V201" si="30">IF(Q150=B150,G150,V151)</f>
        <v>1.909</v>
      </c>
      <c r="W150" s="273">
        <f t="shared" ref="W150:W201" si="31">IF(Q150=B150,H150,W151)</f>
        <v>1.944</v>
      </c>
      <c r="X150" s="273">
        <f t="shared" ref="X150:X201" si="32">IF(Q150=B150,I150,X151)</f>
        <v>0.00671783092998162</v>
      </c>
      <c r="Y150" s="273">
        <f t="shared" ref="Y150:Y201" si="33">IF(Q150=B150,J150,Y151)</f>
        <v>0.00666397442100058</v>
      </c>
      <c r="Z150" s="273">
        <f t="shared" ref="Z150:Z201" si="34">IF(Q150=B150,K150,Z151)</f>
        <v>0.00677887053170749</v>
      </c>
      <c r="AA150" s="273">
        <f t="shared" ref="AA150:AA201" si="35">IF(Q150=B150,L150,AA151)</f>
        <v>22.63626</v>
      </c>
      <c r="AB150" s="276">
        <f t="shared" ref="AB150:AB201" si="36">IF(Q150=B150,M150,AB151)</f>
        <v>68720</v>
      </c>
      <c r="AC150" s="276">
        <f t="shared" ref="AC150:AC201" si="37">IF(Q150=B150,N150,AC151)</f>
        <v>12350</v>
      </c>
      <c r="AD150" s="276">
        <f t="shared" ref="AD150:AD201" si="38">IF(Q150=B150,O150,AD151)</f>
        <v>25270</v>
      </c>
    </row>
    <row r="151" ht="13.5" spans="1:30">
      <c r="A151" s="59">
        <f t="shared" ref="A151:A201" si="39">A150+1</f>
        <v>66</v>
      </c>
      <c r="B151" s="250">
        <v>1.9</v>
      </c>
      <c r="C151" s="245">
        <f t="shared" si="20"/>
        <v>2.83385</v>
      </c>
      <c r="D151" s="247" t="s">
        <v>1684</v>
      </c>
      <c r="E151" s="238" t="s">
        <v>1684</v>
      </c>
      <c r="F151" s="248">
        <v>1.974</v>
      </c>
      <c r="G151" s="245">
        <v>2.012</v>
      </c>
      <c r="H151" s="245">
        <v>2.048</v>
      </c>
      <c r="I151" s="249">
        <f t="shared" si="23"/>
        <v>0.00602929978203337</v>
      </c>
      <c r="J151" s="279">
        <f t="shared" si="21"/>
        <v>0.00598096319225537</v>
      </c>
      <c r="K151" s="279">
        <f t="shared" si="22"/>
        <v>0.00608408324729426</v>
      </c>
      <c r="L151" s="245">
        <f t="shared" si="24"/>
        <v>25.221265</v>
      </c>
      <c r="M151" s="263">
        <v>68720</v>
      </c>
      <c r="N151" s="264">
        <v>12350</v>
      </c>
      <c r="O151" s="264">
        <v>25270</v>
      </c>
      <c r="Q151" s="273">
        <f t="shared" si="25"/>
        <v>0</v>
      </c>
      <c r="R151" s="274">
        <f t="shared" si="26"/>
        <v>0</v>
      </c>
      <c r="S151" s="275">
        <f t="shared" si="27"/>
        <v>0</v>
      </c>
      <c r="T151" s="275">
        <f t="shared" si="28"/>
        <v>0</v>
      </c>
      <c r="U151" s="273">
        <f t="shared" si="29"/>
        <v>0</v>
      </c>
      <c r="V151" s="273">
        <f t="shared" si="30"/>
        <v>0</v>
      </c>
      <c r="W151" s="273">
        <f t="shared" si="31"/>
        <v>0</v>
      </c>
      <c r="X151" s="273">
        <f t="shared" si="32"/>
        <v>0</v>
      </c>
      <c r="Y151" s="273">
        <f t="shared" si="33"/>
        <v>0</v>
      </c>
      <c r="Z151" s="273">
        <f t="shared" si="34"/>
        <v>0</v>
      </c>
      <c r="AA151" s="273">
        <f t="shared" si="35"/>
        <v>0</v>
      </c>
      <c r="AB151" s="276">
        <f t="shared" si="36"/>
        <v>0</v>
      </c>
      <c r="AC151" s="276">
        <f t="shared" si="37"/>
        <v>0</v>
      </c>
      <c r="AD151" s="276">
        <f t="shared" si="38"/>
        <v>0</v>
      </c>
    </row>
    <row r="152" ht="13.5" spans="1:30">
      <c r="A152" s="59">
        <f t="shared" si="39"/>
        <v>67</v>
      </c>
      <c r="B152" s="245">
        <v>2</v>
      </c>
      <c r="C152" s="245">
        <f t="shared" si="20"/>
        <v>3.14</v>
      </c>
      <c r="D152" s="247">
        <v>12</v>
      </c>
      <c r="E152" s="238">
        <v>14</v>
      </c>
      <c r="F152" s="248">
        <v>2.074</v>
      </c>
      <c r="G152" s="245">
        <v>2.112</v>
      </c>
      <c r="H152" s="245">
        <v>2.148</v>
      </c>
      <c r="I152" s="249">
        <f t="shared" si="23"/>
        <v>0.00544144305328511</v>
      </c>
      <c r="J152" s="279">
        <f t="shared" si="21"/>
        <v>0.00539781928101047</v>
      </c>
      <c r="K152" s="279">
        <f t="shared" si="22"/>
        <v>0.00549088513068307</v>
      </c>
      <c r="L152" s="245">
        <f t="shared" si="24"/>
        <v>27.946</v>
      </c>
      <c r="M152" s="263">
        <v>81890</v>
      </c>
      <c r="N152" s="264">
        <v>14750</v>
      </c>
      <c r="O152" s="264">
        <v>31200</v>
      </c>
      <c r="Q152" s="273">
        <f t="shared" si="25"/>
        <v>0</v>
      </c>
      <c r="R152" s="274">
        <f t="shared" si="26"/>
        <v>0</v>
      </c>
      <c r="S152" s="275">
        <f t="shared" si="27"/>
        <v>0</v>
      </c>
      <c r="T152" s="275">
        <f t="shared" si="28"/>
        <v>0</v>
      </c>
      <c r="U152" s="273">
        <f t="shared" si="29"/>
        <v>0</v>
      </c>
      <c r="V152" s="273">
        <f t="shared" si="30"/>
        <v>0</v>
      </c>
      <c r="W152" s="273">
        <f t="shared" si="31"/>
        <v>0</v>
      </c>
      <c r="X152" s="273">
        <f t="shared" si="32"/>
        <v>0</v>
      </c>
      <c r="Y152" s="273">
        <f t="shared" si="33"/>
        <v>0</v>
      </c>
      <c r="Z152" s="273">
        <f t="shared" si="34"/>
        <v>0</v>
      </c>
      <c r="AA152" s="273">
        <f t="shared" si="35"/>
        <v>0</v>
      </c>
      <c r="AB152" s="276">
        <f t="shared" si="36"/>
        <v>0</v>
      </c>
      <c r="AC152" s="276">
        <f t="shared" si="37"/>
        <v>0</v>
      </c>
      <c r="AD152" s="276">
        <f t="shared" si="38"/>
        <v>0</v>
      </c>
    </row>
    <row r="153" ht="13.5" spans="1:30">
      <c r="A153" s="59">
        <f t="shared" si="39"/>
        <v>68</v>
      </c>
      <c r="B153" s="250">
        <v>2.12</v>
      </c>
      <c r="C153" s="245">
        <f t="shared" si="20"/>
        <v>3.528104</v>
      </c>
      <c r="D153" s="247" t="s">
        <v>1684</v>
      </c>
      <c r="E153" s="238" t="s">
        <v>1684</v>
      </c>
      <c r="F153" s="248">
        <v>2.196</v>
      </c>
      <c r="G153" s="245">
        <v>2.235</v>
      </c>
      <c r="H153" s="245">
        <v>2.272</v>
      </c>
      <c r="I153" s="249">
        <f t="shared" si="23"/>
        <v>0.00484286494596397</v>
      </c>
      <c r="J153" s="279">
        <f t="shared" si="21"/>
        <v>0.00480403994393954</v>
      </c>
      <c r="K153" s="279">
        <f t="shared" si="22"/>
        <v>0.00488686821883505</v>
      </c>
      <c r="L153" s="245">
        <f t="shared" si="24"/>
        <v>31.4001256</v>
      </c>
      <c r="M153" s="263">
        <v>90060</v>
      </c>
      <c r="N153" s="258" t="s">
        <v>1684</v>
      </c>
      <c r="O153" s="258" t="s">
        <v>1684</v>
      </c>
      <c r="Q153" s="273">
        <f t="shared" si="25"/>
        <v>0</v>
      </c>
      <c r="R153" s="274">
        <f t="shared" si="26"/>
        <v>0</v>
      </c>
      <c r="S153" s="275">
        <f t="shared" si="27"/>
        <v>0</v>
      </c>
      <c r="T153" s="275">
        <f t="shared" si="28"/>
        <v>0</v>
      </c>
      <c r="U153" s="273">
        <f t="shared" si="29"/>
        <v>0</v>
      </c>
      <c r="V153" s="273">
        <f t="shared" si="30"/>
        <v>0</v>
      </c>
      <c r="W153" s="273">
        <f t="shared" si="31"/>
        <v>0</v>
      </c>
      <c r="X153" s="273">
        <f t="shared" si="32"/>
        <v>0</v>
      </c>
      <c r="Y153" s="273">
        <f t="shared" si="33"/>
        <v>0</v>
      </c>
      <c r="Z153" s="273">
        <f t="shared" si="34"/>
        <v>0</v>
      </c>
      <c r="AA153" s="273">
        <f t="shared" si="35"/>
        <v>0</v>
      </c>
      <c r="AB153" s="276">
        <f t="shared" si="36"/>
        <v>0</v>
      </c>
      <c r="AC153" s="276">
        <f t="shared" si="37"/>
        <v>0</v>
      </c>
      <c r="AD153" s="276">
        <f t="shared" si="38"/>
        <v>0</v>
      </c>
    </row>
    <row r="154" ht="13.5" spans="1:30">
      <c r="A154" s="59">
        <f t="shared" si="39"/>
        <v>69</v>
      </c>
      <c r="B154" s="245">
        <v>2.24</v>
      </c>
      <c r="C154" s="245">
        <f t="shared" si="20"/>
        <v>3.938816</v>
      </c>
      <c r="D154" s="247">
        <v>11</v>
      </c>
      <c r="E154" s="238">
        <v>13</v>
      </c>
      <c r="F154" s="248">
        <v>2.316</v>
      </c>
      <c r="G154" s="245">
        <v>2.355</v>
      </c>
      <c r="H154" s="245">
        <v>2.392</v>
      </c>
      <c r="I154" s="249">
        <f t="shared" si="23"/>
        <v>0.00433788508712142</v>
      </c>
      <c r="J154" s="279">
        <f t="shared" si="21"/>
        <v>0.0043031084829484</v>
      </c>
      <c r="K154" s="279">
        <f t="shared" si="22"/>
        <v>0.00437730000851647</v>
      </c>
      <c r="L154" s="245">
        <f t="shared" si="24"/>
        <v>35.0554624</v>
      </c>
      <c r="M154" s="263">
        <v>90060</v>
      </c>
      <c r="N154" s="258" t="s">
        <v>1684</v>
      </c>
      <c r="O154" s="258" t="s">
        <v>1684</v>
      </c>
      <c r="Q154" s="273">
        <f t="shared" si="25"/>
        <v>0</v>
      </c>
      <c r="R154" s="274">
        <f t="shared" si="26"/>
        <v>0</v>
      </c>
      <c r="S154" s="275">
        <f t="shared" si="27"/>
        <v>0</v>
      </c>
      <c r="T154" s="275">
        <f t="shared" si="28"/>
        <v>0</v>
      </c>
      <c r="U154" s="273">
        <f t="shared" si="29"/>
        <v>0</v>
      </c>
      <c r="V154" s="273">
        <f t="shared" si="30"/>
        <v>0</v>
      </c>
      <c r="W154" s="273">
        <f t="shared" si="31"/>
        <v>0</v>
      </c>
      <c r="X154" s="273">
        <f t="shared" si="32"/>
        <v>0</v>
      </c>
      <c r="Y154" s="273">
        <f t="shared" si="33"/>
        <v>0</v>
      </c>
      <c r="Z154" s="273">
        <f t="shared" si="34"/>
        <v>0</v>
      </c>
      <c r="AA154" s="273">
        <f t="shared" si="35"/>
        <v>0</v>
      </c>
      <c r="AB154" s="276">
        <f t="shared" si="36"/>
        <v>0</v>
      </c>
      <c r="AC154" s="276">
        <f t="shared" si="37"/>
        <v>0</v>
      </c>
      <c r="AD154" s="276">
        <f t="shared" si="38"/>
        <v>0</v>
      </c>
    </row>
    <row r="155" ht="13.5" spans="1:30">
      <c r="A155" s="59">
        <f t="shared" si="39"/>
        <v>70</v>
      </c>
      <c r="B155" s="250">
        <v>2.36</v>
      </c>
      <c r="C155" s="245">
        <f t="shared" si="20"/>
        <v>4.372136</v>
      </c>
      <c r="D155" s="247" t="s">
        <v>1684</v>
      </c>
      <c r="E155" s="238" t="s">
        <v>1684</v>
      </c>
      <c r="F155" s="248">
        <v>2.438</v>
      </c>
      <c r="G155" s="245">
        <v>2.478</v>
      </c>
      <c r="H155" s="245">
        <v>2.516</v>
      </c>
      <c r="I155" s="249">
        <f t="shared" si="23"/>
        <v>0.00390795967630359</v>
      </c>
      <c r="J155" s="279">
        <f t="shared" si="21"/>
        <v>0.00387662976228847</v>
      </c>
      <c r="K155" s="279">
        <f t="shared" si="22"/>
        <v>0.00394346820646586</v>
      </c>
      <c r="L155" s="245">
        <f t="shared" si="24"/>
        <v>38.9120104</v>
      </c>
      <c r="M155" s="263">
        <v>108000</v>
      </c>
      <c r="N155" s="258" t="s">
        <v>1684</v>
      </c>
      <c r="O155" s="258" t="s">
        <v>1684</v>
      </c>
      <c r="Q155" s="273">
        <f t="shared" si="25"/>
        <v>0</v>
      </c>
      <c r="R155" s="274">
        <f t="shared" si="26"/>
        <v>0</v>
      </c>
      <c r="S155" s="275">
        <f t="shared" si="27"/>
        <v>0</v>
      </c>
      <c r="T155" s="275">
        <f t="shared" si="28"/>
        <v>0</v>
      </c>
      <c r="U155" s="273">
        <f t="shared" si="29"/>
        <v>0</v>
      </c>
      <c r="V155" s="273">
        <f t="shared" si="30"/>
        <v>0</v>
      </c>
      <c r="W155" s="273">
        <f t="shared" si="31"/>
        <v>0</v>
      </c>
      <c r="X155" s="273">
        <f t="shared" si="32"/>
        <v>0</v>
      </c>
      <c r="Y155" s="273">
        <f t="shared" si="33"/>
        <v>0</v>
      </c>
      <c r="Z155" s="273">
        <f t="shared" si="34"/>
        <v>0</v>
      </c>
      <c r="AA155" s="273">
        <f t="shared" si="35"/>
        <v>0</v>
      </c>
      <c r="AB155" s="276">
        <f t="shared" si="36"/>
        <v>0</v>
      </c>
      <c r="AC155" s="276">
        <f t="shared" si="37"/>
        <v>0</v>
      </c>
      <c r="AD155" s="276">
        <f t="shared" si="38"/>
        <v>0</v>
      </c>
    </row>
    <row r="156" ht="13.5" spans="1:30">
      <c r="A156" s="59">
        <f t="shared" si="39"/>
        <v>71</v>
      </c>
      <c r="B156" s="245">
        <v>2.5</v>
      </c>
      <c r="C156" s="245">
        <f t="shared" si="20"/>
        <v>4.90625</v>
      </c>
      <c r="D156" s="247">
        <v>10</v>
      </c>
      <c r="E156" s="238">
        <v>12</v>
      </c>
      <c r="F156" s="248">
        <v>2.578</v>
      </c>
      <c r="G156" s="245">
        <v>2.618</v>
      </c>
      <c r="H156" s="245">
        <v>2.656</v>
      </c>
      <c r="I156" s="249">
        <f t="shared" si="23"/>
        <v>0.00348252355410247</v>
      </c>
      <c r="J156" s="279">
        <f t="shared" si="21"/>
        <v>0.0034546043398467</v>
      </c>
      <c r="K156" s="279">
        <f t="shared" si="22"/>
        <v>0.00351416648363716</v>
      </c>
      <c r="L156" s="245">
        <f t="shared" si="24"/>
        <v>43.665625</v>
      </c>
      <c r="M156" s="263">
        <v>117600</v>
      </c>
      <c r="N156" s="258" t="s">
        <v>1684</v>
      </c>
      <c r="O156" s="258" t="s">
        <v>1684</v>
      </c>
      <c r="Q156" s="273">
        <f t="shared" si="25"/>
        <v>0</v>
      </c>
      <c r="R156" s="274">
        <f t="shared" si="26"/>
        <v>0</v>
      </c>
      <c r="S156" s="275">
        <f t="shared" si="27"/>
        <v>0</v>
      </c>
      <c r="T156" s="275">
        <f t="shared" si="28"/>
        <v>0</v>
      </c>
      <c r="U156" s="273">
        <f t="shared" si="29"/>
        <v>0</v>
      </c>
      <c r="V156" s="273">
        <f t="shared" si="30"/>
        <v>0</v>
      </c>
      <c r="W156" s="273">
        <f t="shared" si="31"/>
        <v>0</v>
      </c>
      <c r="X156" s="273">
        <f t="shared" si="32"/>
        <v>0</v>
      </c>
      <c r="Y156" s="273">
        <f t="shared" si="33"/>
        <v>0</v>
      </c>
      <c r="Z156" s="273">
        <f t="shared" si="34"/>
        <v>0</v>
      </c>
      <c r="AA156" s="273">
        <f t="shared" si="35"/>
        <v>0</v>
      </c>
      <c r="AB156" s="276">
        <f t="shared" si="36"/>
        <v>0</v>
      </c>
      <c r="AC156" s="276">
        <f t="shared" si="37"/>
        <v>0</v>
      </c>
      <c r="AD156" s="276">
        <f t="shared" si="38"/>
        <v>0</v>
      </c>
    </row>
    <row r="157" ht="13.5" spans="1:30">
      <c r="A157" s="59">
        <f t="shared" si="39"/>
        <v>72</v>
      </c>
      <c r="B157" s="277">
        <v>2.8</v>
      </c>
      <c r="C157" s="277">
        <f t="shared" si="20"/>
        <v>6.1544</v>
      </c>
      <c r="D157" s="247">
        <v>9</v>
      </c>
      <c r="E157" s="238">
        <v>11</v>
      </c>
      <c r="F157" s="254" t="s">
        <v>1685</v>
      </c>
      <c r="G157" s="254" t="s">
        <v>1685</v>
      </c>
      <c r="H157" s="254" t="s">
        <v>1685</v>
      </c>
      <c r="I157" s="280">
        <f t="shared" si="23"/>
        <v>0.00277624645575771</v>
      </c>
      <c r="J157" s="281">
        <f t="shared" si="21"/>
        <v>0.00275398942908698</v>
      </c>
      <c r="K157" s="281">
        <f t="shared" si="22"/>
        <v>0.00280147200545054</v>
      </c>
      <c r="L157" s="245">
        <f t="shared" si="24"/>
        <v>54.77416</v>
      </c>
      <c r="M157" s="263">
        <v>160100</v>
      </c>
      <c r="N157" s="258" t="s">
        <v>1684</v>
      </c>
      <c r="O157" s="258" t="s">
        <v>1684</v>
      </c>
      <c r="Q157" s="273">
        <f t="shared" si="25"/>
        <v>0</v>
      </c>
      <c r="R157" s="274">
        <f t="shared" si="26"/>
        <v>0</v>
      </c>
      <c r="S157" s="275">
        <f t="shared" si="27"/>
        <v>0</v>
      </c>
      <c r="T157" s="275">
        <f t="shared" si="28"/>
        <v>0</v>
      </c>
      <c r="U157" s="273">
        <f t="shared" si="29"/>
        <v>0</v>
      </c>
      <c r="V157" s="273">
        <f t="shared" si="30"/>
        <v>0</v>
      </c>
      <c r="W157" s="273">
        <f t="shared" si="31"/>
        <v>0</v>
      </c>
      <c r="X157" s="273">
        <f t="shared" si="32"/>
        <v>0</v>
      </c>
      <c r="Y157" s="273">
        <f t="shared" si="33"/>
        <v>0</v>
      </c>
      <c r="Z157" s="273">
        <f t="shared" si="34"/>
        <v>0</v>
      </c>
      <c r="AA157" s="273">
        <f t="shared" si="35"/>
        <v>0</v>
      </c>
      <c r="AB157" s="276">
        <f t="shared" si="36"/>
        <v>0</v>
      </c>
      <c r="AC157" s="276">
        <f t="shared" si="37"/>
        <v>0</v>
      </c>
      <c r="AD157" s="276">
        <f t="shared" si="38"/>
        <v>0</v>
      </c>
    </row>
    <row r="158" ht="13.5" spans="1:30">
      <c r="A158" s="59">
        <f t="shared" si="39"/>
        <v>73</v>
      </c>
      <c r="B158" s="277">
        <v>3.15</v>
      </c>
      <c r="C158" s="277">
        <f t="shared" si="20"/>
        <v>7.7891625</v>
      </c>
      <c r="D158" s="247">
        <v>8</v>
      </c>
      <c r="E158" s="238">
        <v>10</v>
      </c>
      <c r="F158" s="254" t="s">
        <v>1685</v>
      </c>
      <c r="G158" s="254" t="s">
        <v>1685</v>
      </c>
      <c r="H158" s="254" t="s">
        <v>1685</v>
      </c>
      <c r="I158" s="280">
        <f t="shared" si="23"/>
        <v>0.00219357744652461</v>
      </c>
      <c r="J158" s="281">
        <f t="shared" si="21"/>
        <v>0.00217599164767366</v>
      </c>
      <c r="K158" s="281">
        <f t="shared" si="22"/>
        <v>0.00221350874504734</v>
      </c>
      <c r="L158" s="245">
        <f t="shared" si="24"/>
        <v>69.32354625</v>
      </c>
      <c r="M158" s="263">
        <v>171700</v>
      </c>
      <c r="N158" s="258" t="s">
        <v>1684</v>
      </c>
      <c r="O158" s="258" t="s">
        <v>1684</v>
      </c>
      <c r="Q158" s="273">
        <f t="shared" si="25"/>
        <v>0</v>
      </c>
      <c r="R158" s="274">
        <f t="shared" si="26"/>
        <v>0</v>
      </c>
      <c r="S158" s="275">
        <f t="shared" si="27"/>
        <v>0</v>
      </c>
      <c r="T158" s="275">
        <f t="shared" si="28"/>
        <v>0</v>
      </c>
      <c r="U158" s="273">
        <f t="shared" si="29"/>
        <v>0</v>
      </c>
      <c r="V158" s="273">
        <f t="shared" si="30"/>
        <v>0</v>
      </c>
      <c r="W158" s="273">
        <f t="shared" si="31"/>
        <v>0</v>
      </c>
      <c r="X158" s="273">
        <f t="shared" si="32"/>
        <v>0</v>
      </c>
      <c r="Y158" s="273">
        <f t="shared" si="33"/>
        <v>0</v>
      </c>
      <c r="Z158" s="273">
        <f t="shared" si="34"/>
        <v>0</v>
      </c>
      <c r="AA158" s="273">
        <f t="shared" si="35"/>
        <v>0</v>
      </c>
      <c r="AB158" s="276">
        <f t="shared" si="36"/>
        <v>0</v>
      </c>
      <c r="AC158" s="276">
        <f t="shared" si="37"/>
        <v>0</v>
      </c>
      <c r="AD158" s="276">
        <f t="shared" si="38"/>
        <v>0</v>
      </c>
    </row>
    <row r="159" ht="13.5" spans="1:30">
      <c r="A159" s="59">
        <f t="shared" si="39"/>
        <v>74</v>
      </c>
      <c r="B159" s="277">
        <v>3.55</v>
      </c>
      <c r="C159" s="277">
        <f t="shared" si="20"/>
        <v>9.8929625</v>
      </c>
      <c r="D159" s="247">
        <v>7</v>
      </c>
      <c r="E159" s="238">
        <v>9</v>
      </c>
      <c r="F159" s="254" t="s">
        <v>1685</v>
      </c>
      <c r="G159" s="254" t="s">
        <v>1685</v>
      </c>
      <c r="H159" s="254" t="s">
        <v>1685</v>
      </c>
      <c r="I159" s="280">
        <f t="shared" si="23"/>
        <v>0.00172709956065387</v>
      </c>
      <c r="J159" s="281">
        <f t="shared" si="21"/>
        <v>0.00171325349129473</v>
      </c>
      <c r="K159" s="281">
        <f t="shared" si="22"/>
        <v>0.00174279234459292</v>
      </c>
      <c r="L159" s="245">
        <f t="shared" si="24"/>
        <v>88.04736625</v>
      </c>
      <c r="M159" s="263">
        <v>250100</v>
      </c>
      <c r="N159" s="258" t="s">
        <v>1684</v>
      </c>
      <c r="O159" s="258" t="s">
        <v>1684</v>
      </c>
      <c r="Q159" s="273">
        <f t="shared" si="25"/>
        <v>0</v>
      </c>
      <c r="R159" s="274">
        <f t="shared" si="26"/>
        <v>0</v>
      </c>
      <c r="S159" s="275">
        <f t="shared" si="27"/>
        <v>0</v>
      </c>
      <c r="T159" s="275">
        <f t="shared" si="28"/>
        <v>0</v>
      </c>
      <c r="U159" s="273">
        <f t="shared" si="29"/>
        <v>0</v>
      </c>
      <c r="V159" s="273">
        <f t="shared" si="30"/>
        <v>0</v>
      </c>
      <c r="W159" s="273">
        <f t="shared" si="31"/>
        <v>0</v>
      </c>
      <c r="X159" s="273">
        <f t="shared" si="32"/>
        <v>0</v>
      </c>
      <c r="Y159" s="273">
        <f t="shared" si="33"/>
        <v>0</v>
      </c>
      <c r="Z159" s="273">
        <f t="shared" si="34"/>
        <v>0</v>
      </c>
      <c r="AA159" s="273">
        <f t="shared" si="35"/>
        <v>0</v>
      </c>
      <c r="AB159" s="276">
        <f t="shared" si="36"/>
        <v>0</v>
      </c>
      <c r="AC159" s="276">
        <f t="shared" si="37"/>
        <v>0</v>
      </c>
      <c r="AD159" s="276">
        <f t="shared" si="38"/>
        <v>0</v>
      </c>
    </row>
    <row r="160" ht="13.5" spans="1:30">
      <c r="A160" s="59">
        <f t="shared" si="39"/>
        <v>75</v>
      </c>
      <c r="B160" s="277">
        <v>4</v>
      </c>
      <c r="C160" s="277">
        <f t="shared" si="20"/>
        <v>12.56</v>
      </c>
      <c r="D160" s="247">
        <v>6</v>
      </c>
      <c r="E160" s="238">
        <v>8</v>
      </c>
      <c r="F160" s="254" t="s">
        <v>1685</v>
      </c>
      <c r="G160" s="254" t="s">
        <v>1685</v>
      </c>
      <c r="H160" s="254" t="s">
        <v>1685</v>
      </c>
      <c r="I160" s="280">
        <f t="shared" si="23"/>
        <v>0.00136036076332128</v>
      </c>
      <c r="J160" s="281">
        <f t="shared" si="21"/>
        <v>0.00134945482025262</v>
      </c>
      <c r="K160" s="281">
        <f t="shared" si="22"/>
        <v>0.00137272128267077</v>
      </c>
      <c r="L160" s="245">
        <f t="shared" si="24"/>
        <v>111.784</v>
      </c>
      <c r="M160" s="263">
        <v>326800</v>
      </c>
      <c r="N160" s="258" t="s">
        <v>1684</v>
      </c>
      <c r="O160" s="258" t="s">
        <v>1684</v>
      </c>
      <c r="Q160" s="273">
        <f t="shared" si="25"/>
        <v>0</v>
      </c>
      <c r="R160" s="274">
        <f t="shared" si="26"/>
        <v>0</v>
      </c>
      <c r="S160" s="275">
        <f t="shared" si="27"/>
        <v>0</v>
      </c>
      <c r="T160" s="275">
        <f t="shared" si="28"/>
        <v>0</v>
      </c>
      <c r="U160" s="273">
        <f t="shared" si="29"/>
        <v>0</v>
      </c>
      <c r="V160" s="273">
        <f t="shared" si="30"/>
        <v>0</v>
      </c>
      <c r="W160" s="273">
        <f t="shared" si="31"/>
        <v>0</v>
      </c>
      <c r="X160" s="273">
        <f t="shared" si="32"/>
        <v>0</v>
      </c>
      <c r="Y160" s="273">
        <f t="shared" si="33"/>
        <v>0</v>
      </c>
      <c r="Z160" s="273">
        <f t="shared" si="34"/>
        <v>0</v>
      </c>
      <c r="AA160" s="273">
        <f t="shared" si="35"/>
        <v>0</v>
      </c>
      <c r="AB160" s="276">
        <f t="shared" si="36"/>
        <v>0</v>
      </c>
      <c r="AC160" s="276">
        <f t="shared" si="37"/>
        <v>0</v>
      </c>
      <c r="AD160" s="276">
        <f t="shared" si="38"/>
        <v>0</v>
      </c>
    </row>
    <row r="161" ht="13.5" spans="1:30">
      <c r="A161" s="59">
        <f t="shared" si="39"/>
        <v>76</v>
      </c>
      <c r="B161" s="277">
        <v>4.5</v>
      </c>
      <c r="C161" s="277">
        <f t="shared" si="20"/>
        <v>15.89625</v>
      </c>
      <c r="D161" s="247">
        <v>5</v>
      </c>
      <c r="E161" s="238">
        <v>7</v>
      </c>
      <c r="F161" s="254" t="s">
        <v>1685</v>
      </c>
      <c r="G161" s="254" t="s">
        <v>1685</v>
      </c>
      <c r="H161" s="254" t="s">
        <v>1685</v>
      </c>
      <c r="I161" s="280">
        <f t="shared" si="23"/>
        <v>0.00107485294879706</v>
      </c>
      <c r="J161" s="281">
        <f t="shared" si="21"/>
        <v>0.00106623590736009</v>
      </c>
      <c r="K161" s="281">
        <f t="shared" si="22"/>
        <v>0.0010846192850732</v>
      </c>
      <c r="L161" s="245">
        <f t="shared" si="24"/>
        <v>141.476625</v>
      </c>
      <c r="M161" s="263">
        <v>413400</v>
      </c>
      <c r="N161" s="258" t="s">
        <v>1684</v>
      </c>
      <c r="O161" s="258" t="s">
        <v>1684</v>
      </c>
      <c r="Q161" s="273">
        <f t="shared" si="25"/>
        <v>0</v>
      </c>
      <c r="R161" s="274">
        <f t="shared" si="26"/>
        <v>0</v>
      </c>
      <c r="S161" s="275">
        <f t="shared" si="27"/>
        <v>0</v>
      </c>
      <c r="T161" s="275">
        <f t="shared" si="28"/>
        <v>0</v>
      </c>
      <c r="U161" s="273">
        <f t="shared" si="29"/>
        <v>0</v>
      </c>
      <c r="V161" s="273">
        <f t="shared" si="30"/>
        <v>0</v>
      </c>
      <c r="W161" s="273">
        <f t="shared" si="31"/>
        <v>0</v>
      </c>
      <c r="X161" s="273">
        <f t="shared" si="32"/>
        <v>0</v>
      </c>
      <c r="Y161" s="273">
        <f t="shared" si="33"/>
        <v>0</v>
      </c>
      <c r="Z161" s="273">
        <f t="shared" si="34"/>
        <v>0</v>
      </c>
      <c r="AA161" s="273">
        <f t="shared" si="35"/>
        <v>0</v>
      </c>
      <c r="AB161" s="276">
        <f t="shared" si="36"/>
        <v>0</v>
      </c>
      <c r="AC161" s="276">
        <f t="shared" si="37"/>
        <v>0</v>
      </c>
      <c r="AD161" s="276">
        <f t="shared" si="38"/>
        <v>0</v>
      </c>
    </row>
    <row r="162" ht="13.5" spans="1:30">
      <c r="A162" s="59">
        <f t="shared" si="39"/>
        <v>77</v>
      </c>
      <c r="B162" s="277">
        <v>5</v>
      </c>
      <c r="C162" s="277">
        <f t="shared" si="20"/>
        <v>19.625</v>
      </c>
      <c r="D162" s="247">
        <v>4</v>
      </c>
      <c r="E162" s="238">
        <v>6</v>
      </c>
      <c r="F162" s="254" t="s">
        <v>1685</v>
      </c>
      <c r="G162" s="254" t="s">
        <v>1685</v>
      </c>
      <c r="H162" s="254" t="s">
        <v>1685</v>
      </c>
      <c r="I162" s="280">
        <f t="shared" si="23"/>
        <v>0.000870630888525618</v>
      </c>
      <c r="J162" s="281">
        <f t="shared" si="21"/>
        <v>0.000863651084961675</v>
      </c>
      <c r="K162" s="281">
        <f t="shared" si="22"/>
        <v>0.000878541620909291</v>
      </c>
      <c r="L162" s="245">
        <f t="shared" si="24"/>
        <v>174.6625</v>
      </c>
      <c r="M162" s="263">
        <v>510600</v>
      </c>
      <c r="N162" s="258" t="s">
        <v>1684</v>
      </c>
      <c r="O162" s="258" t="s">
        <v>1684</v>
      </c>
      <c r="Q162" s="273">
        <f t="shared" si="25"/>
        <v>0</v>
      </c>
      <c r="R162" s="274">
        <f t="shared" si="26"/>
        <v>0</v>
      </c>
      <c r="S162" s="275">
        <f t="shared" si="27"/>
        <v>0</v>
      </c>
      <c r="T162" s="275">
        <f t="shared" si="28"/>
        <v>0</v>
      </c>
      <c r="U162" s="273">
        <f t="shared" si="29"/>
        <v>0</v>
      </c>
      <c r="V162" s="273">
        <f t="shared" si="30"/>
        <v>0</v>
      </c>
      <c r="W162" s="273">
        <f t="shared" si="31"/>
        <v>0</v>
      </c>
      <c r="X162" s="273">
        <f t="shared" si="32"/>
        <v>0</v>
      </c>
      <c r="Y162" s="273">
        <f t="shared" si="33"/>
        <v>0</v>
      </c>
      <c r="Z162" s="273">
        <f t="shared" si="34"/>
        <v>0</v>
      </c>
      <c r="AA162" s="273">
        <f t="shared" si="35"/>
        <v>0</v>
      </c>
      <c r="AB162" s="276">
        <f t="shared" si="36"/>
        <v>0</v>
      </c>
      <c r="AC162" s="276">
        <f t="shared" si="37"/>
        <v>0</v>
      </c>
      <c r="AD162" s="276">
        <f t="shared" si="38"/>
        <v>0</v>
      </c>
    </row>
    <row r="163" ht="13.5" spans="1:30">
      <c r="A163" s="59">
        <f t="shared" si="39"/>
        <v>78</v>
      </c>
      <c r="B163" s="277">
        <v>5.6</v>
      </c>
      <c r="C163" s="277">
        <f t="shared" si="20"/>
        <v>24.6176</v>
      </c>
      <c r="D163" s="247">
        <v>3</v>
      </c>
      <c r="E163" s="238">
        <v>4</v>
      </c>
      <c r="F163" s="254" t="s">
        <v>1685</v>
      </c>
      <c r="G163" s="254" t="s">
        <v>1685</v>
      </c>
      <c r="H163" s="254" t="s">
        <v>1685</v>
      </c>
      <c r="I163" s="280">
        <f t="shared" si="23"/>
        <v>0.000694061613939428</v>
      </c>
      <c r="J163" s="281">
        <f t="shared" si="21"/>
        <v>0.000688497357271744</v>
      </c>
      <c r="K163" s="281">
        <f t="shared" si="22"/>
        <v>0.000700368001362636</v>
      </c>
      <c r="L163" s="245">
        <f t="shared" si="24"/>
        <v>219.09664</v>
      </c>
      <c r="M163" s="258" t="s">
        <v>1684</v>
      </c>
      <c r="N163" s="258" t="s">
        <v>1684</v>
      </c>
      <c r="O163" s="258" t="s">
        <v>1684</v>
      </c>
      <c r="Q163" s="273">
        <f t="shared" si="25"/>
        <v>0</v>
      </c>
      <c r="R163" s="274">
        <f t="shared" si="26"/>
        <v>0</v>
      </c>
      <c r="S163" s="275">
        <f t="shared" si="27"/>
        <v>0</v>
      </c>
      <c r="T163" s="275">
        <f t="shared" si="28"/>
        <v>0</v>
      </c>
      <c r="U163" s="273">
        <f t="shared" si="29"/>
        <v>0</v>
      </c>
      <c r="V163" s="273">
        <f t="shared" si="30"/>
        <v>0</v>
      </c>
      <c r="W163" s="273">
        <f t="shared" si="31"/>
        <v>0</v>
      </c>
      <c r="X163" s="273">
        <f t="shared" si="32"/>
        <v>0</v>
      </c>
      <c r="Y163" s="273">
        <f t="shared" si="33"/>
        <v>0</v>
      </c>
      <c r="Z163" s="273">
        <f t="shared" si="34"/>
        <v>0</v>
      </c>
      <c r="AA163" s="273">
        <f t="shared" si="35"/>
        <v>0</v>
      </c>
      <c r="AB163" s="276">
        <f t="shared" si="36"/>
        <v>0</v>
      </c>
      <c r="AC163" s="276">
        <f t="shared" si="37"/>
        <v>0</v>
      </c>
      <c r="AD163" s="276">
        <f t="shared" si="38"/>
        <v>0</v>
      </c>
    </row>
    <row r="164" ht="13.5" spans="1:30">
      <c r="A164" s="59">
        <f t="shared" si="39"/>
        <v>79</v>
      </c>
      <c r="B164" s="277">
        <v>6.3</v>
      </c>
      <c r="C164" s="277">
        <f t="shared" si="20"/>
        <v>31.15665</v>
      </c>
      <c r="D164" s="247">
        <v>2</v>
      </c>
      <c r="E164" s="238">
        <v>3</v>
      </c>
      <c r="F164" s="254" t="s">
        <v>1685</v>
      </c>
      <c r="G164" s="254" t="s">
        <v>1685</v>
      </c>
      <c r="H164" s="254" t="s">
        <v>1685</v>
      </c>
      <c r="I164" s="280">
        <f t="shared" si="23"/>
        <v>0.000548394361631153</v>
      </c>
      <c r="J164" s="281">
        <f t="shared" si="21"/>
        <v>0.000543997911918415</v>
      </c>
      <c r="K164" s="281">
        <f t="shared" si="22"/>
        <v>0.000553377186261836</v>
      </c>
      <c r="L164" s="245">
        <f t="shared" si="24"/>
        <v>277.294185</v>
      </c>
      <c r="M164" s="258" t="s">
        <v>1684</v>
      </c>
      <c r="N164" s="258" t="s">
        <v>1684</v>
      </c>
      <c r="O164" s="258" t="s">
        <v>1684</v>
      </c>
      <c r="Q164" s="273">
        <f t="shared" si="25"/>
        <v>0</v>
      </c>
      <c r="R164" s="274">
        <f t="shared" si="26"/>
        <v>0</v>
      </c>
      <c r="S164" s="275">
        <f t="shared" si="27"/>
        <v>0</v>
      </c>
      <c r="T164" s="275">
        <f t="shared" si="28"/>
        <v>0</v>
      </c>
      <c r="U164" s="273">
        <f t="shared" si="29"/>
        <v>0</v>
      </c>
      <c r="V164" s="273">
        <f t="shared" si="30"/>
        <v>0</v>
      </c>
      <c r="W164" s="273">
        <f t="shared" si="31"/>
        <v>0</v>
      </c>
      <c r="X164" s="273">
        <f t="shared" si="32"/>
        <v>0</v>
      </c>
      <c r="Y164" s="273">
        <f t="shared" si="33"/>
        <v>0</v>
      </c>
      <c r="Z164" s="273">
        <f t="shared" si="34"/>
        <v>0</v>
      </c>
      <c r="AA164" s="273">
        <f t="shared" si="35"/>
        <v>0</v>
      </c>
      <c r="AB164" s="276">
        <f t="shared" si="36"/>
        <v>0</v>
      </c>
      <c r="AC164" s="276">
        <f t="shared" si="37"/>
        <v>0</v>
      </c>
      <c r="AD164" s="276">
        <f t="shared" si="38"/>
        <v>0</v>
      </c>
    </row>
    <row r="165" ht="13.5" spans="1:30">
      <c r="A165" s="59">
        <f t="shared" si="39"/>
        <v>80</v>
      </c>
      <c r="B165" s="277">
        <v>7.1</v>
      </c>
      <c r="C165" s="277">
        <f t="shared" si="20"/>
        <v>39.57185</v>
      </c>
      <c r="D165" s="247">
        <v>1</v>
      </c>
      <c r="E165" s="238">
        <v>2</v>
      </c>
      <c r="F165" s="254" t="s">
        <v>1685</v>
      </c>
      <c r="G165" s="254" t="s">
        <v>1685</v>
      </c>
      <c r="H165" s="254" t="s">
        <v>1685</v>
      </c>
      <c r="I165" s="280">
        <f t="shared" si="23"/>
        <v>0.000431774890163469</v>
      </c>
      <c r="J165" s="281">
        <f t="shared" si="21"/>
        <v>0.000428313372823684</v>
      </c>
      <c r="K165" s="281">
        <f t="shared" si="22"/>
        <v>0.00043569808614823</v>
      </c>
      <c r="L165" s="245">
        <f t="shared" si="24"/>
        <v>352.189465</v>
      </c>
      <c r="M165" s="258" t="s">
        <v>1684</v>
      </c>
      <c r="N165" s="258" t="s">
        <v>1684</v>
      </c>
      <c r="O165" s="258" t="s">
        <v>1684</v>
      </c>
      <c r="Q165" s="273">
        <f t="shared" si="25"/>
        <v>0</v>
      </c>
      <c r="R165" s="274">
        <f t="shared" si="26"/>
        <v>0</v>
      </c>
      <c r="S165" s="275">
        <f t="shared" si="27"/>
        <v>0</v>
      </c>
      <c r="T165" s="275">
        <f t="shared" si="28"/>
        <v>0</v>
      </c>
      <c r="U165" s="273">
        <f t="shared" si="29"/>
        <v>0</v>
      </c>
      <c r="V165" s="273">
        <f t="shared" si="30"/>
        <v>0</v>
      </c>
      <c r="W165" s="273">
        <f t="shared" si="31"/>
        <v>0</v>
      </c>
      <c r="X165" s="273">
        <f t="shared" si="32"/>
        <v>0</v>
      </c>
      <c r="Y165" s="273">
        <f t="shared" si="33"/>
        <v>0</v>
      </c>
      <c r="Z165" s="273">
        <f t="shared" si="34"/>
        <v>0</v>
      </c>
      <c r="AA165" s="273">
        <f t="shared" si="35"/>
        <v>0</v>
      </c>
      <c r="AB165" s="276">
        <f t="shared" si="36"/>
        <v>0</v>
      </c>
      <c r="AC165" s="276">
        <f t="shared" si="37"/>
        <v>0</v>
      </c>
      <c r="AD165" s="276">
        <f t="shared" si="38"/>
        <v>0</v>
      </c>
    </row>
    <row r="166" ht="13.5" spans="1:30">
      <c r="A166" s="59">
        <f t="shared" si="39"/>
        <v>81</v>
      </c>
      <c r="B166" s="277">
        <v>8</v>
      </c>
      <c r="C166" s="277">
        <f t="shared" si="20"/>
        <v>50.24</v>
      </c>
      <c r="D166" s="247" t="s">
        <v>692</v>
      </c>
      <c r="E166" s="238" t="s">
        <v>692</v>
      </c>
      <c r="F166" s="254" t="s">
        <v>1685</v>
      </c>
      <c r="G166" s="254" t="s">
        <v>1685</v>
      </c>
      <c r="H166" s="254" t="s">
        <v>1685</v>
      </c>
      <c r="I166" s="280">
        <f t="shared" si="23"/>
        <v>0.00034009019083032</v>
      </c>
      <c r="J166" s="281">
        <f t="shared" si="21"/>
        <v>0.000337363705063154</v>
      </c>
      <c r="K166" s="281">
        <f t="shared" si="22"/>
        <v>0.000343180320667692</v>
      </c>
      <c r="L166" s="245">
        <f t="shared" si="24"/>
        <v>447.136</v>
      </c>
      <c r="M166" s="258" t="s">
        <v>1684</v>
      </c>
      <c r="N166" s="258" t="s">
        <v>1684</v>
      </c>
      <c r="O166" s="258" t="s">
        <v>1684</v>
      </c>
      <c r="Q166" s="273">
        <f t="shared" si="25"/>
        <v>0</v>
      </c>
      <c r="R166" s="274">
        <f t="shared" si="26"/>
        <v>0</v>
      </c>
      <c r="S166" s="275">
        <f t="shared" si="27"/>
        <v>0</v>
      </c>
      <c r="T166" s="275">
        <f t="shared" si="28"/>
        <v>0</v>
      </c>
      <c r="U166" s="273">
        <f t="shared" si="29"/>
        <v>0</v>
      </c>
      <c r="V166" s="273">
        <f t="shared" si="30"/>
        <v>0</v>
      </c>
      <c r="W166" s="273">
        <f t="shared" si="31"/>
        <v>0</v>
      </c>
      <c r="X166" s="273">
        <f t="shared" si="32"/>
        <v>0</v>
      </c>
      <c r="Y166" s="273">
        <f t="shared" si="33"/>
        <v>0</v>
      </c>
      <c r="Z166" s="273">
        <f t="shared" si="34"/>
        <v>0</v>
      </c>
      <c r="AA166" s="273">
        <f t="shared" si="35"/>
        <v>0</v>
      </c>
      <c r="AB166" s="276">
        <f t="shared" si="36"/>
        <v>0</v>
      </c>
      <c r="AC166" s="276">
        <f t="shared" si="37"/>
        <v>0</v>
      </c>
      <c r="AD166" s="276">
        <f t="shared" si="38"/>
        <v>0</v>
      </c>
    </row>
    <row r="167" ht="13.5" spans="1:30">
      <c r="A167" s="59">
        <f t="shared" si="39"/>
        <v>82</v>
      </c>
      <c r="B167" s="277">
        <v>9</v>
      </c>
      <c r="C167" s="277">
        <f t="shared" si="20"/>
        <v>63.585</v>
      </c>
      <c r="D167" s="247" t="s">
        <v>691</v>
      </c>
      <c r="E167" s="238" t="s">
        <v>691</v>
      </c>
      <c r="F167" s="254" t="s">
        <v>1685</v>
      </c>
      <c r="G167" s="254" t="s">
        <v>1685</v>
      </c>
      <c r="H167" s="254" t="s">
        <v>1685</v>
      </c>
      <c r="I167" s="280">
        <f t="shared" si="23"/>
        <v>0.000268713237199265</v>
      </c>
      <c r="J167" s="281">
        <f t="shared" si="21"/>
        <v>0.000266558976840023</v>
      </c>
      <c r="K167" s="281">
        <f t="shared" si="22"/>
        <v>0.0002711548212683</v>
      </c>
      <c r="L167" s="245">
        <f t="shared" si="24"/>
        <v>565.9065</v>
      </c>
      <c r="M167" s="258" t="s">
        <v>1684</v>
      </c>
      <c r="N167" s="258" t="s">
        <v>1684</v>
      </c>
      <c r="O167" s="258" t="s">
        <v>1684</v>
      </c>
      <c r="Q167" s="273">
        <f t="shared" si="25"/>
        <v>0</v>
      </c>
      <c r="R167" s="274">
        <f t="shared" si="26"/>
        <v>0</v>
      </c>
      <c r="S167" s="275">
        <f t="shared" si="27"/>
        <v>0</v>
      </c>
      <c r="T167" s="275">
        <f t="shared" si="28"/>
        <v>0</v>
      </c>
      <c r="U167" s="273">
        <f t="shared" si="29"/>
        <v>0</v>
      </c>
      <c r="V167" s="273">
        <f t="shared" si="30"/>
        <v>0</v>
      </c>
      <c r="W167" s="273">
        <f t="shared" si="31"/>
        <v>0</v>
      </c>
      <c r="X167" s="273">
        <f t="shared" si="32"/>
        <v>0</v>
      </c>
      <c r="Y167" s="273">
        <f t="shared" si="33"/>
        <v>0</v>
      </c>
      <c r="Z167" s="273">
        <f t="shared" si="34"/>
        <v>0</v>
      </c>
      <c r="AA167" s="273">
        <f t="shared" si="35"/>
        <v>0</v>
      </c>
      <c r="AB167" s="276">
        <f t="shared" si="36"/>
        <v>0</v>
      </c>
      <c r="AC167" s="276">
        <f t="shared" si="37"/>
        <v>0</v>
      </c>
      <c r="AD167" s="276">
        <f t="shared" si="38"/>
        <v>0</v>
      </c>
    </row>
    <row r="168" ht="13.5" spans="1:30">
      <c r="A168" s="59">
        <f t="shared" si="39"/>
        <v>83</v>
      </c>
      <c r="B168" s="277">
        <v>10</v>
      </c>
      <c r="C168" s="277">
        <f>3.14*B168*B168/4</f>
        <v>78.5</v>
      </c>
      <c r="D168" s="247" t="s">
        <v>688</v>
      </c>
      <c r="E168" s="238" t="s">
        <v>684</v>
      </c>
      <c r="F168" s="254" t="s">
        <v>1685</v>
      </c>
      <c r="G168" s="254" t="s">
        <v>1685</v>
      </c>
      <c r="H168" s="254" t="s">
        <v>1685</v>
      </c>
      <c r="I168" s="280">
        <f t="shared" si="23"/>
        <v>0.000217657722131405</v>
      </c>
      <c r="J168" s="281">
        <f t="shared" si="21"/>
        <v>0.000215912771240419</v>
      </c>
      <c r="K168" s="281">
        <f t="shared" si="22"/>
        <v>0.000219635405227323</v>
      </c>
      <c r="L168" s="245">
        <f t="shared" si="24"/>
        <v>698.65</v>
      </c>
      <c r="M168" s="258" t="s">
        <v>1684</v>
      </c>
      <c r="N168" s="258" t="s">
        <v>1684</v>
      </c>
      <c r="O168" s="258" t="s">
        <v>1684</v>
      </c>
      <c r="Q168" s="273">
        <f t="shared" si="25"/>
        <v>0</v>
      </c>
      <c r="R168" s="274">
        <f t="shared" si="26"/>
        <v>0</v>
      </c>
      <c r="S168" s="275">
        <f t="shared" si="27"/>
        <v>0</v>
      </c>
      <c r="T168" s="275">
        <f t="shared" si="28"/>
        <v>0</v>
      </c>
      <c r="U168" s="273">
        <f t="shared" si="29"/>
        <v>0</v>
      </c>
      <c r="V168" s="273">
        <f t="shared" si="30"/>
        <v>0</v>
      </c>
      <c r="W168" s="273">
        <f t="shared" si="31"/>
        <v>0</v>
      </c>
      <c r="X168" s="273">
        <f t="shared" si="32"/>
        <v>0</v>
      </c>
      <c r="Y168" s="273">
        <f t="shared" si="33"/>
        <v>0</v>
      </c>
      <c r="Z168" s="273">
        <f t="shared" si="34"/>
        <v>0</v>
      </c>
      <c r="AA168" s="273">
        <f t="shared" si="35"/>
        <v>0</v>
      </c>
      <c r="AB168" s="276">
        <f t="shared" si="36"/>
        <v>0</v>
      </c>
      <c r="AC168" s="276">
        <f t="shared" si="37"/>
        <v>0</v>
      </c>
      <c r="AD168" s="276">
        <f t="shared" si="38"/>
        <v>0</v>
      </c>
    </row>
    <row r="169" ht="13.5" spans="1:30">
      <c r="A169" s="59">
        <f t="shared" si="39"/>
        <v>84</v>
      </c>
      <c r="B169" s="277">
        <v>11.2</v>
      </c>
      <c r="C169" s="277">
        <f>3.14*B169*B169/4</f>
        <v>98.4704</v>
      </c>
      <c r="D169" s="247" t="s">
        <v>684</v>
      </c>
      <c r="E169" s="238" t="s">
        <v>1686</v>
      </c>
      <c r="F169" s="254" t="s">
        <v>1685</v>
      </c>
      <c r="G169" s="254" t="s">
        <v>1685</v>
      </c>
      <c r="H169" s="254" t="s">
        <v>1685</v>
      </c>
      <c r="I169" s="280">
        <f t="shared" si="23"/>
        <v>0.000173515403484857</v>
      </c>
      <c r="J169" s="281">
        <f t="shared" si="21"/>
        <v>0.000172124339317936</v>
      </c>
      <c r="K169" s="281">
        <f t="shared" si="22"/>
        <v>0.000175092000340659</v>
      </c>
      <c r="L169" s="245">
        <f t="shared" si="24"/>
        <v>876.38656</v>
      </c>
      <c r="M169" s="258" t="s">
        <v>1684</v>
      </c>
      <c r="N169" s="258" t="s">
        <v>1684</v>
      </c>
      <c r="O169" s="258" t="s">
        <v>1684</v>
      </c>
      <c r="Q169" s="273">
        <f t="shared" si="25"/>
        <v>0</v>
      </c>
      <c r="R169" s="274">
        <f t="shared" si="26"/>
        <v>0</v>
      </c>
      <c r="S169" s="275">
        <f t="shared" si="27"/>
        <v>0</v>
      </c>
      <c r="T169" s="275">
        <f t="shared" si="28"/>
        <v>0</v>
      </c>
      <c r="U169" s="273">
        <f t="shared" si="29"/>
        <v>0</v>
      </c>
      <c r="V169" s="273">
        <f t="shared" si="30"/>
        <v>0</v>
      </c>
      <c r="W169" s="273">
        <f t="shared" si="31"/>
        <v>0</v>
      </c>
      <c r="X169" s="273">
        <f t="shared" si="32"/>
        <v>0</v>
      </c>
      <c r="Y169" s="273">
        <f t="shared" si="33"/>
        <v>0</v>
      </c>
      <c r="Z169" s="273">
        <f t="shared" si="34"/>
        <v>0</v>
      </c>
      <c r="AA169" s="273">
        <f t="shared" si="35"/>
        <v>0</v>
      </c>
      <c r="AB169" s="276">
        <f t="shared" si="36"/>
        <v>0</v>
      </c>
      <c r="AC169" s="276">
        <f t="shared" si="37"/>
        <v>0</v>
      </c>
      <c r="AD169" s="276">
        <f t="shared" si="38"/>
        <v>0</v>
      </c>
    </row>
    <row r="170" spans="1:30">
      <c r="A170" s="59">
        <f t="shared" si="39"/>
        <v>85</v>
      </c>
      <c r="B170" s="278"/>
      <c r="C170" s="278"/>
      <c r="D170" s="247"/>
      <c r="E170" s="238"/>
      <c r="F170" s="278"/>
      <c r="G170" s="278"/>
      <c r="H170" s="278"/>
      <c r="I170" s="278"/>
      <c r="J170" s="278"/>
      <c r="K170" s="278"/>
      <c r="L170" s="278"/>
      <c r="M170" s="278"/>
      <c r="N170" s="278"/>
      <c r="O170" s="282"/>
      <c r="Q170" s="273">
        <f t="shared" si="25"/>
        <v>0</v>
      </c>
      <c r="R170" s="274">
        <f t="shared" si="26"/>
        <v>0</v>
      </c>
      <c r="S170" s="275">
        <f t="shared" si="27"/>
        <v>0</v>
      </c>
      <c r="T170" s="275">
        <f t="shared" si="28"/>
        <v>0</v>
      </c>
      <c r="U170" s="273">
        <f t="shared" si="29"/>
        <v>0</v>
      </c>
      <c r="V170" s="273">
        <f t="shared" si="30"/>
        <v>0</v>
      </c>
      <c r="W170" s="273">
        <f t="shared" si="31"/>
        <v>0</v>
      </c>
      <c r="X170" s="273">
        <f t="shared" si="32"/>
        <v>0</v>
      </c>
      <c r="Y170" s="273">
        <f t="shared" si="33"/>
        <v>0</v>
      </c>
      <c r="Z170" s="273">
        <f t="shared" si="34"/>
        <v>0</v>
      </c>
      <c r="AA170" s="273">
        <f t="shared" si="35"/>
        <v>0</v>
      </c>
      <c r="AB170" s="276">
        <f t="shared" si="36"/>
        <v>0</v>
      </c>
      <c r="AC170" s="276">
        <f t="shared" si="37"/>
        <v>0</v>
      </c>
      <c r="AD170" s="276">
        <f t="shared" si="38"/>
        <v>0</v>
      </c>
    </row>
    <row r="171" spans="1:30">
      <c r="A171" s="59">
        <f t="shared" si="39"/>
        <v>86</v>
      </c>
      <c r="B171" s="278"/>
      <c r="C171" s="278"/>
      <c r="D171" s="247"/>
      <c r="E171" s="238"/>
      <c r="F171" s="278"/>
      <c r="G171" s="278"/>
      <c r="H171" s="278"/>
      <c r="I171" s="278"/>
      <c r="J171" s="278"/>
      <c r="K171" s="278"/>
      <c r="L171" s="278"/>
      <c r="M171" s="278"/>
      <c r="N171" s="278"/>
      <c r="O171" s="282"/>
      <c r="Q171" s="273">
        <f t="shared" si="25"/>
        <v>0</v>
      </c>
      <c r="R171" s="274">
        <f t="shared" si="26"/>
        <v>0</v>
      </c>
      <c r="S171" s="275">
        <f t="shared" si="27"/>
        <v>0</v>
      </c>
      <c r="T171" s="275">
        <f t="shared" si="28"/>
        <v>0</v>
      </c>
      <c r="U171" s="273">
        <f t="shared" si="29"/>
        <v>0</v>
      </c>
      <c r="V171" s="273">
        <f t="shared" si="30"/>
        <v>0</v>
      </c>
      <c r="W171" s="273">
        <f t="shared" si="31"/>
        <v>0</v>
      </c>
      <c r="X171" s="273">
        <f t="shared" si="32"/>
        <v>0</v>
      </c>
      <c r="Y171" s="273">
        <f t="shared" si="33"/>
        <v>0</v>
      </c>
      <c r="Z171" s="273">
        <f t="shared" si="34"/>
        <v>0</v>
      </c>
      <c r="AA171" s="273">
        <f t="shared" si="35"/>
        <v>0</v>
      </c>
      <c r="AB171" s="276">
        <f t="shared" si="36"/>
        <v>0</v>
      </c>
      <c r="AC171" s="276">
        <f t="shared" si="37"/>
        <v>0</v>
      </c>
      <c r="AD171" s="276">
        <f t="shared" si="38"/>
        <v>0</v>
      </c>
    </row>
    <row r="172" spans="1:30">
      <c r="A172" s="59">
        <f t="shared" si="39"/>
        <v>87</v>
      </c>
      <c r="B172" s="278"/>
      <c r="C172" s="278"/>
      <c r="D172" s="247"/>
      <c r="E172" s="238"/>
      <c r="F172" s="278"/>
      <c r="G172" s="278"/>
      <c r="H172" s="278"/>
      <c r="I172" s="278"/>
      <c r="J172" s="278"/>
      <c r="K172" s="278"/>
      <c r="L172" s="278"/>
      <c r="M172" s="278"/>
      <c r="N172" s="278"/>
      <c r="O172" s="282"/>
      <c r="Q172" s="273">
        <f t="shared" si="25"/>
        <v>0</v>
      </c>
      <c r="R172" s="274">
        <f t="shared" si="26"/>
        <v>0</v>
      </c>
      <c r="S172" s="275">
        <f t="shared" si="27"/>
        <v>0</v>
      </c>
      <c r="T172" s="275">
        <f t="shared" si="28"/>
        <v>0</v>
      </c>
      <c r="U172" s="273">
        <f t="shared" si="29"/>
        <v>0</v>
      </c>
      <c r="V172" s="273">
        <f t="shared" si="30"/>
        <v>0</v>
      </c>
      <c r="W172" s="273">
        <f t="shared" si="31"/>
        <v>0</v>
      </c>
      <c r="X172" s="273">
        <f t="shared" si="32"/>
        <v>0</v>
      </c>
      <c r="Y172" s="273">
        <f t="shared" si="33"/>
        <v>0</v>
      </c>
      <c r="Z172" s="273">
        <f t="shared" si="34"/>
        <v>0</v>
      </c>
      <c r="AA172" s="273">
        <f t="shared" si="35"/>
        <v>0</v>
      </c>
      <c r="AB172" s="276">
        <f t="shared" si="36"/>
        <v>0</v>
      </c>
      <c r="AC172" s="276">
        <f t="shared" si="37"/>
        <v>0</v>
      </c>
      <c r="AD172" s="276">
        <f t="shared" si="38"/>
        <v>0</v>
      </c>
    </row>
    <row r="173" spans="1:30">
      <c r="A173" s="59">
        <f t="shared" si="39"/>
        <v>88</v>
      </c>
      <c r="B173" s="278"/>
      <c r="C173" s="278"/>
      <c r="D173" s="247"/>
      <c r="E173" s="238"/>
      <c r="F173" s="278"/>
      <c r="G173" s="278"/>
      <c r="H173" s="278"/>
      <c r="I173" s="278"/>
      <c r="J173" s="278"/>
      <c r="K173" s="278"/>
      <c r="L173" s="278"/>
      <c r="M173" s="278"/>
      <c r="N173" s="278"/>
      <c r="O173" s="282"/>
      <c r="Q173" s="273">
        <f t="shared" si="25"/>
        <v>0</v>
      </c>
      <c r="R173" s="274">
        <f t="shared" si="26"/>
        <v>0</v>
      </c>
      <c r="S173" s="275">
        <f t="shared" si="27"/>
        <v>0</v>
      </c>
      <c r="T173" s="275">
        <f t="shared" si="28"/>
        <v>0</v>
      </c>
      <c r="U173" s="273">
        <f t="shared" si="29"/>
        <v>0</v>
      </c>
      <c r="V173" s="273">
        <f t="shared" si="30"/>
        <v>0</v>
      </c>
      <c r="W173" s="273">
        <f t="shared" si="31"/>
        <v>0</v>
      </c>
      <c r="X173" s="273">
        <f t="shared" si="32"/>
        <v>0</v>
      </c>
      <c r="Y173" s="273">
        <f t="shared" si="33"/>
        <v>0</v>
      </c>
      <c r="Z173" s="273">
        <f t="shared" si="34"/>
        <v>0</v>
      </c>
      <c r="AA173" s="273">
        <f t="shared" si="35"/>
        <v>0</v>
      </c>
      <c r="AB173" s="276">
        <f t="shared" si="36"/>
        <v>0</v>
      </c>
      <c r="AC173" s="276">
        <f t="shared" si="37"/>
        <v>0</v>
      </c>
      <c r="AD173" s="276">
        <f t="shared" si="38"/>
        <v>0</v>
      </c>
    </row>
    <row r="174" spans="1:30">
      <c r="A174" s="59">
        <f t="shared" si="39"/>
        <v>89</v>
      </c>
      <c r="B174" s="278"/>
      <c r="C174" s="278"/>
      <c r="D174" s="247"/>
      <c r="E174" s="238"/>
      <c r="F174" s="278"/>
      <c r="G174" s="278"/>
      <c r="H174" s="278"/>
      <c r="I174" s="278"/>
      <c r="J174" s="278"/>
      <c r="K174" s="278"/>
      <c r="L174" s="278"/>
      <c r="M174" s="278"/>
      <c r="N174" s="278"/>
      <c r="O174" s="282"/>
      <c r="Q174" s="273">
        <f t="shared" si="25"/>
        <v>0</v>
      </c>
      <c r="R174" s="274">
        <f t="shared" si="26"/>
        <v>0</v>
      </c>
      <c r="S174" s="275">
        <f t="shared" si="27"/>
        <v>0</v>
      </c>
      <c r="T174" s="275">
        <f t="shared" si="28"/>
        <v>0</v>
      </c>
      <c r="U174" s="273">
        <f t="shared" si="29"/>
        <v>0</v>
      </c>
      <c r="V174" s="273">
        <f t="shared" si="30"/>
        <v>0</v>
      </c>
      <c r="W174" s="273">
        <f t="shared" si="31"/>
        <v>0</v>
      </c>
      <c r="X174" s="273">
        <f t="shared" si="32"/>
        <v>0</v>
      </c>
      <c r="Y174" s="273">
        <f t="shared" si="33"/>
        <v>0</v>
      </c>
      <c r="Z174" s="273">
        <f t="shared" si="34"/>
        <v>0</v>
      </c>
      <c r="AA174" s="273">
        <f t="shared" si="35"/>
        <v>0</v>
      </c>
      <c r="AB174" s="276">
        <f t="shared" si="36"/>
        <v>0</v>
      </c>
      <c r="AC174" s="276">
        <f t="shared" si="37"/>
        <v>0</v>
      </c>
      <c r="AD174" s="276">
        <f t="shared" si="38"/>
        <v>0</v>
      </c>
    </row>
    <row r="175" spans="1:30">
      <c r="A175" s="59">
        <f t="shared" si="39"/>
        <v>90</v>
      </c>
      <c r="B175" s="278"/>
      <c r="C175" s="278"/>
      <c r="D175" s="247"/>
      <c r="E175" s="238"/>
      <c r="F175" s="278"/>
      <c r="G175" s="278"/>
      <c r="H175" s="278"/>
      <c r="I175" s="278"/>
      <c r="J175" s="278"/>
      <c r="K175" s="278"/>
      <c r="L175" s="278"/>
      <c r="M175" s="278"/>
      <c r="N175" s="278"/>
      <c r="O175" s="282"/>
      <c r="Q175" s="273">
        <f t="shared" si="25"/>
        <v>0</v>
      </c>
      <c r="R175" s="274">
        <f t="shared" si="26"/>
        <v>0</v>
      </c>
      <c r="S175" s="275">
        <f t="shared" si="27"/>
        <v>0</v>
      </c>
      <c r="T175" s="275">
        <f t="shared" si="28"/>
        <v>0</v>
      </c>
      <c r="U175" s="273">
        <f t="shared" si="29"/>
        <v>0</v>
      </c>
      <c r="V175" s="273">
        <f t="shared" si="30"/>
        <v>0</v>
      </c>
      <c r="W175" s="273">
        <f t="shared" si="31"/>
        <v>0</v>
      </c>
      <c r="X175" s="273">
        <f t="shared" si="32"/>
        <v>0</v>
      </c>
      <c r="Y175" s="273">
        <f t="shared" si="33"/>
        <v>0</v>
      </c>
      <c r="Z175" s="273">
        <f t="shared" si="34"/>
        <v>0</v>
      </c>
      <c r="AA175" s="273">
        <f t="shared" si="35"/>
        <v>0</v>
      </c>
      <c r="AB175" s="276">
        <f t="shared" si="36"/>
        <v>0</v>
      </c>
      <c r="AC175" s="276">
        <f t="shared" si="37"/>
        <v>0</v>
      </c>
      <c r="AD175" s="276">
        <f t="shared" si="38"/>
        <v>0</v>
      </c>
    </row>
    <row r="176" spans="1:30">
      <c r="A176" s="59">
        <f t="shared" si="39"/>
        <v>91</v>
      </c>
      <c r="B176" s="278"/>
      <c r="C176" s="278"/>
      <c r="D176" s="247"/>
      <c r="E176" s="238"/>
      <c r="F176" s="278"/>
      <c r="G176" s="278"/>
      <c r="H176" s="278"/>
      <c r="I176" s="278"/>
      <c r="J176" s="278"/>
      <c r="K176" s="278"/>
      <c r="L176" s="278"/>
      <c r="M176" s="278"/>
      <c r="N176" s="278"/>
      <c r="O176" s="282"/>
      <c r="Q176" s="273">
        <f t="shared" si="25"/>
        <v>0</v>
      </c>
      <c r="R176" s="274">
        <f t="shared" si="26"/>
        <v>0</v>
      </c>
      <c r="S176" s="275">
        <f t="shared" si="27"/>
        <v>0</v>
      </c>
      <c r="T176" s="275">
        <f t="shared" si="28"/>
        <v>0</v>
      </c>
      <c r="U176" s="273">
        <f t="shared" si="29"/>
        <v>0</v>
      </c>
      <c r="V176" s="273">
        <f t="shared" si="30"/>
        <v>0</v>
      </c>
      <c r="W176" s="273">
        <f t="shared" si="31"/>
        <v>0</v>
      </c>
      <c r="X176" s="273">
        <f t="shared" si="32"/>
        <v>0</v>
      </c>
      <c r="Y176" s="273">
        <f t="shared" si="33"/>
        <v>0</v>
      </c>
      <c r="Z176" s="273">
        <f t="shared" si="34"/>
        <v>0</v>
      </c>
      <c r="AA176" s="273">
        <f t="shared" si="35"/>
        <v>0</v>
      </c>
      <c r="AB176" s="276">
        <f t="shared" si="36"/>
        <v>0</v>
      </c>
      <c r="AC176" s="276">
        <f t="shared" si="37"/>
        <v>0</v>
      </c>
      <c r="AD176" s="276">
        <f t="shared" si="38"/>
        <v>0</v>
      </c>
    </row>
    <row r="177" spans="1:30">
      <c r="A177" s="59">
        <f t="shared" si="39"/>
        <v>92</v>
      </c>
      <c r="B177" s="278"/>
      <c r="C177" s="278"/>
      <c r="D177" s="247"/>
      <c r="E177" s="238"/>
      <c r="F177" s="278"/>
      <c r="G177" s="278"/>
      <c r="H177" s="278"/>
      <c r="I177" s="278"/>
      <c r="J177" s="278"/>
      <c r="K177" s="278"/>
      <c r="L177" s="278"/>
      <c r="M177" s="278"/>
      <c r="N177" s="278"/>
      <c r="O177" s="282"/>
      <c r="Q177" s="273">
        <f t="shared" si="25"/>
        <v>0</v>
      </c>
      <c r="R177" s="274">
        <f t="shared" si="26"/>
        <v>0</v>
      </c>
      <c r="S177" s="275">
        <f t="shared" si="27"/>
        <v>0</v>
      </c>
      <c r="T177" s="275">
        <f t="shared" si="28"/>
        <v>0</v>
      </c>
      <c r="U177" s="273">
        <f t="shared" si="29"/>
        <v>0</v>
      </c>
      <c r="V177" s="273">
        <f t="shared" si="30"/>
        <v>0</v>
      </c>
      <c r="W177" s="273">
        <f t="shared" si="31"/>
        <v>0</v>
      </c>
      <c r="X177" s="273">
        <f t="shared" si="32"/>
        <v>0</v>
      </c>
      <c r="Y177" s="273">
        <f t="shared" si="33"/>
        <v>0</v>
      </c>
      <c r="Z177" s="273">
        <f t="shared" si="34"/>
        <v>0</v>
      </c>
      <c r="AA177" s="273">
        <f t="shared" si="35"/>
        <v>0</v>
      </c>
      <c r="AB177" s="276">
        <f t="shared" si="36"/>
        <v>0</v>
      </c>
      <c r="AC177" s="276">
        <f t="shared" si="37"/>
        <v>0</v>
      </c>
      <c r="AD177" s="276">
        <f t="shared" si="38"/>
        <v>0</v>
      </c>
    </row>
    <row r="178" spans="1:30">
      <c r="A178" s="59">
        <f t="shared" si="39"/>
        <v>93</v>
      </c>
      <c r="B178" s="278"/>
      <c r="C178" s="278"/>
      <c r="D178" s="247"/>
      <c r="E178" s="238"/>
      <c r="F178" s="278"/>
      <c r="G178" s="278"/>
      <c r="H178" s="278"/>
      <c r="I178" s="278"/>
      <c r="J178" s="278"/>
      <c r="K178" s="278"/>
      <c r="L178" s="278"/>
      <c r="M178" s="278"/>
      <c r="N178" s="278"/>
      <c r="O178" s="282"/>
      <c r="Q178" s="273">
        <f t="shared" si="25"/>
        <v>0</v>
      </c>
      <c r="R178" s="274">
        <f t="shared" si="26"/>
        <v>0</v>
      </c>
      <c r="S178" s="275">
        <f t="shared" si="27"/>
        <v>0</v>
      </c>
      <c r="T178" s="275">
        <f t="shared" si="28"/>
        <v>0</v>
      </c>
      <c r="U178" s="273">
        <f t="shared" si="29"/>
        <v>0</v>
      </c>
      <c r="V178" s="273">
        <f t="shared" si="30"/>
        <v>0</v>
      </c>
      <c r="W178" s="273">
        <f t="shared" si="31"/>
        <v>0</v>
      </c>
      <c r="X178" s="273">
        <f t="shared" si="32"/>
        <v>0</v>
      </c>
      <c r="Y178" s="273">
        <f t="shared" si="33"/>
        <v>0</v>
      </c>
      <c r="Z178" s="273">
        <f t="shared" si="34"/>
        <v>0</v>
      </c>
      <c r="AA178" s="273">
        <f t="shared" si="35"/>
        <v>0</v>
      </c>
      <c r="AB178" s="276">
        <f t="shared" si="36"/>
        <v>0</v>
      </c>
      <c r="AC178" s="276">
        <f t="shared" si="37"/>
        <v>0</v>
      </c>
      <c r="AD178" s="276">
        <f t="shared" si="38"/>
        <v>0</v>
      </c>
    </row>
    <row r="179" spans="1:30">
      <c r="A179" s="59">
        <f t="shared" si="39"/>
        <v>94</v>
      </c>
      <c r="B179" s="278"/>
      <c r="C179" s="278"/>
      <c r="D179" s="247"/>
      <c r="E179" s="238"/>
      <c r="F179" s="278"/>
      <c r="G179" s="278"/>
      <c r="H179" s="278"/>
      <c r="I179" s="278"/>
      <c r="J179" s="278"/>
      <c r="K179" s="278"/>
      <c r="L179" s="278"/>
      <c r="M179" s="278"/>
      <c r="N179" s="278"/>
      <c r="O179" s="282"/>
      <c r="Q179" s="273">
        <f t="shared" si="25"/>
        <v>0</v>
      </c>
      <c r="R179" s="274">
        <f t="shared" si="26"/>
        <v>0</v>
      </c>
      <c r="S179" s="275">
        <f t="shared" si="27"/>
        <v>0</v>
      </c>
      <c r="T179" s="275">
        <f t="shared" si="28"/>
        <v>0</v>
      </c>
      <c r="U179" s="273">
        <f t="shared" si="29"/>
        <v>0</v>
      </c>
      <c r="V179" s="273">
        <f t="shared" si="30"/>
        <v>0</v>
      </c>
      <c r="W179" s="273">
        <f t="shared" si="31"/>
        <v>0</v>
      </c>
      <c r="X179" s="273">
        <f t="shared" si="32"/>
        <v>0</v>
      </c>
      <c r="Y179" s="273">
        <f t="shared" si="33"/>
        <v>0</v>
      </c>
      <c r="Z179" s="273">
        <f t="shared" si="34"/>
        <v>0</v>
      </c>
      <c r="AA179" s="273">
        <f t="shared" si="35"/>
        <v>0</v>
      </c>
      <c r="AB179" s="276">
        <f t="shared" si="36"/>
        <v>0</v>
      </c>
      <c r="AC179" s="276">
        <f t="shared" si="37"/>
        <v>0</v>
      </c>
      <c r="AD179" s="276">
        <f t="shared" si="38"/>
        <v>0</v>
      </c>
    </row>
    <row r="180" spans="1:30">
      <c r="A180" s="59">
        <f t="shared" si="39"/>
        <v>95</v>
      </c>
      <c r="B180" s="278"/>
      <c r="C180" s="278"/>
      <c r="D180" s="247"/>
      <c r="E180" s="238"/>
      <c r="F180" s="278"/>
      <c r="G180" s="278"/>
      <c r="H180" s="278"/>
      <c r="I180" s="278"/>
      <c r="J180" s="278"/>
      <c r="K180" s="278"/>
      <c r="L180" s="278"/>
      <c r="M180" s="278"/>
      <c r="N180" s="278"/>
      <c r="O180" s="282"/>
      <c r="Q180" s="273">
        <f t="shared" si="25"/>
        <v>0</v>
      </c>
      <c r="R180" s="274">
        <f t="shared" si="26"/>
        <v>0</v>
      </c>
      <c r="S180" s="275">
        <f t="shared" si="27"/>
        <v>0</v>
      </c>
      <c r="T180" s="275">
        <f t="shared" si="28"/>
        <v>0</v>
      </c>
      <c r="U180" s="273">
        <f t="shared" si="29"/>
        <v>0</v>
      </c>
      <c r="V180" s="273">
        <f t="shared" si="30"/>
        <v>0</v>
      </c>
      <c r="W180" s="273">
        <f t="shared" si="31"/>
        <v>0</v>
      </c>
      <c r="X180" s="273">
        <f t="shared" si="32"/>
        <v>0</v>
      </c>
      <c r="Y180" s="273">
        <f t="shared" si="33"/>
        <v>0</v>
      </c>
      <c r="Z180" s="273">
        <f t="shared" si="34"/>
        <v>0</v>
      </c>
      <c r="AA180" s="273">
        <f t="shared" si="35"/>
        <v>0</v>
      </c>
      <c r="AB180" s="276">
        <f t="shared" si="36"/>
        <v>0</v>
      </c>
      <c r="AC180" s="276">
        <f t="shared" si="37"/>
        <v>0</v>
      </c>
      <c r="AD180" s="276">
        <f t="shared" si="38"/>
        <v>0</v>
      </c>
    </row>
    <row r="181" spans="1:30">
      <c r="A181" s="59">
        <f t="shared" si="39"/>
        <v>96</v>
      </c>
      <c r="B181" s="278"/>
      <c r="C181" s="278"/>
      <c r="D181" s="247"/>
      <c r="E181" s="238"/>
      <c r="F181" s="278"/>
      <c r="G181" s="278"/>
      <c r="H181" s="278"/>
      <c r="I181" s="278"/>
      <c r="J181" s="278"/>
      <c r="K181" s="278"/>
      <c r="L181" s="278"/>
      <c r="M181" s="278"/>
      <c r="N181" s="278"/>
      <c r="O181" s="282"/>
      <c r="Q181" s="273">
        <f t="shared" si="25"/>
        <v>0</v>
      </c>
      <c r="R181" s="274">
        <f t="shared" si="26"/>
        <v>0</v>
      </c>
      <c r="S181" s="275">
        <f t="shared" si="27"/>
        <v>0</v>
      </c>
      <c r="T181" s="275">
        <f t="shared" si="28"/>
        <v>0</v>
      </c>
      <c r="U181" s="273">
        <f t="shared" si="29"/>
        <v>0</v>
      </c>
      <c r="V181" s="273">
        <f t="shared" si="30"/>
        <v>0</v>
      </c>
      <c r="W181" s="273">
        <f t="shared" si="31"/>
        <v>0</v>
      </c>
      <c r="X181" s="273">
        <f t="shared" si="32"/>
        <v>0</v>
      </c>
      <c r="Y181" s="273">
        <f t="shared" si="33"/>
        <v>0</v>
      </c>
      <c r="Z181" s="273">
        <f t="shared" si="34"/>
        <v>0</v>
      </c>
      <c r="AA181" s="273">
        <f t="shared" si="35"/>
        <v>0</v>
      </c>
      <c r="AB181" s="276">
        <f t="shared" si="36"/>
        <v>0</v>
      </c>
      <c r="AC181" s="276">
        <f t="shared" si="37"/>
        <v>0</v>
      </c>
      <c r="AD181" s="276">
        <f t="shared" si="38"/>
        <v>0</v>
      </c>
    </row>
    <row r="182" spans="1:30">
      <c r="A182" s="59">
        <f t="shared" si="39"/>
        <v>97</v>
      </c>
      <c r="B182" s="278"/>
      <c r="C182" s="278"/>
      <c r="D182" s="247"/>
      <c r="E182" s="238"/>
      <c r="F182" s="278"/>
      <c r="G182" s="278"/>
      <c r="H182" s="278"/>
      <c r="I182" s="278"/>
      <c r="J182" s="278"/>
      <c r="K182" s="278"/>
      <c r="L182" s="278"/>
      <c r="M182" s="278"/>
      <c r="N182" s="278"/>
      <c r="O182" s="282"/>
      <c r="Q182" s="273">
        <f t="shared" si="25"/>
        <v>0</v>
      </c>
      <c r="R182" s="274">
        <f t="shared" si="26"/>
        <v>0</v>
      </c>
      <c r="S182" s="275">
        <f t="shared" si="27"/>
        <v>0</v>
      </c>
      <c r="T182" s="275">
        <f t="shared" si="28"/>
        <v>0</v>
      </c>
      <c r="U182" s="273">
        <f t="shared" si="29"/>
        <v>0</v>
      </c>
      <c r="V182" s="273">
        <f t="shared" si="30"/>
        <v>0</v>
      </c>
      <c r="W182" s="273">
        <f t="shared" si="31"/>
        <v>0</v>
      </c>
      <c r="X182" s="273">
        <f t="shared" si="32"/>
        <v>0</v>
      </c>
      <c r="Y182" s="273">
        <f t="shared" si="33"/>
        <v>0</v>
      </c>
      <c r="Z182" s="273">
        <f t="shared" si="34"/>
        <v>0</v>
      </c>
      <c r="AA182" s="273">
        <f t="shared" si="35"/>
        <v>0</v>
      </c>
      <c r="AB182" s="276">
        <f t="shared" si="36"/>
        <v>0</v>
      </c>
      <c r="AC182" s="276">
        <f t="shared" si="37"/>
        <v>0</v>
      </c>
      <c r="AD182" s="276">
        <f t="shared" si="38"/>
        <v>0</v>
      </c>
    </row>
    <row r="183" spans="1:30">
      <c r="A183" s="59">
        <f t="shared" si="39"/>
        <v>98</v>
      </c>
      <c r="B183" s="278"/>
      <c r="C183" s="278"/>
      <c r="D183" s="247"/>
      <c r="E183" s="238"/>
      <c r="F183" s="278"/>
      <c r="G183" s="278"/>
      <c r="H183" s="278"/>
      <c r="I183" s="278"/>
      <c r="J183" s="278"/>
      <c r="K183" s="278"/>
      <c r="L183" s="278"/>
      <c r="M183" s="278"/>
      <c r="N183" s="278"/>
      <c r="O183" s="282"/>
      <c r="Q183" s="273">
        <f t="shared" si="25"/>
        <v>0</v>
      </c>
      <c r="R183" s="274">
        <f t="shared" si="26"/>
        <v>0</v>
      </c>
      <c r="S183" s="275">
        <f t="shared" si="27"/>
        <v>0</v>
      </c>
      <c r="T183" s="275">
        <f t="shared" si="28"/>
        <v>0</v>
      </c>
      <c r="U183" s="273">
        <f t="shared" si="29"/>
        <v>0</v>
      </c>
      <c r="V183" s="273">
        <f t="shared" si="30"/>
        <v>0</v>
      </c>
      <c r="W183" s="273">
        <f t="shared" si="31"/>
        <v>0</v>
      </c>
      <c r="X183" s="273">
        <f t="shared" si="32"/>
        <v>0</v>
      </c>
      <c r="Y183" s="273">
        <f t="shared" si="33"/>
        <v>0</v>
      </c>
      <c r="Z183" s="273">
        <f t="shared" si="34"/>
        <v>0</v>
      </c>
      <c r="AA183" s="273">
        <f t="shared" si="35"/>
        <v>0</v>
      </c>
      <c r="AB183" s="276">
        <f t="shared" si="36"/>
        <v>0</v>
      </c>
      <c r="AC183" s="276">
        <f t="shared" si="37"/>
        <v>0</v>
      </c>
      <c r="AD183" s="276">
        <f t="shared" si="38"/>
        <v>0</v>
      </c>
    </row>
    <row r="184" spans="1:30">
      <c r="A184" s="59">
        <f t="shared" si="39"/>
        <v>99</v>
      </c>
      <c r="B184" s="278"/>
      <c r="C184" s="278"/>
      <c r="D184" s="247"/>
      <c r="E184" s="238"/>
      <c r="F184" s="278"/>
      <c r="G184" s="278"/>
      <c r="H184" s="278"/>
      <c r="I184" s="278"/>
      <c r="J184" s="278"/>
      <c r="K184" s="278"/>
      <c r="L184" s="278"/>
      <c r="M184" s="278"/>
      <c r="N184" s="278"/>
      <c r="O184" s="282"/>
      <c r="Q184" s="273">
        <f t="shared" si="25"/>
        <v>0</v>
      </c>
      <c r="R184" s="274">
        <f t="shared" si="26"/>
        <v>0</v>
      </c>
      <c r="S184" s="275">
        <f t="shared" si="27"/>
        <v>0</v>
      </c>
      <c r="T184" s="275">
        <f t="shared" si="28"/>
        <v>0</v>
      </c>
      <c r="U184" s="273">
        <f t="shared" si="29"/>
        <v>0</v>
      </c>
      <c r="V184" s="273">
        <f t="shared" si="30"/>
        <v>0</v>
      </c>
      <c r="W184" s="273">
        <f t="shared" si="31"/>
        <v>0</v>
      </c>
      <c r="X184" s="273">
        <f t="shared" si="32"/>
        <v>0</v>
      </c>
      <c r="Y184" s="273">
        <f t="shared" si="33"/>
        <v>0</v>
      </c>
      <c r="Z184" s="273">
        <f t="shared" si="34"/>
        <v>0</v>
      </c>
      <c r="AA184" s="273">
        <f t="shared" si="35"/>
        <v>0</v>
      </c>
      <c r="AB184" s="276">
        <f t="shared" si="36"/>
        <v>0</v>
      </c>
      <c r="AC184" s="276">
        <f t="shared" si="37"/>
        <v>0</v>
      </c>
      <c r="AD184" s="276">
        <f t="shared" si="38"/>
        <v>0</v>
      </c>
    </row>
    <row r="185" spans="1:30">
      <c r="A185" s="59">
        <f t="shared" si="39"/>
        <v>100</v>
      </c>
      <c r="B185" s="278"/>
      <c r="C185" s="278"/>
      <c r="D185" s="247"/>
      <c r="E185" s="238"/>
      <c r="F185" s="278"/>
      <c r="G185" s="278"/>
      <c r="H185" s="278"/>
      <c r="I185" s="278"/>
      <c r="J185" s="278"/>
      <c r="K185" s="278"/>
      <c r="L185" s="278"/>
      <c r="M185" s="278"/>
      <c r="N185" s="278"/>
      <c r="O185" s="282"/>
      <c r="Q185" s="273">
        <f t="shared" si="25"/>
        <v>0</v>
      </c>
      <c r="R185" s="274">
        <f t="shared" si="26"/>
        <v>0</v>
      </c>
      <c r="S185" s="275">
        <f t="shared" si="27"/>
        <v>0</v>
      </c>
      <c r="T185" s="275">
        <f t="shared" si="28"/>
        <v>0</v>
      </c>
      <c r="U185" s="273">
        <f t="shared" si="29"/>
        <v>0</v>
      </c>
      <c r="V185" s="273">
        <f t="shared" si="30"/>
        <v>0</v>
      </c>
      <c r="W185" s="273">
        <f t="shared" si="31"/>
        <v>0</v>
      </c>
      <c r="X185" s="273">
        <f t="shared" si="32"/>
        <v>0</v>
      </c>
      <c r="Y185" s="273">
        <f t="shared" si="33"/>
        <v>0</v>
      </c>
      <c r="Z185" s="273">
        <f t="shared" si="34"/>
        <v>0</v>
      </c>
      <c r="AA185" s="273">
        <f t="shared" si="35"/>
        <v>0</v>
      </c>
      <c r="AB185" s="276">
        <f t="shared" si="36"/>
        <v>0</v>
      </c>
      <c r="AC185" s="276">
        <f t="shared" si="37"/>
        <v>0</v>
      </c>
      <c r="AD185" s="276">
        <f t="shared" si="38"/>
        <v>0</v>
      </c>
    </row>
    <row r="186" spans="1:30">
      <c r="A186" s="59">
        <f t="shared" si="39"/>
        <v>101</v>
      </c>
      <c r="B186" s="278"/>
      <c r="C186" s="278"/>
      <c r="D186" s="247"/>
      <c r="E186" s="238"/>
      <c r="F186" s="278"/>
      <c r="G186" s="278"/>
      <c r="H186" s="278"/>
      <c r="I186" s="278"/>
      <c r="J186" s="278"/>
      <c r="K186" s="278"/>
      <c r="L186" s="278"/>
      <c r="M186" s="278"/>
      <c r="N186" s="278"/>
      <c r="O186" s="282"/>
      <c r="Q186" s="273">
        <f t="shared" si="25"/>
        <v>0</v>
      </c>
      <c r="R186" s="274">
        <f t="shared" si="26"/>
        <v>0</v>
      </c>
      <c r="S186" s="275">
        <f t="shared" si="27"/>
        <v>0</v>
      </c>
      <c r="T186" s="275">
        <f t="shared" si="28"/>
        <v>0</v>
      </c>
      <c r="U186" s="273">
        <f t="shared" si="29"/>
        <v>0</v>
      </c>
      <c r="V186" s="273">
        <f t="shared" si="30"/>
        <v>0</v>
      </c>
      <c r="W186" s="273">
        <f t="shared" si="31"/>
        <v>0</v>
      </c>
      <c r="X186" s="273">
        <f t="shared" si="32"/>
        <v>0</v>
      </c>
      <c r="Y186" s="273">
        <f t="shared" si="33"/>
        <v>0</v>
      </c>
      <c r="Z186" s="273">
        <f t="shared" si="34"/>
        <v>0</v>
      </c>
      <c r="AA186" s="273">
        <f t="shared" si="35"/>
        <v>0</v>
      </c>
      <c r="AB186" s="276">
        <f t="shared" si="36"/>
        <v>0</v>
      </c>
      <c r="AC186" s="276">
        <f t="shared" si="37"/>
        <v>0</v>
      </c>
      <c r="AD186" s="276">
        <f t="shared" si="38"/>
        <v>0</v>
      </c>
    </row>
    <row r="187" spans="1:30">
      <c r="A187" s="59">
        <f t="shared" si="39"/>
        <v>102</v>
      </c>
      <c r="B187" s="278"/>
      <c r="C187" s="278"/>
      <c r="D187" s="247"/>
      <c r="E187" s="238"/>
      <c r="F187" s="278"/>
      <c r="G187" s="278"/>
      <c r="H187" s="278"/>
      <c r="I187" s="278"/>
      <c r="J187" s="278"/>
      <c r="K187" s="278"/>
      <c r="L187" s="278"/>
      <c r="M187" s="278"/>
      <c r="N187" s="278"/>
      <c r="O187" s="282"/>
      <c r="Q187" s="273">
        <f t="shared" si="25"/>
        <v>0</v>
      </c>
      <c r="R187" s="274">
        <f t="shared" si="26"/>
        <v>0</v>
      </c>
      <c r="S187" s="275">
        <f t="shared" si="27"/>
        <v>0</v>
      </c>
      <c r="T187" s="275">
        <f t="shared" si="28"/>
        <v>0</v>
      </c>
      <c r="U187" s="273">
        <f t="shared" si="29"/>
        <v>0</v>
      </c>
      <c r="V187" s="273">
        <f t="shared" si="30"/>
        <v>0</v>
      </c>
      <c r="W187" s="273">
        <f t="shared" si="31"/>
        <v>0</v>
      </c>
      <c r="X187" s="273">
        <f t="shared" si="32"/>
        <v>0</v>
      </c>
      <c r="Y187" s="273">
        <f t="shared" si="33"/>
        <v>0</v>
      </c>
      <c r="Z187" s="273">
        <f t="shared" si="34"/>
        <v>0</v>
      </c>
      <c r="AA187" s="273">
        <f t="shared" si="35"/>
        <v>0</v>
      </c>
      <c r="AB187" s="276">
        <f t="shared" si="36"/>
        <v>0</v>
      </c>
      <c r="AC187" s="276">
        <f t="shared" si="37"/>
        <v>0</v>
      </c>
      <c r="AD187" s="276">
        <f t="shared" si="38"/>
        <v>0</v>
      </c>
    </row>
    <row r="188" spans="1:30">
      <c r="A188" s="59">
        <f t="shared" si="39"/>
        <v>103</v>
      </c>
      <c r="B188" s="278"/>
      <c r="C188" s="278"/>
      <c r="D188" s="247"/>
      <c r="E188" s="238"/>
      <c r="F188" s="278"/>
      <c r="G188" s="278"/>
      <c r="H188" s="278"/>
      <c r="I188" s="278"/>
      <c r="J188" s="278"/>
      <c r="K188" s="278"/>
      <c r="L188" s="278"/>
      <c r="M188" s="278"/>
      <c r="N188" s="278"/>
      <c r="O188" s="282"/>
      <c r="Q188" s="273">
        <f t="shared" si="25"/>
        <v>0</v>
      </c>
      <c r="R188" s="274">
        <f t="shared" si="26"/>
        <v>0</v>
      </c>
      <c r="S188" s="275">
        <f t="shared" si="27"/>
        <v>0</v>
      </c>
      <c r="T188" s="275">
        <f t="shared" si="28"/>
        <v>0</v>
      </c>
      <c r="U188" s="273">
        <f t="shared" si="29"/>
        <v>0</v>
      </c>
      <c r="V188" s="273">
        <f t="shared" si="30"/>
        <v>0</v>
      </c>
      <c r="W188" s="273">
        <f t="shared" si="31"/>
        <v>0</v>
      </c>
      <c r="X188" s="273">
        <f t="shared" si="32"/>
        <v>0</v>
      </c>
      <c r="Y188" s="273">
        <f t="shared" si="33"/>
        <v>0</v>
      </c>
      <c r="Z188" s="273">
        <f t="shared" si="34"/>
        <v>0</v>
      </c>
      <c r="AA188" s="273">
        <f t="shared" si="35"/>
        <v>0</v>
      </c>
      <c r="AB188" s="276">
        <f t="shared" si="36"/>
        <v>0</v>
      </c>
      <c r="AC188" s="276">
        <f t="shared" si="37"/>
        <v>0</v>
      </c>
      <c r="AD188" s="276">
        <f t="shared" si="38"/>
        <v>0</v>
      </c>
    </row>
    <row r="189" spans="1:30">
      <c r="A189" s="59">
        <f t="shared" si="39"/>
        <v>104</v>
      </c>
      <c r="B189" s="278"/>
      <c r="C189" s="278"/>
      <c r="D189" s="278"/>
      <c r="E189" s="238"/>
      <c r="F189" s="278"/>
      <c r="G189" s="278"/>
      <c r="H189" s="278"/>
      <c r="I189" s="278"/>
      <c r="J189" s="278"/>
      <c r="K189" s="278"/>
      <c r="L189" s="278"/>
      <c r="M189" s="278"/>
      <c r="N189" s="278"/>
      <c r="O189" s="282"/>
      <c r="Q189" s="273">
        <f t="shared" si="25"/>
        <v>0</v>
      </c>
      <c r="R189" s="274">
        <f t="shared" si="26"/>
        <v>0</v>
      </c>
      <c r="S189" s="275">
        <f t="shared" si="27"/>
        <v>0</v>
      </c>
      <c r="T189" s="275">
        <f t="shared" si="28"/>
        <v>0</v>
      </c>
      <c r="U189" s="273">
        <f t="shared" si="29"/>
        <v>0</v>
      </c>
      <c r="V189" s="273">
        <f t="shared" si="30"/>
        <v>0</v>
      </c>
      <c r="W189" s="273">
        <f t="shared" si="31"/>
        <v>0</v>
      </c>
      <c r="X189" s="273">
        <f t="shared" si="32"/>
        <v>0</v>
      </c>
      <c r="Y189" s="273">
        <f t="shared" si="33"/>
        <v>0</v>
      </c>
      <c r="Z189" s="273">
        <f t="shared" si="34"/>
        <v>0</v>
      </c>
      <c r="AA189" s="273">
        <f t="shared" si="35"/>
        <v>0</v>
      </c>
      <c r="AB189" s="276">
        <f t="shared" si="36"/>
        <v>0</v>
      </c>
      <c r="AC189" s="276">
        <f t="shared" si="37"/>
        <v>0</v>
      </c>
      <c r="AD189" s="276">
        <f t="shared" si="38"/>
        <v>0</v>
      </c>
    </row>
    <row r="190" spans="1:30">
      <c r="A190" s="59">
        <f t="shared" si="39"/>
        <v>105</v>
      </c>
      <c r="B190" s="278"/>
      <c r="C190" s="278"/>
      <c r="D190" s="278"/>
      <c r="E190" s="238"/>
      <c r="F190" s="278"/>
      <c r="G190" s="278"/>
      <c r="H190" s="278"/>
      <c r="I190" s="278"/>
      <c r="J190" s="278"/>
      <c r="K190" s="278"/>
      <c r="L190" s="278"/>
      <c r="M190" s="278"/>
      <c r="N190" s="278"/>
      <c r="O190" s="282"/>
      <c r="Q190" s="273">
        <f t="shared" si="25"/>
        <v>0</v>
      </c>
      <c r="R190" s="274">
        <f t="shared" si="26"/>
        <v>0</v>
      </c>
      <c r="S190" s="275">
        <f t="shared" si="27"/>
        <v>0</v>
      </c>
      <c r="T190" s="275">
        <f t="shared" si="28"/>
        <v>0</v>
      </c>
      <c r="U190" s="273">
        <f t="shared" si="29"/>
        <v>0</v>
      </c>
      <c r="V190" s="273">
        <f t="shared" si="30"/>
        <v>0</v>
      </c>
      <c r="W190" s="273">
        <f t="shared" si="31"/>
        <v>0</v>
      </c>
      <c r="X190" s="273">
        <f t="shared" si="32"/>
        <v>0</v>
      </c>
      <c r="Y190" s="273">
        <f t="shared" si="33"/>
        <v>0</v>
      </c>
      <c r="Z190" s="273">
        <f t="shared" si="34"/>
        <v>0</v>
      </c>
      <c r="AA190" s="273">
        <f t="shared" si="35"/>
        <v>0</v>
      </c>
      <c r="AB190" s="276">
        <f t="shared" si="36"/>
        <v>0</v>
      </c>
      <c r="AC190" s="276">
        <f t="shared" si="37"/>
        <v>0</v>
      </c>
      <c r="AD190" s="276">
        <f t="shared" si="38"/>
        <v>0</v>
      </c>
    </row>
    <row r="191" spans="1:30">
      <c r="A191" s="59">
        <f t="shared" si="39"/>
        <v>106</v>
      </c>
      <c r="B191" s="278"/>
      <c r="C191" s="278"/>
      <c r="D191" s="278"/>
      <c r="E191" s="238"/>
      <c r="F191" s="278"/>
      <c r="G191" s="278"/>
      <c r="H191" s="278"/>
      <c r="I191" s="278"/>
      <c r="J191" s="278"/>
      <c r="K191" s="278"/>
      <c r="L191" s="278"/>
      <c r="M191" s="278"/>
      <c r="N191" s="278"/>
      <c r="O191" s="282"/>
      <c r="Q191" s="273">
        <f t="shared" si="25"/>
        <v>0</v>
      </c>
      <c r="R191" s="274">
        <f t="shared" si="26"/>
        <v>0</v>
      </c>
      <c r="S191" s="275">
        <f t="shared" si="27"/>
        <v>0</v>
      </c>
      <c r="T191" s="275">
        <f t="shared" si="28"/>
        <v>0</v>
      </c>
      <c r="U191" s="273">
        <f t="shared" si="29"/>
        <v>0</v>
      </c>
      <c r="V191" s="273">
        <f t="shared" si="30"/>
        <v>0</v>
      </c>
      <c r="W191" s="273">
        <f t="shared" si="31"/>
        <v>0</v>
      </c>
      <c r="X191" s="273">
        <f t="shared" si="32"/>
        <v>0</v>
      </c>
      <c r="Y191" s="273">
        <f t="shared" si="33"/>
        <v>0</v>
      </c>
      <c r="Z191" s="273">
        <f t="shared" si="34"/>
        <v>0</v>
      </c>
      <c r="AA191" s="273">
        <f t="shared" si="35"/>
        <v>0</v>
      </c>
      <c r="AB191" s="276">
        <f t="shared" si="36"/>
        <v>0</v>
      </c>
      <c r="AC191" s="276">
        <f t="shared" si="37"/>
        <v>0</v>
      </c>
      <c r="AD191" s="276">
        <f t="shared" si="38"/>
        <v>0</v>
      </c>
    </row>
    <row r="192" spans="1:30">
      <c r="A192" s="59">
        <f t="shared" si="39"/>
        <v>107</v>
      </c>
      <c r="B192" s="278"/>
      <c r="C192" s="278"/>
      <c r="D192" s="278"/>
      <c r="E192" s="238"/>
      <c r="F192" s="278"/>
      <c r="G192" s="278"/>
      <c r="H192" s="278"/>
      <c r="I192" s="278"/>
      <c r="J192" s="278"/>
      <c r="K192" s="278"/>
      <c r="L192" s="278"/>
      <c r="M192" s="278"/>
      <c r="N192" s="278"/>
      <c r="O192" s="282"/>
      <c r="Q192" s="273">
        <f t="shared" si="25"/>
        <v>0</v>
      </c>
      <c r="R192" s="274">
        <f t="shared" si="26"/>
        <v>0</v>
      </c>
      <c r="S192" s="275">
        <f t="shared" si="27"/>
        <v>0</v>
      </c>
      <c r="T192" s="275">
        <f t="shared" si="28"/>
        <v>0</v>
      </c>
      <c r="U192" s="273">
        <f t="shared" si="29"/>
        <v>0</v>
      </c>
      <c r="V192" s="273">
        <f t="shared" si="30"/>
        <v>0</v>
      </c>
      <c r="W192" s="273">
        <f t="shared" si="31"/>
        <v>0</v>
      </c>
      <c r="X192" s="273">
        <f t="shared" si="32"/>
        <v>0</v>
      </c>
      <c r="Y192" s="273">
        <f t="shared" si="33"/>
        <v>0</v>
      </c>
      <c r="Z192" s="273">
        <f t="shared" si="34"/>
        <v>0</v>
      </c>
      <c r="AA192" s="273">
        <f t="shared" si="35"/>
        <v>0</v>
      </c>
      <c r="AB192" s="276">
        <f t="shared" si="36"/>
        <v>0</v>
      </c>
      <c r="AC192" s="276">
        <f t="shared" si="37"/>
        <v>0</v>
      </c>
      <c r="AD192" s="276">
        <f t="shared" si="38"/>
        <v>0</v>
      </c>
    </row>
    <row r="193" spans="1:30">
      <c r="A193" s="59">
        <f t="shared" si="39"/>
        <v>108</v>
      </c>
      <c r="B193" s="278"/>
      <c r="C193" s="278"/>
      <c r="D193" s="278"/>
      <c r="E193" s="238"/>
      <c r="F193" s="278"/>
      <c r="G193" s="278"/>
      <c r="H193" s="278"/>
      <c r="I193" s="278"/>
      <c r="J193" s="278"/>
      <c r="K193" s="278"/>
      <c r="L193" s="278"/>
      <c r="M193" s="278"/>
      <c r="N193" s="278"/>
      <c r="O193" s="282"/>
      <c r="Q193" s="273">
        <f t="shared" si="25"/>
        <v>0</v>
      </c>
      <c r="R193" s="274">
        <f t="shared" si="26"/>
        <v>0</v>
      </c>
      <c r="S193" s="275">
        <f t="shared" si="27"/>
        <v>0</v>
      </c>
      <c r="T193" s="275">
        <f t="shared" si="28"/>
        <v>0</v>
      </c>
      <c r="U193" s="273">
        <f t="shared" si="29"/>
        <v>0</v>
      </c>
      <c r="V193" s="273">
        <f t="shared" si="30"/>
        <v>0</v>
      </c>
      <c r="W193" s="273">
        <f t="shared" si="31"/>
        <v>0</v>
      </c>
      <c r="X193" s="273">
        <f t="shared" si="32"/>
        <v>0</v>
      </c>
      <c r="Y193" s="273">
        <f t="shared" si="33"/>
        <v>0</v>
      </c>
      <c r="Z193" s="273">
        <f t="shared" si="34"/>
        <v>0</v>
      </c>
      <c r="AA193" s="273">
        <f t="shared" si="35"/>
        <v>0</v>
      </c>
      <c r="AB193" s="276">
        <f t="shared" si="36"/>
        <v>0</v>
      </c>
      <c r="AC193" s="276">
        <f t="shared" si="37"/>
        <v>0</v>
      </c>
      <c r="AD193" s="276">
        <f t="shared" si="38"/>
        <v>0</v>
      </c>
    </row>
    <row r="194" spans="1:30">
      <c r="A194" s="59">
        <f t="shared" si="39"/>
        <v>109</v>
      </c>
      <c r="B194" s="278"/>
      <c r="C194" s="278"/>
      <c r="D194" s="278"/>
      <c r="E194" s="238"/>
      <c r="F194" s="278"/>
      <c r="G194" s="278"/>
      <c r="H194" s="278"/>
      <c r="I194" s="278"/>
      <c r="J194" s="278"/>
      <c r="K194" s="278"/>
      <c r="L194" s="278"/>
      <c r="M194" s="278"/>
      <c r="N194" s="278"/>
      <c r="O194" s="282"/>
      <c r="Q194" s="273">
        <f t="shared" si="25"/>
        <v>0</v>
      </c>
      <c r="R194" s="274">
        <f t="shared" si="26"/>
        <v>0</v>
      </c>
      <c r="S194" s="275">
        <f t="shared" si="27"/>
        <v>0</v>
      </c>
      <c r="T194" s="275">
        <f t="shared" si="28"/>
        <v>0</v>
      </c>
      <c r="U194" s="273">
        <f t="shared" si="29"/>
        <v>0</v>
      </c>
      <c r="V194" s="273">
        <f t="shared" si="30"/>
        <v>0</v>
      </c>
      <c r="W194" s="273">
        <f t="shared" si="31"/>
        <v>0</v>
      </c>
      <c r="X194" s="273">
        <f t="shared" si="32"/>
        <v>0</v>
      </c>
      <c r="Y194" s="273">
        <f t="shared" si="33"/>
        <v>0</v>
      </c>
      <c r="Z194" s="273">
        <f t="shared" si="34"/>
        <v>0</v>
      </c>
      <c r="AA194" s="273">
        <f t="shared" si="35"/>
        <v>0</v>
      </c>
      <c r="AB194" s="276">
        <f t="shared" si="36"/>
        <v>0</v>
      </c>
      <c r="AC194" s="276">
        <f t="shared" si="37"/>
        <v>0</v>
      </c>
      <c r="AD194" s="276">
        <f t="shared" si="38"/>
        <v>0</v>
      </c>
    </row>
    <row r="195" spans="1:30">
      <c r="A195" s="59">
        <f t="shared" si="39"/>
        <v>110</v>
      </c>
      <c r="B195" s="278"/>
      <c r="C195" s="278"/>
      <c r="D195" s="278"/>
      <c r="E195" s="238"/>
      <c r="F195" s="278"/>
      <c r="G195" s="278"/>
      <c r="H195" s="278"/>
      <c r="I195" s="278"/>
      <c r="J195" s="278"/>
      <c r="K195" s="278"/>
      <c r="L195" s="278"/>
      <c r="M195" s="278"/>
      <c r="N195" s="278"/>
      <c r="O195" s="282"/>
      <c r="Q195" s="273">
        <f t="shared" si="25"/>
        <v>0</v>
      </c>
      <c r="R195" s="274">
        <f t="shared" si="26"/>
        <v>0</v>
      </c>
      <c r="S195" s="275">
        <f t="shared" si="27"/>
        <v>0</v>
      </c>
      <c r="T195" s="275">
        <f t="shared" si="28"/>
        <v>0</v>
      </c>
      <c r="U195" s="273">
        <f t="shared" si="29"/>
        <v>0</v>
      </c>
      <c r="V195" s="273">
        <f t="shared" si="30"/>
        <v>0</v>
      </c>
      <c r="W195" s="273">
        <f t="shared" si="31"/>
        <v>0</v>
      </c>
      <c r="X195" s="273">
        <f t="shared" si="32"/>
        <v>0</v>
      </c>
      <c r="Y195" s="273">
        <f t="shared" si="33"/>
        <v>0</v>
      </c>
      <c r="Z195" s="273">
        <f t="shared" si="34"/>
        <v>0</v>
      </c>
      <c r="AA195" s="273">
        <f t="shared" si="35"/>
        <v>0</v>
      </c>
      <c r="AB195" s="276">
        <f t="shared" si="36"/>
        <v>0</v>
      </c>
      <c r="AC195" s="276">
        <f t="shared" si="37"/>
        <v>0</v>
      </c>
      <c r="AD195" s="276">
        <f t="shared" si="38"/>
        <v>0</v>
      </c>
    </row>
    <row r="196" spans="1:30">
      <c r="A196" s="59">
        <f t="shared" si="39"/>
        <v>111</v>
      </c>
      <c r="B196" s="278"/>
      <c r="C196" s="278"/>
      <c r="D196" s="278"/>
      <c r="E196" s="238"/>
      <c r="F196" s="278"/>
      <c r="G196" s="278"/>
      <c r="H196" s="278"/>
      <c r="I196" s="278"/>
      <c r="J196" s="278"/>
      <c r="K196" s="278"/>
      <c r="L196" s="278"/>
      <c r="M196" s="278"/>
      <c r="N196" s="278"/>
      <c r="O196" s="282"/>
      <c r="Q196" s="273">
        <f t="shared" si="25"/>
        <v>0</v>
      </c>
      <c r="R196" s="274">
        <f t="shared" si="26"/>
        <v>0</v>
      </c>
      <c r="S196" s="275">
        <f t="shared" si="27"/>
        <v>0</v>
      </c>
      <c r="T196" s="275">
        <f t="shared" si="28"/>
        <v>0</v>
      </c>
      <c r="U196" s="273">
        <f t="shared" si="29"/>
        <v>0</v>
      </c>
      <c r="V196" s="273">
        <f t="shared" si="30"/>
        <v>0</v>
      </c>
      <c r="W196" s="273">
        <f t="shared" si="31"/>
        <v>0</v>
      </c>
      <c r="X196" s="273">
        <f t="shared" si="32"/>
        <v>0</v>
      </c>
      <c r="Y196" s="273">
        <f t="shared" si="33"/>
        <v>0</v>
      </c>
      <c r="Z196" s="273">
        <f t="shared" si="34"/>
        <v>0</v>
      </c>
      <c r="AA196" s="273">
        <f t="shared" si="35"/>
        <v>0</v>
      </c>
      <c r="AB196" s="276">
        <f t="shared" si="36"/>
        <v>0</v>
      </c>
      <c r="AC196" s="276">
        <f t="shared" si="37"/>
        <v>0</v>
      </c>
      <c r="AD196" s="276">
        <f t="shared" si="38"/>
        <v>0</v>
      </c>
    </row>
    <row r="197" spans="1:30">
      <c r="A197" s="59">
        <f t="shared" si="39"/>
        <v>112</v>
      </c>
      <c r="B197" s="278"/>
      <c r="C197" s="278"/>
      <c r="D197" s="278"/>
      <c r="E197" s="238"/>
      <c r="F197" s="278"/>
      <c r="G197" s="278"/>
      <c r="H197" s="278"/>
      <c r="I197" s="278"/>
      <c r="J197" s="278"/>
      <c r="K197" s="278"/>
      <c r="L197" s="278"/>
      <c r="M197" s="278"/>
      <c r="N197" s="278"/>
      <c r="O197" s="282"/>
      <c r="Q197" s="273">
        <f t="shared" si="25"/>
        <v>0</v>
      </c>
      <c r="R197" s="274">
        <f t="shared" si="26"/>
        <v>0</v>
      </c>
      <c r="S197" s="275">
        <f t="shared" si="27"/>
        <v>0</v>
      </c>
      <c r="T197" s="275">
        <f t="shared" si="28"/>
        <v>0</v>
      </c>
      <c r="U197" s="273">
        <f t="shared" si="29"/>
        <v>0</v>
      </c>
      <c r="V197" s="273">
        <f t="shared" si="30"/>
        <v>0</v>
      </c>
      <c r="W197" s="273">
        <f t="shared" si="31"/>
        <v>0</v>
      </c>
      <c r="X197" s="273">
        <f t="shared" si="32"/>
        <v>0</v>
      </c>
      <c r="Y197" s="273">
        <f t="shared" si="33"/>
        <v>0</v>
      </c>
      <c r="Z197" s="273">
        <f t="shared" si="34"/>
        <v>0</v>
      </c>
      <c r="AA197" s="273">
        <f t="shared" si="35"/>
        <v>0</v>
      </c>
      <c r="AB197" s="276">
        <f t="shared" si="36"/>
        <v>0</v>
      </c>
      <c r="AC197" s="276">
        <f t="shared" si="37"/>
        <v>0</v>
      </c>
      <c r="AD197" s="276">
        <f t="shared" si="38"/>
        <v>0</v>
      </c>
    </row>
    <row r="198" spans="1:30">
      <c r="A198" s="59">
        <f t="shared" si="39"/>
        <v>113</v>
      </c>
      <c r="B198" s="278"/>
      <c r="C198" s="278"/>
      <c r="D198" s="278"/>
      <c r="E198" s="238"/>
      <c r="F198" s="278"/>
      <c r="G198" s="278"/>
      <c r="H198" s="278"/>
      <c r="I198" s="278"/>
      <c r="J198" s="278"/>
      <c r="K198" s="278"/>
      <c r="L198" s="278"/>
      <c r="M198" s="278"/>
      <c r="N198" s="278"/>
      <c r="O198" s="282"/>
      <c r="Q198" s="273">
        <f t="shared" si="25"/>
        <v>0</v>
      </c>
      <c r="R198" s="274">
        <f t="shared" si="26"/>
        <v>0</v>
      </c>
      <c r="S198" s="275">
        <f t="shared" si="27"/>
        <v>0</v>
      </c>
      <c r="T198" s="275">
        <f t="shared" si="28"/>
        <v>0</v>
      </c>
      <c r="U198" s="273">
        <f t="shared" si="29"/>
        <v>0</v>
      </c>
      <c r="V198" s="273">
        <f t="shared" si="30"/>
        <v>0</v>
      </c>
      <c r="W198" s="273">
        <f t="shared" si="31"/>
        <v>0</v>
      </c>
      <c r="X198" s="273">
        <f t="shared" si="32"/>
        <v>0</v>
      </c>
      <c r="Y198" s="273">
        <f t="shared" si="33"/>
        <v>0</v>
      </c>
      <c r="Z198" s="273">
        <f t="shared" si="34"/>
        <v>0</v>
      </c>
      <c r="AA198" s="273">
        <f t="shared" si="35"/>
        <v>0</v>
      </c>
      <c r="AB198" s="276">
        <f t="shared" si="36"/>
        <v>0</v>
      </c>
      <c r="AC198" s="276">
        <f t="shared" si="37"/>
        <v>0</v>
      </c>
      <c r="AD198" s="276">
        <f t="shared" si="38"/>
        <v>0</v>
      </c>
    </row>
    <row r="199" spans="1:30">
      <c r="A199" s="59">
        <f t="shared" si="39"/>
        <v>114</v>
      </c>
      <c r="B199" s="278"/>
      <c r="C199" s="278"/>
      <c r="D199" s="278"/>
      <c r="E199" s="238"/>
      <c r="F199" s="278"/>
      <c r="G199" s="278"/>
      <c r="H199" s="278"/>
      <c r="I199" s="278"/>
      <c r="J199" s="278"/>
      <c r="K199" s="278"/>
      <c r="L199" s="278"/>
      <c r="M199" s="278"/>
      <c r="N199" s="278"/>
      <c r="O199" s="282"/>
      <c r="Q199" s="273">
        <f t="shared" si="25"/>
        <v>0</v>
      </c>
      <c r="R199" s="274">
        <f t="shared" si="26"/>
        <v>0</v>
      </c>
      <c r="S199" s="275">
        <f t="shared" si="27"/>
        <v>0</v>
      </c>
      <c r="T199" s="275">
        <f t="shared" si="28"/>
        <v>0</v>
      </c>
      <c r="U199" s="273">
        <f t="shared" si="29"/>
        <v>0</v>
      </c>
      <c r="V199" s="273">
        <f t="shared" si="30"/>
        <v>0</v>
      </c>
      <c r="W199" s="273">
        <f t="shared" si="31"/>
        <v>0</v>
      </c>
      <c r="X199" s="273">
        <f t="shared" si="32"/>
        <v>0</v>
      </c>
      <c r="Y199" s="273">
        <f t="shared" si="33"/>
        <v>0</v>
      </c>
      <c r="Z199" s="273">
        <f t="shared" si="34"/>
        <v>0</v>
      </c>
      <c r="AA199" s="273">
        <f t="shared" si="35"/>
        <v>0</v>
      </c>
      <c r="AB199" s="276">
        <f t="shared" si="36"/>
        <v>0</v>
      </c>
      <c r="AC199" s="276">
        <f t="shared" si="37"/>
        <v>0</v>
      </c>
      <c r="AD199" s="276">
        <f t="shared" si="38"/>
        <v>0</v>
      </c>
    </row>
    <row r="200" spans="1:30">
      <c r="A200" s="59">
        <f t="shared" si="39"/>
        <v>115</v>
      </c>
      <c r="B200" s="278"/>
      <c r="C200" s="278"/>
      <c r="D200" s="278"/>
      <c r="E200" s="238"/>
      <c r="F200" s="278"/>
      <c r="G200" s="278"/>
      <c r="H200" s="278"/>
      <c r="I200" s="278"/>
      <c r="J200" s="278"/>
      <c r="K200" s="278"/>
      <c r="L200" s="278"/>
      <c r="M200" s="278"/>
      <c r="N200" s="278"/>
      <c r="O200" s="282"/>
      <c r="Q200" s="273">
        <f t="shared" si="25"/>
        <v>0</v>
      </c>
      <c r="R200" s="274">
        <f t="shared" si="26"/>
        <v>0</v>
      </c>
      <c r="S200" s="275">
        <f t="shared" si="27"/>
        <v>0</v>
      </c>
      <c r="T200" s="275">
        <f t="shared" si="28"/>
        <v>0</v>
      </c>
      <c r="U200" s="273">
        <f t="shared" si="29"/>
        <v>0</v>
      </c>
      <c r="V200" s="273">
        <f t="shared" si="30"/>
        <v>0</v>
      </c>
      <c r="W200" s="273">
        <f t="shared" si="31"/>
        <v>0</v>
      </c>
      <c r="X200" s="273">
        <f t="shared" si="32"/>
        <v>0</v>
      </c>
      <c r="Y200" s="273">
        <f t="shared" si="33"/>
        <v>0</v>
      </c>
      <c r="Z200" s="273">
        <f t="shared" si="34"/>
        <v>0</v>
      </c>
      <c r="AA200" s="273">
        <f t="shared" si="35"/>
        <v>0</v>
      </c>
      <c r="AB200" s="276">
        <f t="shared" si="36"/>
        <v>0</v>
      </c>
      <c r="AC200" s="276">
        <f t="shared" si="37"/>
        <v>0</v>
      </c>
      <c r="AD200" s="276">
        <f t="shared" si="38"/>
        <v>0</v>
      </c>
    </row>
    <row r="201" spans="1:30">
      <c r="A201" s="59">
        <f t="shared" si="39"/>
        <v>116</v>
      </c>
      <c r="B201" s="278"/>
      <c r="C201" s="278"/>
      <c r="D201" s="278"/>
      <c r="E201" s="238"/>
      <c r="F201" s="278"/>
      <c r="G201" s="278"/>
      <c r="H201" s="278"/>
      <c r="I201" s="278"/>
      <c r="J201" s="278"/>
      <c r="K201" s="278"/>
      <c r="L201" s="278"/>
      <c r="M201" s="278"/>
      <c r="N201" s="278"/>
      <c r="O201" s="282"/>
      <c r="Q201" s="273">
        <f t="shared" si="25"/>
        <v>0</v>
      </c>
      <c r="R201" s="274">
        <f t="shared" si="26"/>
        <v>0</v>
      </c>
      <c r="S201" s="275">
        <f t="shared" si="27"/>
        <v>0</v>
      </c>
      <c r="T201" s="275">
        <f t="shared" si="28"/>
        <v>0</v>
      </c>
      <c r="U201" s="273">
        <f t="shared" si="29"/>
        <v>0</v>
      </c>
      <c r="V201" s="273">
        <f t="shared" si="30"/>
        <v>0</v>
      </c>
      <c r="W201" s="273">
        <f t="shared" si="31"/>
        <v>0</v>
      </c>
      <c r="X201" s="273">
        <f t="shared" si="32"/>
        <v>0</v>
      </c>
      <c r="Y201" s="273">
        <f t="shared" si="33"/>
        <v>0</v>
      </c>
      <c r="Z201" s="273">
        <f t="shared" si="34"/>
        <v>0</v>
      </c>
      <c r="AA201" s="273">
        <f t="shared" si="35"/>
        <v>0</v>
      </c>
      <c r="AB201" s="276">
        <f t="shared" si="36"/>
        <v>0</v>
      </c>
      <c r="AC201" s="276">
        <f t="shared" si="37"/>
        <v>0</v>
      </c>
      <c r="AD201" s="276">
        <f t="shared" si="38"/>
        <v>0</v>
      </c>
    </row>
  </sheetData>
  <mergeCells count="92">
    <mergeCell ref="D5:E5"/>
    <mergeCell ref="F5:G5"/>
    <mergeCell ref="H5:J5"/>
    <mergeCell ref="K5:P5"/>
    <mergeCell ref="Q5:R5"/>
    <mergeCell ref="D6:E6"/>
    <mergeCell ref="K6:L6"/>
    <mergeCell ref="M6:N6"/>
    <mergeCell ref="O6:P6"/>
    <mergeCell ref="Q6:R6"/>
    <mergeCell ref="C10:D10"/>
    <mergeCell ref="E10:F10"/>
    <mergeCell ref="G10:H10"/>
    <mergeCell ref="I10:J10"/>
    <mergeCell ref="K10:L10"/>
    <mergeCell ref="M10:N10"/>
    <mergeCell ref="O10:P10"/>
    <mergeCell ref="Q10:R10"/>
    <mergeCell ref="C11:D11"/>
    <mergeCell ref="E11:F11"/>
    <mergeCell ref="G11:H11"/>
    <mergeCell ref="I11:J11"/>
    <mergeCell ref="K11:L11"/>
    <mergeCell ref="M11:N11"/>
    <mergeCell ref="O11:P11"/>
    <mergeCell ref="Q11:R11"/>
    <mergeCell ref="C13:H13"/>
    <mergeCell ref="I13:J13"/>
    <mergeCell ref="M13:N13"/>
    <mergeCell ref="O13:P13"/>
    <mergeCell ref="C14:D14"/>
    <mergeCell ref="E14:F14"/>
    <mergeCell ref="G14:H14"/>
    <mergeCell ref="I14:J14"/>
    <mergeCell ref="M14:N14"/>
    <mergeCell ref="O14:P14"/>
    <mergeCell ref="C15:D15"/>
    <mergeCell ref="E15:F15"/>
    <mergeCell ref="G15:H15"/>
    <mergeCell ref="I15:J15"/>
    <mergeCell ref="M15:N15"/>
    <mergeCell ref="O15:P15"/>
    <mergeCell ref="E16:F16"/>
    <mergeCell ref="G16:H16"/>
    <mergeCell ref="I16:J16"/>
    <mergeCell ref="C18:D18"/>
    <mergeCell ref="E18:F18"/>
    <mergeCell ref="G18:H18"/>
    <mergeCell ref="C19:D19"/>
    <mergeCell ref="E19:F19"/>
    <mergeCell ref="G19:H19"/>
    <mergeCell ref="B22:D22"/>
    <mergeCell ref="C24:D24"/>
    <mergeCell ref="P24:R24"/>
    <mergeCell ref="C25:D25"/>
    <mergeCell ref="P25:R25"/>
    <mergeCell ref="C26:D26"/>
    <mergeCell ref="P26:R26"/>
    <mergeCell ref="C27:D27"/>
    <mergeCell ref="P27:R27"/>
    <mergeCell ref="B29:H29"/>
    <mergeCell ref="N83:O83"/>
    <mergeCell ref="AC83:AD83"/>
    <mergeCell ref="F84:H84"/>
    <mergeCell ref="I84:K84"/>
    <mergeCell ref="U84:W84"/>
    <mergeCell ref="X84:Z84"/>
    <mergeCell ref="B7:B11"/>
    <mergeCell ref="B24:B25"/>
    <mergeCell ref="B26:B27"/>
    <mergeCell ref="C5:C6"/>
    <mergeCell ref="C7:C8"/>
    <mergeCell ref="F7:F8"/>
    <mergeCell ref="G7:G8"/>
    <mergeCell ref="H7:H8"/>
    <mergeCell ref="I7:I8"/>
    <mergeCell ref="I31:I33"/>
    <mergeCell ref="I34:I35"/>
    <mergeCell ref="I36:I38"/>
    <mergeCell ref="I39:I40"/>
    <mergeCell ref="J7:J8"/>
    <mergeCell ref="D7:E8"/>
    <mergeCell ref="K7:L8"/>
    <mergeCell ref="M7:N8"/>
    <mergeCell ref="O7:P8"/>
    <mergeCell ref="Q7:R8"/>
    <mergeCell ref="I29:K30"/>
    <mergeCell ref="J39:R40"/>
    <mergeCell ref="J31:R33"/>
    <mergeCell ref="J36:R38"/>
    <mergeCell ref="J34:R35"/>
    <mergeCell ref="F2:N3"/>
  </mergeCells>
  <pageMargins left="0.53" right="0.56" top="0.23" bottom="0.33" header="0.16" footer="0.27"/>
  <pageSetup paperSize="9" orientation="landscape"/>
  <headerFooter alignWithMargins="0"/>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8000"/>
  </sheetPr>
  <dimension ref="B2:K81"/>
  <sheetViews>
    <sheetView zoomScale="55" zoomScaleNormal="55" workbookViewId="0">
      <selection activeCell="P39" sqref="P38:P39"/>
    </sheetView>
  </sheetViews>
  <sheetFormatPr defaultColWidth="9" defaultRowHeight="13.5"/>
  <cols>
    <col min="1" max="1" width="25.25" style="20" customWidth="1"/>
    <col min="2" max="2" width="17.75" style="20" customWidth="1"/>
    <col min="3" max="3" width="9" style="20"/>
    <col min="4" max="4" width="13.5" style="20" customWidth="1"/>
    <col min="5" max="5" width="9" style="20"/>
    <col min="6" max="7" width="14.5" style="20" customWidth="1"/>
    <col min="8" max="9" width="13.5" style="20" customWidth="1"/>
    <col min="10" max="16384" width="9" style="20"/>
  </cols>
  <sheetData>
    <row r="2" spans="2:4">
      <c r="B2" s="21" t="s">
        <v>1687</v>
      </c>
      <c r="C2" s="22"/>
      <c r="D2" s="23"/>
    </row>
    <row r="3" spans="2:4">
      <c r="B3" s="24" t="s">
        <v>1688</v>
      </c>
      <c r="C3" s="24">
        <v>16</v>
      </c>
      <c r="D3" s="24" t="s">
        <v>1689</v>
      </c>
    </row>
    <row r="4" spans="2:4">
      <c r="B4" s="24" t="s">
        <v>1690</v>
      </c>
      <c r="C4" s="24">
        <v>3.6</v>
      </c>
      <c r="D4" s="24"/>
    </row>
    <row r="5" spans="2:6">
      <c r="B5" s="25" t="s">
        <v>216</v>
      </c>
      <c r="C5" s="25" t="s">
        <v>848</v>
      </c>
      <c r="D5" s="25" t="s">
        <v>1342</v>
      </c>
      <c r="E5" s="25" t="s">
        <v>1691</v>
      </c>
      <c r="F5" s="25" t="s">
        <v>1692</v>
      </c>
    </row>
    <row r="6" spans="2:6">
      <c r="B6" s="24" t="s">
        <v>1693</v>
      </c>
      <c r="C6" s="24">
        <f>0.3/(C3*SQRT(C4))</f>
        <v>0.00988211768802619</v>
      </c>
      <c r="D6" s="24">
        <f>C6*1000</f>
        <v>9.88211768802619</v>
      </c>
      <c r="E6" s="24">
        <f>D6*100/2.54</f>
        <v>389.059751497094</v>
      </c>
      <c r="F6" s="24">
        <f>E6/1000</f>
        <v>0.389059751497094</v>
      </c>
    </row>
    <row r="7" spans="2:6">
      <c r="B7" s="24" t="s">
        <v>1694</v>
      </c>
      <c r="C7" s="24">
        <f>C6/2</f>
        <v>0.00494105884401309</v>
      </c>
      <c r="D7" s="24">
        <f>D6/2</f>
        <v>4.94105884401309</v>
      </c>
      <c r="E7" s="24">
        <f>E6/2</f>
        <v>194.529875748547</v>
      </c>
      <c r="F7" s="24">
        <f>F6/2</f>
        <v>0.194529875748547</v>
      </c>
    </row>
    <row r="10" spans="2:9">
      <c r="B10" s="25" t="s">
        <v>1695</v>
      </c>
      <c r="C10" s="25" t="s">
        <v>1696</v>
      </c>
      <c r="D10" s="25" t="s">
        <v>848</v>
      </c>
      <c r="E10" s="25" t="s">
        <v>1697</v>
      </c>
      <c r="F10" s="25" t="s">
        <v>1342</v>
      </c>
      <c r="G10" s="25" t="s">
        <v>1698</v>
      </c>
      <c r="H10" s="25" t="s">
        <v>1691</v>
      </c>
      <c r="I10" s="25" t="s">
        <v>1692</v>
      </c>
    </row>
    <row r="11" spans="2:9">
      <c r="B11" s="25" t="s">
        <v>848</v>
      </c>
      <c r="C11" s="24">
        <v>1</v>
      </c>
      <c r="D11" s="24">
        <f>C11</f>
        <v>1</v>
      </c>
      <c r="E11" s="24">
        <f t="shared" ref="E11:E16" si="0">D11*100</f>
        <v>100</v>
      </c>
      <c r="F11" s="24">
        <f t="shared" ref="F11:F16" si="1">D11*1000</f>
        <v>1000</v>
      </c>
      <c r="G11" s="24">
        <f t="shared" ref="G11:G16" si="2">D11*10^6</f>
        <v>1000000</v>
      </c>
      <c r="H11" s="24">
        <f t="shared" ref="H11:H16" si="3">D11*1000/2.54*100</f>
        <v>39370.0787401575</v>
      </c>
      <c r="I11" s="24">
        <f t="shared" ref="I11:I16" si="4">D11*1000/2.54*100/1000</f>
        <v>39.3700787401575</v>
      </c>
    </row>
    <row r="12" spans="2:9">
      <c r="B12" s="25" t="s">
        <v>1697</v>
      </c>
      <c r="C12" s="24">
        <v>50</v>
      </c>
      <c r="D12" s="24">
        <f>C12/100</f>
        <v>0.5</v>
      </c>
      <c r="E12" s="24">
        <f t="shared" si="0"/>
        <v>50</v>
      </c>
      <c r="F12" s="24">
        <f t="shared" si="1"/>
        <v>500</v>
      </c>
      <c r="G12" s="24">
        <f t="shared" si="2"/>
        <v>500000</v>
      </c>
      <c r="H12" s="24">
        <f t="shared" si="3"/>
        <v>19685.0393700787</v>
      </c>
      <c r="I12" s="24">
        <f t="shared" si="4"/>
        <v>19.6850393700787</v>
      </c>
    </row>
    <row r="13" spans="2:9">
      <c r="B13" s="25" t="s">
        <v>1342</v>
      </c>
      <c r="C13" s="24">
        <v>0.45</v>
      </c>
      <c r="D13" s="24">
        <f>C13/1000</f>
        <v>0.00045</v>
      </c>
      <c r="E13" s="24">
        <f t="shared" si="0"/>
        <v>0.045</v>
      </c>
      <c r="F13" s="24">
        <f t="shared" si="1"/>
        <v>0.45</v>
      </c>
      <c r="G13" s="24">
        <f t="shared" si="2"/>
        <v>450</v>
      </c>
      <c r="H13" s="24">
        <f t="shared" si="3"/>
        <v>17.7165354330709</v>
      </c>
      <c r="I13" s="24">
        <f t="shared" si="4"/>
        <v>0.0177165354330709</v>
      </c>
    </row>
    <row r="14" spans="2:9">
      <c r="B14" s="25" t="s">
        <v>1698</v>
      </c>
      <c r="C14" s="24">
        <v>45</v>
      </c>
      <c r="D14" s="24">
        <f>C14/10^6</f>
        <v>4.5e-5</v>
      </c>
      <c r="E14" s="24">
        <f t="shared" si="0"/>
        <v>0.0045</v>
      </c>
      <c r="F14" s="24">
        <f t="shared" si="1"/>
        <v>0.045</v>
      </c>
      <c r="G14" s="24">
        <f t="shared" si="2"/>
        <v>45</v>
      </c>
      <c r="H14" s="24">
        <f t="shared" si="3"/>
        <v>1.77165354330709</v>
      </c>
      <c r="I14" s="24">
        <f t="shared" si="4"/>
        <v>0.00177165354330709</v>
      </c>
    </row>
    <row r="15" spans="2:9">
      <c r="B15" s="25" t="s">
        <v>1691</v>
      </c>
      <c r="C15" s="24">
        <v>1500</v>
      </c>
      <c r="D15" s="24">
        <f>C15/100*2.54/1000</f>
        <v>0.0381</v>
      </c>
      <c r="E15" s="24">
        <f t="shared" si="0"/>
        <v>3.81</v>
      </c>
      <c r="F15" s="24">
        <f t="shared" si="1"/>
        <v>38.1</v>
      </c>
      <c r="G15" s="24">
        <f t="shared" si="2"/>
        <v>38100</v>
      </c>
      <c r="H15" s="24">
        <f t="shared" si="3"/>
        <v>1500</v>
      </c>
      <c r="I15" s="24">
        <f t="shared" si="4"/>
        <v>1.5</v>
      </c>
    </row>
    <row r="16" spans="2:9">
      <c r="B16" s="25" t="s">
        <v>1692</v>
      </c>
      <c r="C16" s="24">
        <v>1</v>
      </c>
      <c r="D16" s="24">
        <f>C16*1000/100*2.54/1000</f>
        <v>0.0254</v>
      </c>
      <c r="E16" s="24">
        <f t="shared" si="0"/>
        <v>2.54</v>
      </c>
      <c r="F16" s="24">
        <f t="shared" si="1"/>
        <v>25.4</v>
      </c>
      <c r="G16" s="24">
        <f t="shared" si="2"/>
        <v>25400</v>
      </c>
      <c r="H16" s="24">
        <f t="shared" si="3"/>
        <v>1000</v>
      </c>
      <c r="I16" s="24">
        <f t="shared" si="4"/>
        <v>1</v>
      </c>
    </row>
    <row r="18" spans="2:4">
      <c r="B18" s="25" t="s">
        <v>1699</v>
      </c>
      <c r="C18" s="24"/>
      <c r="D18" s="24"/>
    </row>
    <row r="19" spans="2:4">
      <c r="B19" s="24" t="s">
        <v>1700</v>
      </c>
      <c r="C19" s="24">
        <v>30</v>
      </c>
      <c r="D19" s="24" t="s">
        <v>1701</v>
      </c>
    </row>
    <row r="20" spans="2:4">
      <c r="B20" s="24" t="s">
        <v>1702</v>
      </c>
      <c r="C20" s="24">
        <f>(6.62/SQRT(C19*10^9))*10000</f>
        <v>0.382205878203532</v>
      </c>
      <c r="D20" s="24" t="s">
        <v>1698</v>
      </c>
    </row>
    <row r="22" spans="2:9">
      <c r="B22" s="26" t="s">
        <v>1703</v>
      </c>
      <c r="C22" s="26"/>
      <c r="D22" s="26"/>
      <c r="E22" s="26"/>
      <c r="F22" s="26"/>
      <c r="G22" s="26"/>
      <c r="H22" s="26"/>
      <c r="I22" s="26"/>
    </row>
    <row r="23" spans="2:9">
      <c r="B23" s="25" t="s">
        <v>1704</v>
      </c>
      <c r="C23" s="25" t="s">
        <v>1705</v>
      </c>
      <c r="D23" s="25" t="s">
        <v>1706</v>
      </c>
      <c r="E23" s="25" t="s">
        <v>1707</v>
      </c>
      <c r="F23" s="25" t="s">
        <v>1708</v>
      </c>
      <c r="G23" s="25" t="s">
        <v>1709</v>
      </c>
      <c r="H23" s="25" t="s">
        <v>1710</v>
      </c>
      <c r="I23" s="25" t="s">
        <v>1711</v>
      </c>
    </row>
    <row r="24" spans="2:9">
      <c r="B24" s="24">
        <v>30000</v>
      </c>
      <c r="C24" s="24">
        <v>0</v>
      </c>
      <c r="D24" s="24">
        <f>B24-B24*C24/1000000</f>
        <v>30000</v>
      </c>
      <c r="E24" s="24">
        <f>B24+B24*C24/1000000</f>
        <v>30000</v>
      </c>
      <c r="F24" s="24">
        <f>1/D24*1000000</f>
        <v>33.3333333333333</v>
      </c>
      <c r="G24" s="24">
        <f>1/E24*1000000</f>
        <v>33.3333333333333</v>
      </c>
      <c r="H24" s="24">
        <f>F24/2</f>
        <v>16.6666666666667</v>
      </c>
      <c r="I24" s="24">
        <f>G24/2</f>
        <v>16.6666666666667</v>
      </c>
    </row>
    <row r="26" spans="2:3">
      <c r="B26" s="26" t="s">
        <v>1712</v>
      </c>
      <c r="C26" s="26"/>
    </row>
    <row r="27" spans="2:3">
      <c r="B27" s="24" t="s">
        <v>1713</v>
      </c>
      <c r="C27" s="24">
        <v>0.45</v>
      </c>
    </row>
    <row r="28" spans="2:3">
      <c r="B28" s="24" t="s">
        <v>1691</v>
      </c>
      <c r="C28" s="24">
        <f>C27/2.54*100</f>
        <v>17.7165354330709</v>
      </c>
    </row>
    <row r="29" spans="2:3">
      <c r="B29" s="24" t="s">
        <v>1342</v>
      </c>
      <c r="C29" s="24">
        <f>C27</f>
        <v>0.45</v>
      </c>
    </row>
    <row r="30" ht="14.25"/>
    <row r="31" spans="2:6">
      <c r="B31" s="27"/>
      <c r="C31" s="28"/>
      <c r="D31" s="28"/>
      <c r="E31" s="28"/>
      <c r="F31" s="29"/>
    </row>
    <row r="32" spans="2:6">
      <c r="B32" s="30" t="s">
        <v>1714</v>
      </c>
      <c r="C32" s="31"/>
      <c r="D32" s="31"/>
      <c r="E32" s="31"/>
      <c r="F32" s="32"/>
    </row>
    <row r="33" spans="2:6">
      <c r="B33" s="33"/>
      <c r="C33" s="34"/>
      <c r="D33" s="34"/>
      <c r="E33" s="34"/>
      <c r="F33" s="32"/>
    </row>
    <row r="34" spans="2:6">
      <c r="B34" s="35" t="s">
        <v>68</v>
      </c>
      <c r="C34" s="36">
        <v>10.3125</v>
      </c>
      <c r="D34" s="24" t="s">
        <v>1715</v>
      </c>
      <c r="E34" s="24"/>
      <c r="F34" s="32"/>
    </row>
    <row r="35" spans="2:6">
      <c r="B35" s="35"/>
      <c r="C35" s="25" t="s">
        <v>1716</v>
      </c>
      <c r="D35" s="25" t="s">
        <v>1717</v>
      </c>
      <c r="E35" s="25" t="s">
        <v>1718</v>
      </c>
      <c r="F35" s="32"/>
    </row>
    <row r="36" spans="2:6">
      <c r="B36" s="37" t="s">
        <v>1719</v>
      </c>
      <c r="C36" s="24">
        <f>(1/C34)*1000</f>
        <v>96.969696969697</v>
      </c>
      <c r="D36" s="24">
        <f>C36/2</f>
        <v>48.4848484848485</v>
      </c>
      <c r="E36" s="24">
        <f>D36*0.2</f>
        <v>9.6969696969697</v>
      </c>
      <c r="F36" s="32"/>
    </row>
    <row r="37" spans="2:6">
      <c r="B37" s="37" t="s">
        <v>1720</v>
      </c>
      <c r="C37" s="24">
        <f>1/C34</f>
        <v>0.096969696969697</v>
      </c>
      <c r="D37" s="24">
        <f>C37/2</f>
        <v>0.0484848484848485</v>
      </c>
      <c r="E37" s="24">
        <f>D37*0.2</f>
        <v>0.0096969696969697</v>
      </c>
      <c r="F37" s="32"/>
    </row>
    <row r="38" spans="2:6">
      <c r="B38" s="37" t="s">
        <v>1721</v>
      </c>
      <c r="C38" s="24">
        <f>1/C34/1000</f>
        <v>9.6969696969697e-5</v>
      </c>
      <c r="D38" s="24">
        <f>C38/2</f>
        <v>4.84848484848485e-5</v>
      </c>
      <c r="E38" s="24">
        <f>D38*0.2</f>
        <v>9.6969696969697e-6</v>
      </c>
      <c r="F38" s="32"/>
    </row>
    <row r="39" spans="2:6">
      <c r="B39" s="38"/>
      <c r="F39" s="32"/>
    </row>
    <row r="40" spans="2:6">
      <c r="B40" s="35" t="s">
        <v>1716</v>
      </c>
      <c r="C40" s="36">
        <v>1</v>
      </c>
      <c r="D40" s="24" t="s">
        <v>1719</v>
      </c>
      <c r="F40" s="32"/>
    </row>
    <row r="41" spans="2:6">
      <c r="B41" s="35"/>
      <c r="C41" s="24" t="s">
        <v>68</v>
      </c>
      <c r="D41" s="24"/>
      <c r="F41" s="32"/>
    </row>
    <row r="42" spans="2:6">
      <c r="B42" s="35" t="s">
        <v>1689</v>
      </c>
      <c r="C42" s="24">
        <f>1/C40*1000</f>
        <v>1000</v>
      </c>
      <c r="D42" s="24"/>
      <c r="F42" s="32"/>
    </row>
    <row r="43" spans="2:6">
      <c r="B43" s="35" t="s">
        <v>1722</v>
      </c>
      <c r="C43" s="24">
        <f>C42*1000</f>
        <v>1000000</v>
      </c>
      <c r="D43" s="24"/>
      <c r="F43" s="32"/>
    </row>
    <row r="44" ht="14.25" spans="2:6">
      <c r="B44" s="39"/>
      <c r="C44" s="40"/>
      <c r="D44" s="40"/>
      <c r="E44" s="40"/>
      <c r="F44" s="41"/>
    </row>
    <row r="45" ht="14.25"/>
    <row r="46" spans="2:11">
      <c r="B46" s="27"/>
      <c r="C46" s="28"/>
      <c r="D46" s="28"/>
      <c r="E46" s="28"/>
      <c r="F46" s="28"/>
      <c r="G46" s="28"/>
      <c r="H46" s="28"/>
      <c r="I46" s="28"/>
      <c r="J46" s="28"/>
      <c r="K46" s="29"/>
    </row>
    <row r="47" spans="2:11">
      <c r="B47" s="38" t="s">
        <v>1723</v>
      </c>
      <c r="K47" s="32"/>
    </row>
    <row r="48" spans="2:11">
      <c r="B48" s="38" t="s">
        <v>1724</v>
      </c>
      <c r="C48" s="20">
        <v>10</v>
      </c>
      <c r="D48" s="20" t="s">
        <v>1719</v>
      </c>
      <c r="K48" s="32"/>
    </row>
    <row r="49" spans="2:11">
      <c r="B49" s="42" t="s">
        <v>1725</v>
      </c>
      <c r="C49" s="43">
        <v>1</v>
      </c>
      <c r="D49" s="43">
        <v>2</v>
      </c>
      <c r="E49" s="43">
        <v>3</v>
      </c>
      <c r="F49" s="43">
        <v>4</v>
      </c>
      <c r="G49" s="43">
        <v>5</v>
      </c>
      <c r="H49" s="43">
        <v>6</v>
      </c>
      <c r="I49" s="43">
        <v>7</v>
      </c>
      <c r="J49" s="43">
        <v>8</v>
      </c>
      <c r="K49" s="32"/>
    </row>
    <row r="50" spans="2:11">
      <c r="B50" s="35" t="s">
        <v>1726</v>
      </c>
      <c r="C50" s="24">
        <f>(2*C49-1)/(2*$C$48)*1000</f>
        <v>50</v>
      </c>
      <c r="D50" s="24">
        <f>(2*D49-1)/(2*$C$48)*1000</f>
        <v>150</v>
      </c>
      <c r="E50" s="24">
        <f>(2*E49-1)/(2*$C$48)*1000</f>
        <v>250</v>
      </c>
      <c r="F50" s="24">
        <f>(2*F49-1)/(2*$C$48)*1000</f>
        <v>350</v>
      </c>
      <c r="G50" s="24">
        <f>(2*G49-1)/(2*$C$48)*1000</f>
        <v>450</v>
      </c>
      <c r="H50" s="24">
        <f>(2*H49-1)/(2*$C$48)*1000</f>
        <v>550</v>
      </c>
      <c r="I50" s="24">
        <f>(2*I49-1)/(2*$C$48)*1000</f>
        <v>650</v>
      </c>
      <c r="J50" s="24">
        <f>(2*J49-1)/(2*$C$48)*1000</f>
        <v>750</v>
      </c>
      <c r="K50" s="32"/>
    </row>
    <row r="51" ht="14.25" spans="2:11">
      <c r="B51" s="39"/>
      <c r="C51" s="40"/>
      <c r="D51" s="40"/>
      <c r="E51" s="40"/>
      <c r="F51" s="40"/>
      <c r="G51" s="40"/>
      <c r="H51" s="40"/>
      <c r="I51" s="40"/>
      <c r="J51" s="40"/>
      <c r="K51" s="41"/>
    </row>
    <row r="53" ht="14.25"/>
    <row r="54" spans="2:8">
      <c r="B54" s="44" t="s">
        <v>1727</v>
      </c>
      <c r="C54" s="45"/>
      <c r="E54" s="46"/>
      <c r="F54" s="47"/>
      <c r="G54" s="47"/>
      <c r="H54" s="48"/>
    </row>
    <row r="55" spans="2:8">
      <c r="B55" s="24"/>
      <c r="C55" s="24"/>
      <c r="E55" s="49"/>
      <c r="F55" s="50"/>
      <c r="G55" s="50"/>
      <c r="H55" s="51"/>
    </row>
    <row r="56" spans="2:8">
      <c r="B56" s="24" t="s">
        <v>747</v>
      </c>
      <c r="C56" s="24">
        <v>0.728</v>
      </c>
      <c r="E56" s="49"/>
      <c r="F56" s="50"/>
      <c r="G56" s="50"/>
      <c r="H56" s="51"/>
    </row>
    <row r="57" spans="2:8">
      <c r="B57" s="24" t="s">
        <v>124</v>
      </c>
      <c r="C57" s="24">
        <v>0.24</v>
      </c>
      <c r="E57" s="49"/>
      <c r="F57" s="50"/>
      <c r="G57" s="50"/>
      <c r="H57" s="51"/>
    </row>
    <row r="58" spans="2:8">
      <c r="B58" s="24" t="s">
        <v>1728</v>
      </c>
      <c r="C58" s="24">
        <v>1.76</v>
      </c>
      <c r="E58" s="49"/>
      <c r="F58" s="50"/>
      <c r="G58" s="50"/>
      <c r="H58" s="51"/>
    </row>
    <row r="59" spans="2:8">
      <c r="B59" s="24"/>
      <c r="C59" s="24"/>
      <c r="E59" s="49"/>
      <c r="F59" s="50"/>
      <c r="G59" s="50"/>
      <c r="H59" s="51"/>
    </row>
    <row r="60" spans="2:8">
      <c r="B60" s="24" t="s">
        <v>1729</v>
      </c>
      <c r="C60" s="24">
        <f>138*LOG10(C56/C57)/SQRT(C58)</f>
        <v>50.1300140902214</v>
      </c>
      <c r="E60" s="49"/>
      <c r="F60" s="50"/>
      <c r="G60" s="50"/>
      <c r="H60" s="51"/>
    </row>
    <row r="61" spans="2:8">
      <c r="B61" s="24" t="s">
        <v>1730</v>
      </c>
      <c r="C61" s="24">
        <f>7.354*C58/LOG10(C56/C57)</f>
        <v>26.8572300473247</v>
      </c>
      <c r="E61" s="49"/>
      <c r="F61" s="50"/>
      <c r="G61" s="50"/>
      <c r="H61" s="51"/>
    </row>
    <row r="62" spans="2:8">
      <c r="B62" s="24" t="s">
        <v>1731</v>
      </c>
      <c r="C62" s="24">
        <f>140.4*LOG10(C56/C57)</f>
        <v>67.6615873192409</v>
      </c>
      <c r="E62" s="49"/>
      <c r="F62" s="50"/>
      <c r="G62" s="50"/>
      <c r="H62" s="51"/>
    </row>
    <row r="63" spans="2:8">
      <c r="B63" s="24" t="s">
        <v>1732</v>
      </c>
      <c r="C63" s="24">
        <f>11.8/(SQRT(C58)*PI()*((C56+C57)/2))</f>
        <v>5.84965750492201</v>
      </c>
      <c r="E63" s="49"/>
      <c r="F63" s="50"/>
      <c r="G63" s="50"/>
      <c r="H63" s="51"/>
    </row>
    <row r="64" spans="5:8">
      <c r="E64" s="49"/>
      <c r="F64" s="50"/>
      <c r="G64" s="50"/>
      <c r="H64" s="51"/>
    </row>
    <row r="65" spans="5:8">
      <c r="E65" s="49"/>
      <c r="F65" s="50"/>
      <c r="G65" s="50"/>
      <c r="H65" s="51"/>
    </row>
    <row r="66" spans="5:8">
      <c r="E66" s="49"/>
      <c r="F66" s="50"/>
      <c r="G66" s="50"/>
      <c r="H66" s="51"/>
    </row>
    <row r="67" spans="5:8">
      <c r="E67" s="49"/>
      <c r="F67" s="50"/>
      <c r="G67" s="50"/>
      <c r="H67" s="51"/>
    </row>
    <row r="68" ht="14.25" spans="5:8">
      <c r="E68" s="52"/>
      <c r="F68" s="53"/>
      <c r="G68" s="53"/>
      <c r="H68" s="54"/>
    </row>
    <row r="71" spans="3:3">
      <c r="C71" s="20">
        <v>0.79</v>
      </c>
    </row>
    <row r="72" spans="3:3">
      <c r="C72" s="20">
        <v>20</v>
      </c>
    </row>
    <row r="73" spans="2:3">
      <c r="B73" s="20" t="s">
        <v>1733</v>
      </c>
      <c r="C73" s="20">
        <f>2*3.141592654*C72*C71</f>
        <v>99.2743278664</v>
      </c>
    </row>
    <row r="76" spans="2:2">
      <c r="B76" s="20" t="s">
        <v>1734</v>
      </c>
    </row>
    <row r="77" spans="4:7">
      <c r="D77" s="20" t="s">
        <v>341</v>
      </c>
      <c r="E77" s="20" t="s">
        <v>1721</v>
      </c>
      <c r="F77" s="20" t="s">
        <v>1720</v>
      </c>
      <c r="G77" s="20" t="s">
        <v>1719</v>
      </c>
    </row>
    <row r="78" spans="2:7">
      <c r="B78" s="20" t="s">
        <v>235</v>
      </c>
      <c r="C78" s="55">
        <v>1.24e-10</v>
      </c>
      <c r="D78" s="20">
        <f>C78</f>
        <v>1.24e-10</v>
      </c>
      <c r="E78" s="20">
        <f>C78*1000000</f>
        <v>0.000124</v>
      </c>
      <c r="F78" s="20">
        <f>C78*1000000000</f>
        <v>0.124</v>
      </c>
      <c r="G78" s="55">
        <f>C78*1000000000000</f>
        <v>124</v>
      </c>
    </row>
    <row r="79" spans="2:7">
      <c r="B79" s="20" t="s">
        <v>1721</v>
      </c>
      <c r="C79" s="20">
        <v>1</v>
      </c>
      <c r="D79" s="20">
        <f>C79/1000000</f>
        <v>1e-6</v>
      </c>
      <c r="E79" s="20">
        <f>C79</f>
        <v>1</v>
      </c>
      <c r="F79" s="20">
        <f>C79*1000000</f>
        <v>1000000</v>
      </c>
      <c r="G79" s="20">
        <f>C79*1000000000</f>
        <v>1000000000</v>
      </c>
    </row>
    <row r="80" spans="2:7">
      <c r="B80" s="20" t="s">
        <v>1720</v>
      </c>
      <c r="C80" s="20">
        <v>1</v>
      </c>
      <c r="D80" s="20">
        <f>C80/1000000000</f>
        <v>1e-9</v>
      </c>
      <c r="E80" s="20">
        <f>C80/1000</f>
        <v>0.001</v>
      </c>
      <c r="F80" s="20">
        <f>C80</f>
        <v>1</v>
      </c>
      <c r="G80" s="20">
        <f>C80*1000</f>
        <v>1000</v>
      </c>
    </row>
    <row r="81" spans="2:7">
      <c r="B81" s="20" t="s">
        <v>1719</v>
      </c>
      <c r="C81" s="20">
        <v>1</v>
      </c>
      <c r="D81" s="20">
        <f>C81/1000000000000</f>
        <v>1e-12</v>
      </c>
      <c r="E81" s="20">
        <f>C81/1000000</f>
        <v>1e-6</v>
      </c>
      <c r="F81" s="20">
        <f>C81/1000</f>
        <v>0.001</v>
      </c>
      <c r="G81" s="20">
        <f>C81</f>
        <v>1</v>
      </c>
    </row>
  </sheetData>
  <mergeCells count="6">
    <mergeCell ref="B2:D2"/>
    <mergeCell ref="B22:I22"/>
    <mergeCell ref="B26:C26"/>
    <mergeCell ref="B54:C54"/>
    <mergeCell ref="B32:E33"/>
    <mergeCell ref="E54:H68"/>
  </mergeCells>
  <pageMargins left="0.7" right="0.7" top="0.75" bottom="0.75" header="0.3" footer="0.3"/>
  <pageSetup paperSize="9"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8000"/>
  </sheetPr>
  <dimension ref="A1:J54"/>
  <sheetViews>
    <sheetView workbookViewId="0">
      <selection activeCell="C18" sqref="C18"/>
    </sheetView>
  </sheetViews>
  <sheetFormatPr defaultColWidth="9" defaultRowHeight="15.75"/>
  <cols>
    <col min="1" max="1" width="5.375" style="1" customWidth="1"/>
    <col min="2" max="2" width="15.5" style="1" customWidth="1"/>
    <col min="3" max="3" width="15.875" style="1" customWidth="1"/>
    <col min="4" max="4" width="13.25" style="1" customWidth="1"/>
    <col min="5" max="5" width="12.75" style="1" customWidth="1"/>
    <col min="6" max="6" width="12" style="1" customWidth="1"/>
    <col min="7" max="7" width="12.375" style="1" customWidth="1"/>
    <col min="8" max="8" width="13.875" style="1" customWidth="1"/>
    <col min="9" max="9" width="12.625" style="1" customWidth="1"/>
    <col min="10" max="10" width="15.375" style="1" customWidth="1"/>
  </cols>
  <sheetData>
    <row r="1" spans="1:10">
      <c r="A1" s="2" t="s">
        <v>1735</v>
      </c>
      <c r="B1" s="2"/>
      <c r="C1" s="2"/>
      <c r="D1" s="2"/>
      <c r="E1" s="2"/>
      <c r="F1" s="2"/>
      <c r="G1" s="2"/>
      <c r="H1" s="2"/>
      <c r="I1" s="2"/>
      <c r="J1" s="2"/>
    </row>
    <row r="2" spans="1:10">
      <c r="A2" s="3" t="s">
        <v>1736</v>
      </c>
      <c r="B2" s="3"/>
      <c r="C2" s="3"/>
      <c r="D2" s="3"/>
      <c r="E2" s="3"/>
      <c r="F2" s="3"/>
      <c r="G2" s="3"/>
      <c r="H2" s="3"/>
      <c r="I2" s="3"/>
      <c r="J2" s="3"/>
    </row>
    <row r="3" spans="1:10">
      <c r="A3" s="2"/>
      <c r="B3" s="2"/>
      <c r="C3" s="2"/>
      <c r="D3" s="2"/>
      <c r="E3" s="2"/>
      <c r="F3" s="2"/>
      <c r="G3" s="2"/>
      <c r="H3" s="2"/>
      <c r="I3" s="2"/>
      <c r="J3" s="2"/>
    </row>
    <row r="4" spans="1:10">
      <c r="A4" s="4" t="s">
        <v>3</v>
      </c>
      <c r="B4" s="4" t="s">
        <v>1737</v>
      </c>
      <c r="C4" s="4" t="s">
        <v>1738</v>
      </c>
      <c r="D4" s="4" t="s">
        <v>1739</v>
      </c>
      <c r="E4" s="4" t="s">
        <v>1740</v>
      </c>
      <c r="F4" s="4" t="s">
        <v>1741</v>
      </c>
      <c r="G4" s="4" t="s">
        <v>639</v>
      </c>
      <c r="H4" s="4" t="s">
        <v>1742</v>
      </c>
      <c r="I4" s="4" t="s">
        <v>1743</v>
      </c>
      <c r="J4" s="4" t="s">
        <v>1744</v>
      </c>
    </row>
    <row r="5" spans="1:10">
      <c r="A5" s="4">
        <v>1</v>
      </c>
      <c r="B5" s="5" t="s">
        <v>1745</v>
      </c>
      <c r="C5" s="6"/>
      <c r="D5" s="4" t="s">
        <v>1746</v>
      </c>
      <c r="E5" s="6"/>
      <c r="F5" s="6"/>
      <c r="G5" s="6"/>
      <c r="H5" s="7">
        <v>0.08</v>
      </c>
      <c r="I5" s="4">
        <v>25</v>
      </c>
      <c r="J5" s="4">
        <f t="shared" ref="J5:J47" si="0">H5*I5</f>
        <v>2</v>
      </c>
    </row>
    <row r="6" spans="1:10">
      <c r="A6" s="4">
        <v>2</v>
      </c>
      <c r="B6" s="8"/>
      <c r="C6" s="6"/>
      <c r="D6" s="4" t="s">
        <v>1747</v>
      </c>
      <c r="E6" s="6"/>
      <c r="F6" s="6"/>
      <c r="G6" s="6"/>
      <c r="H6" s="7">
        <v>0.24</v>
      </c>
      <c r="I6" s="4">
        <v>20</v>
      </c>
      <c r="J6" s="4">
        <f t="shared" si="0"/>
        <v>4.8</v>
      </c>
    </row>
    <row r="7" spans="1:10">
      <c r="A7" s="4">
        <v>3</v>
      </c>
      <c r="B7" s="8"/>
      <c r="C7" s="4" t="s">
        <v>1748</v>
      </c>
      <c r="D7" s="6"/>
      <c r="E7" s="6"/>
      <c r="F7" s="6"/>
      <c r="G7" s="6"/>
      <c r="H7" s="7">
        <v>5.1</v>
      </c>
      <c r="I7" s="4">
        <v>1</v>
      </c>
      <c r="J7" s="4">
        <f t="shared" si="0"/>
        <v>5.1</v>
      </c>
    </row>
    <row r="8" spans="1:10">
      <c r="A8" s="4">
        <v>4</v>
      </c>
      <c r="B8" s="8"/>
      <c r="C8" s="4" t="s">
        <v>1749</v>
      </c>
      <c r="D8" s="6"/>
      <c r="E8" s="6"/>
      <c r="F8" s="6"/>
      <c r="G8" s="6"/>
      <c r="H8" s="7">
        <v>13</v>
      </c>
      <c r="I8" s="4">
        <v>1</v>
      </c>
      <c r="J8" s="4">
        <f t="shared" si="0"/>
        <v>13</v>
      </c>
    </row>
    <row r="9" spans="1:10">
      <c r="A9" s="4">
        <v>5</v>
      </c>
      <c r="B9" s="8"/>
      <c r="C9" s="4" t="s">
        <v>1750</v>
      </c>
      <c r="D9" s="6"/>
      <c r="E9" s="6"/>
      <c r="F9" s="6"/>
      <c r="G9" s="6"/>
      <c r="H9" s="7">
        <v>0.16</v>
      </c>
      <c r="I9" s="4">
        <v>0</v>
      </c>
      <c r="J9" s="4">
        <f t="shared" si="0"/>
        <v>0</v>
      </c>
    </row>
    <row r="10" spans="1:10">
      <c r="A10" s="4">
        <v>6</v>
      </c>
      <c r="B10" s="9"/>
      <c r="C10" s="4" t="s">
        <v>1751</v>
      </c>
      <c r="D10" s="6"/>
      <c r="E10" s="6"/>
      <c r="F10" s="6"/>
      <c r="G10" s="6"/>
      <c r="H10" s="7">
        <v>20</v>
      </c>
      <c r="I10" s="4">
        <v>0</v>
      </c>
      <c r="J10" s="4">
        <f t="shared" si="0"/>
        <v>0</v>
      </c>
    </row>
    <row r="11" spans="1:10">
      <c r="A11" s="4">
        <v>7</v>
      </c>
      <c r="B11" s="5" t="s">
        <v>1752</v>
      </c>
      <c r="C11" s="4" t="s">
        <v>1753</v>
      </c>
      <c r="D11" s="6"/>
      <c r="E11" s="6"/>
      <c r="F11" s="6"/>
      <c r="G11" s="6"/>
      <c r="H11" s="7">
        <v>0.1</v>
      </c>
      <c r="I11" s="4">
        <v>50</v>
      </c>
      <c r="J11" s="4">
        <f t="shared" si="0"/>
        <v>5</v>
      </c>
    </row>
    <row r="12" spans="1:10">
      <c r="A12" s="4">
        <v>8</v>
      </c>
      <c r="B12" s="8"/>
      <c r="C12" s="4" t="s">
        <v>1754</v>
      </c>
      <c r="D12" s="6"/>
      <c r="E12" s="6"/>
      <c r="F12" s="6"/>
      <c r="G12" s="6"/>
      <c r="H12" s="7">
        <v>0.19</v>
      </c>
      <c r="I12" s="4">
        <v>2</v>
      </c>
      <c r="J12" s="4">
        <f t="shared" si="0"/>
        <v>0.38</v>
      </c>
    </row>
    <row r="13" spans="1:10">
      <c r="A13" s="4">
        <v>9</v>
      </c>
      <c r="B13" s="8"/>
      <c r="C13" s="4" t="s">
        <v>1755</v>
      </c>
      <c r="D13" s="6"/>
      <c r="E13" s="4" t="s">
        <v>1756</v>
      </c>
      <c r="F13" s="6"/>
      <c r="G13" s="6"/>
      <c r="H13" s="7">
        <v>14</v>
      </c>
      <c r="I13" s="4">
        <v>2</v>
      </c>
      <c r="J13" s="4">
        <f t="shared" si="0"/>
        <v>28</v>
      </c>
    </row>
    <row r="14" spans="1:10">
      <c r="A14" s="4">
        <v>10</v>
      </c>
      <c r="B14" s="8"/>
      <c r="C14" s="4"/>
      <c r="D14" s="6"/>
      <c r="E14" s="4" t="s">
        <v>1757</v>
      </c>
      <c r="F14" s="6"/>
      <c r="G14" s="6"/>
      <c r="H14" s="7">
        <v>0.73</v>
      </c>
      <c r="I14" s="4">
        <v>10</v>
      </c>
      <c r="J14" s="4">
        <f t="shared" si="0"/>
        <v>7.3</v>
      </c>
    </row>
    <row r="15" spans="1:10">
      <c r="A15" s="4">
        <v>11</v>
      </c>
      <c r="B15" s="9"/>
      <c r="C15" s="4" t="s">
        <v>1758</v>
      </c>
      <c r="D15" s="6"/>
      <c r="E15" s="6"/>
      <c r="F15" s="6"/>
      <c r="G15" s="6"/>
      <c r="H15" s="7">
        <v>0.46</v>
      </c>
      <c r="I15" s="4">
        <v>0</v>
      </c>
      <c r="J15" s="4">
        <f t="shared" si="0"/>
        <v>0</v>
      </c>
    </row>
    <row r="16" spans="1:10">
      <c r="A16" s="4">
        <v>12</v>
      </c>
      <c r="B16" s="4" t="s">
        <v>1759</v>
      </c>
      <c r="C16" s="6"/>
      <c r="D16" s="6"/>
      <c r="E16" s="6"/>
      <c r="F16" s="6"/>
      <c r="G16" s="6"/>
      <c r="H16" s="7">
        <v>0.1</v>
      </c>
      <c r="I16" s="4">
        <v>0</v>
      </c>
      <c r="J16" s="4">
        <f t="shared" si="0"/>
        <v>0</v>
      </c>
    </row>
    <row r="17" spans="1:10">
      <c r="A17" s="4">
        <v>13</v>
      </c>
      <c r="B17" s="4" t="s">
        <v>1760</v>
      </c>
      <c r="C17" s="6"/>
      <c r="D17" s="6"/>
      <c r="E17" s="6"/>
      <c r="F17" s="6"/>
      <c r="G17" s="6"/>
      <c r="H17" s="7">
        <v>0.24</v>
      </c>
      <c r="I17" s="4">
        <v>2</v>
      </c>
      <c r="J17" s="4">
        <f t="shared" si="0"/>
        <v>0.48</v>
      </c>
    </row>
    <row r="18" spans="1:10">
      <c r="A18" s="4">
        <v>14</v>
      </c>
      <c r="B18" s="4" t="s">
        <v>1761</v>
      </c>
      <c r="C18" s="4" t="s">
        <v>1762</v>
      </c>
      <c r="D18" s="6"/>
      <c r="E18" s="6"/>
      <c r="F18" s="6"/>
      <c r="G18" s="6"/>
      <c r="H18" s="7">
        <v>11</v>
      </c>
      <c r="I18" s="4">
        <v>0</v>
      </c>
      <c r="J18" s="4">
        <f t="shared" si="0"/>
        <v>0</v>
      </c>
    </row>
    <row r="19" spans="1:10">
      <c r="A19" s="4">
        <v>15</v>
      </c>
      <c r="B19" s="4"/>
      <c r="C19" s="4" t="s">
        <v>1763</v>
      </c>
      <c r="D19" s="6"/>
      <c r="E19" s="6"/>
      <c r="F19" s="6"/>
      <c r="G19" s="6"/>
      <c r="H19" s="7">
        <v>3</v>
      </c>
      <c r="I19" s="4">
        <v>0</v>
      </c>
      <c r="J19" s="4">
        <f t="shared" si="0"/>
        <v>0</v>
      </c>
    </row>
    <row r="20" spans="1:10">
      <c r="A20" s="4">
        <v>16</v>
      </c>
      <c r="B20" s="4"/>
      <c r="C20" s="4" t="s">
        <v>1764</v>
      </c>
      <c r="D20" s="6"/>
      <c r="E20" s="6"/>
      <c r="F20" s="6"/>
      <c r="G20" s="6"/>
      <c r="H20" s="7">
        <v>9.8</v>
      </c>
      <c r="I20" s="4">
        <v>0</v>
      </c>
      <c r="J20" s="4">
        <f t="shared" si="0"/>
        <v>0</v>
      </c>
    </row>
    <row r="21" spans="1:10">
      <c r="A21" s="4">
        <v>17</v>
      </c>
      <c r="B21" s="4" t="s">
        <v>1765</v>
      </c>
      <c r="C21" s="6"/>
      <c r="D21" s="6"/>
      <c r="E21" s="6"/>
      <c r="F21" s="4" t="s">
        <v>1766</v>
      </c>
      <c r="G21" s="6"/>
      <c r="H21" s="7">
        <v>0.33</v>
      </c>
      <c r="I21" s="4">
        <v>5</v>
      </c>
      <c r="J21" s="4">
        <f t="shared" si="0"/>
        <v>1.65</v>
      </c>
    </row>
    <row r="22" spans="1:10">
      <c r="A22" s="4">
        <v>18</v>
      </c>
      <c r="B22" s="4"/>
      <c r="C22" s="6"/>
      <c r="D22" s="6"/>
      <c r="E22" s="6"/>
      <c r="F22" s="4" t="s">
        <v>1767</v>
      </c>
      <c r="G22" s="6"/>
      <c r="H22" s="7">
        <v>4.6</v>
      </c>
      <c r="I22" s="4">
        <v>0</v>
      </c>
      <c r="J22" s="4">
        <f t="shared" si="0"/>
        <v>0</v>
      </c>
    </row>
    <row r="23" spans="1:10">
      <c r="A23" s="4">
        <v>19</v>
      </c>
      <c r="B23" s="4" t="s">
        <v>1768</v>
      </c>
      <c r="C23" s="6"/>
      <c r="D23" s="6"/>
      <c r="E23" s="6"/>
      <c r="F23" s="6"/>
      <c r="G23" s="4" t="s">
        <v>1769</v>
      </c>
      <c r="H23" s="7">
        <v>0.69</v>
      </c>
      <c r="I23" s="4">
        <v>5</v>
      </c>
      <c r="J23" s="4">
        <f t="shared" si="0"/>
        <v>3.45</v>
      </c>
    </row>
    <row r="24" spans="1:10">
      <c r="A24" s="4">
        <v>20</v>
      </c>
      <c r="B24" s="4"/>
      <c r="C24" s="6"/>
      <c r="D24" s="6"/>
      <c r="E24" s="6"/>
      <c r="F24" s="6"/>
      <c r="G24" s="4" t="s">
        <v>1770</v>
      </c>
      <c r="H24" s="7">
        <v>1.77</v>
      </c>
      <c r="I24" s="4">
        <v>10</v>
      </c>
      <c r="J24" s="4">
        <f t="shared" si="0"/>
        <v>17.7</v>
      </c>
    </row>
    <row r="25" spans="1:10">
      <c r="A25" s="4">
        <v>21</v>
      </c>
      <c r="B25" s="4"/>
      <c r="C25" s="6"/>
      <c r="D25" s="6"/>
      <c r="E25" s="6"/>
      <c r="F25" s="6"/>
      <c r="G25" s="4" t="s">
        <v>1771</v>
      </c>
      <c r="H25" s="7">
        <v>1.7</v>
      </c>
      <c r="I25" s="4">
        <v>0</v>
      </c>
      <c r="J25" s="4">
        <f t="shared" si="0"/>
        <v>0</v>
      </c>
    </row>
    <row r="26" spans="1:10">
      <c r="A26" s="4">
        <v>22</v>
      </c>
      <c r="B26" s="4" t="s">
        <v>1772</v>
      </c>
      <c r="C26" s="6"/>
      <c r="D26" s="6"/>
      <c r="E26" s="6"/>
      <c r="F26" s="6"/>
      <c r="G26" s="6"/>
      <c r="H26" s="7">
        <v>2.1</v>
      </c>
      <c r="I26" s="4">
        <v>8</v>
      </c>
      <c r="J26" s="4">
        <f t="shared" si="0"/>
        <v>16.8</v>
      </c>
    </row>
    <row r="27" spans="1:10">
      <c r="A27" s="4">
        <v>23</v>
      </c>
      <c r="B27" s="4" t="s">
        <v>1773</v>
      </c>
      <c r="C27" s="6"/>
      <c r="D27" s="6"/>
      <c r="E27" s="6"/>
      <c r="F27" s="6"/>
      <c r="G27" s="6"/>
      <c r="H27" s="7">
        <v>3.4</v>
      </c>
      <c r="I27" s="4">
        <v>8</v>
      </c>
      <c r="J27" s="4">
        <f t="shared" si="0"/>
        <v>27.2</v>
      </c>
    </row>
    <row r="28" spans="1:10">
      <c r="A28" s="4">
        <v>24</v>
      </c>
      <c r="B28" s="4" t="s">
        <v>1774</v>
      </c>
      <c r="C28" s="4" t="s">
        <v>1775</v>
      </c>
      <c r="D28" s="6"/>
      <c r="E28" s="6"/>
      <c r="F28" s="6"/>
      <c r="G28" s="6"/>
      <c r="H28" s="7">
        <v>3.14</v>
      </c>
      <c r="I28" s="4">
        <v>0</v>
      </c>
      <c r="J28" s="4">
        <f t="shared" si="0"/>
        <v>0</v>
      </c>
    </row>
    <row r="29" spans="1:10">
      <c r="A29" s="4">
        <v>25</v>
      </c>
      <c r="B29" s="4"/>
      <c r="C29" s="4" t="s">
        <v>1774</v>
      </c>
      <c r="D29" s="6"/>
      <c r="E29" s="6"/>
      <c r="F29" s="6"/>
      <c r="G29" s="6"/>
      <c r="H29" s="7">
        <v>3.2</v>
      </c>
      <c r="I29" s="4">
        <v>4</v>
      </c>
      <c r="J29" s="4">
        <f t="shared" si="0"/>
        <v>12.8</v>
      </c>
    </row>
    <row r="30" spans="1:10">
      <c r="A30" s="4">
        <v>26</v>
      </c>
      <c r="B30" s="4" t="s">
        <v>1776</v>
      </c>
      <c r="C30" s="6"/>
      <c r="D30" s="6"/>
      <c r="E30" s="6"/>
      <c r="F30" s="6"/>
      <c r="G30" s="6"/>
      <c r="H30" s="7">
        <v>3.44</v>
      </c>
      <c r="I30" s="4">
        <v>6</v>
      </c>
      <c r="J30" s="4">
        <f t="shared" si="0"/>
        <v>20.64</v>
      </c>
    </row>
    <row r="31" spans="1:10">
      <c r="A31" s="4">
        <v>27</v>
      </c>
      <c r="B31" s="4" t="s">
        <v>1777</v>
      </c>
      <c r="C31" s="6"/>
      <c r="D31" s="6"/>
      <c r="E31" s="6"/>
      <c r="F31" s="6"/>
      <c r="G31" s="6"/>
      <c r="H31" s="7">
        <v>7.7</v>
      </c>
      <c r="I31" s="4">
        <v>0</v>
      </c>
      <c r="J31" s="4">
        <f t="shared" si="0"/>
        <v>0</v>
      </c>
    </row>
    <row r="32" spans="1:10">
      <c r="A32" s="4">
        <v>28</v>
      </c>
      <c r="B32" s="4" t="s">
        <v>1778</v>
      </c>
      <c r="C32" s="6"/>
      <c r="D32" s="6"/>
      <c r="E32" s="6"/>
      <c r="F32" s="6"/>
      <c r="G32" s="6"/>
      <c r="H32" s="7">
        <v>72</v>
      </c>
      <c r="I32" s="4">
        <v>0</v>
      </c>
      <c r="J32" s="4">
        <f t="shared" si="0"/>
        <v>0</v>
      </c>
    </row>
    <row r="33" spans="1:10">
      <c r="A33" s="4">
        <v>29</v>
      </c>
      <c r="B33" s="4" t="s">
        <v>1779</v>
      </c>
      <c r="C33" s="6"/>
      <c r="D33" s="6"/>
      <c r="E33" s="6"/>
      <c r="F33" s="6"/>
      <c r="G33" s="6"/>
      <c r="H33" s="7">
        <v>9.7</v>
      </c>
      <c r="I33" s="4">
        <v>30</v>
      </c>
      <c r="J33" s="4">
        <f t="shared" si="0"/>
        <v>291</v>
      </c>
    </row>
    <row r="34" spans="1:10">
      <c r="A34" s="4">
        <v>30</v>
      </c>
      <c r="B34" s="4" t="s">
        <v>1780</v>
      </c>
      <c r="C34" s="6"/>
      <c r="D34" s="6"/>
      <c r="E34" s="6"/>
      <c r="F34" s="6"/>
      <c r="G34" s="6"/>
      <c r="H34" s="7">
        <v>60</v>
      </c>
      <c r="I34" s="4">
        <v>1</v>
      </c>
      <c r="J34" s="4">
        <f t="shared" si="0"/>
        <v>60</v>
      </c>
    </row>
    <row r="35" spans="1:10">
      <c r="A35" s="4">
        <v>31</v>
      </c>
      <c r="B35" s="4" t="s">
        <v>1781</v>
      </c>
      <c r="C35" s="6"/>
      <c r="D35" s="6"/>
      <c r="E35" s="6"/>
      <c r="F35" s="6"/>
      <c r="G35" s="6"/>
      <c r="H35" s="7">
        <v>100</v>
      </c>
      <c r="I35" s="4">
        <v>0</v>
      </c>
      <c r="J35" s="4">
        <f t="shared" si="0"/>
        <v>0</v>
      </c>
    </row>
    <row r="36" spans="1:10">
      <c r="A36" s="4">
        <v>32</v>
      </c>
      <c r="B36" s="4" t="s">
        <v>1782</v>
      </c>
      <c r="C36" s="6"/>
      <c r="D36" s="6"/>
      <c r="E36" s="6"/>
      <c r="F36" s="6"/>
      <c r="G36" s="6"/>
      <c r="H36" s="7">
        <v>140</v>
      </c>
      <c r="I36" s="4">
        <v>0</v>
      </c>
      <c r="J36" s="4">
        <f t="shared" si="0"/>
        <v>0</v>
      </c>
    </row>
    <row r="37" spans="1:10">
      <c r="A37" s="4">
        <v>33</v>
      </c>
      <c r="B37" s="4" t="s">
        <v>1783</v>
      </c>
      <c r="C37" s="6"/>
      <c r="D37" s="6"/>
      <c r="E37" s="6"/>
      <c r="F37" s="6"/>
      <c r="G37" s="6"/>
      <c r="H37" s="7">
        <v>35</v>
      </c>
      <c r="I37" s="4">
        <v>0</v>
      </c>
      <c r="J37" s="4">
        <f t="shared" si="0"/>
        <v>0</v>
      </c>
    </row>
    <row r="38" spans="1:10">
      <c r="A38" s="4">
        <v>34</v>
      </c>
      <c r="B38" s="4" t="s">
        <v>1784</v>
      </c>
      <c r="C38" s="6"/>
      <c r="D38" s="6"/>
      <c r="E38" s="6"/>
      <c r="F38" s="6"/>
      <c r="G38" s="6"/>
      <c r="H38" s="7">
        <v>50</v>
      </c>
      <c r="I38" s="4">
        <v>0</v>
      </c>
      <c r="J38" s="4">
        <f t="shared" si="0"/>
        <v>0</v>
      </c>
    </row>
    <row r="39" spans="1:10">
      <c r="A39" s="4">
        <v>35</v>
      </c>
      <c r="B39" s="4" t="s">
        <v>1785</v>
      </c>
      <c r="C39" s="6"/>
      <c r="D39" s="6"/>
      <c r="E39" s="6"/>
      <c r="F39" s="4" t="s">
        <v>1786</v>
      </c>
      <c r="G39" s="6"/>
      <c r="H39" s="7">
        <v>0.4</v>
      </c>
      <c r="I39" s="4">
        <v>1</v>
      </c>
      <c r="J39" s="4">
        <f t="shared" si="0"/>
        <v>0.4</v>
      </c>
    </row>
    <row r="40" spans="1:10">
      <c r="A40" s="4">
        <v>36</v>
      </c>
      <c r="B40" s="4"/>
      <c r="C40" s="6"/>
      <c r="D40" s="6"/>
      <c r="E40" s="6"/>
      <c r="F40" s="4" t="s">
        <v>1787</v>
      </c>
      <c r="G40" s="6"/>
      <c r="H40" s="7">
        <v>0.8</v>
      </c>
      <c r="I40" s="4">
        <v>0</v>
      </c>
      <c r="J40" s="4">
        <f t="shared" si="0"/>
        <v>0</v>
      </c>
    </row>
    <row r="41" spans="1:10">
      <c r="A41" s="4">
        <v>37</v>
      </c>
      <c r="B41" s="4" t="s">
        <v>1788</v>
      </c>
      <c r="C41" s="4" t="s">
        <v>1789</v>
      </c>
      <c r="D41" s="6"/>
      <c r="E41" s="6"/>
      <c r="F41" s="6"/>
      <c r="G41" s="6"/>
      <c r="H41" s="7">
        <v>1.9</v>
      </c>
      <c r="I41" s="4">
        <v>0</v>
      </c>
      <c r="J41" s="4">
        <f t="shared" si="0"/>
        <v>0</v>
      </c>
    </row>
    <row r="42" spans="1:10">
      <c r="A42" s="4">
        <v>38</v>
      </c>
      <c r="B42" s="4"/>
      <c r="C42" s="4" t="s">
        <v>1790</v>
      </c>
      <c r="D42" s="6"/>
      <c r="E42" s="6"/>
      <c r="F42" s="6"/>
      <c r="G42" s="6"/>
      <c r="H42" s="7">
        <v>21</v>
      </c>
      <c r="I42" s="4">
        <v>0</v>
      </c>
      <c r="J42" s="4">
        <f t="shared" si="0"/>
        <v>0</v>
      </c>
    </row>
    <row r="43" spans="1:10">
      <c r="A43" s="4">
        <v>39</v>
      </c>
      <c r="B43" s="4"/>
      <c r="C43" s="4" t="s">
        <v>1791</v>
      </c>
      <c r="D43" s="6"/>
      <c r="E43" s="6"/>
      <c r="F43" s="6"/>
      <c r="G43" s="6"/>
      <c r="H43" s="7">
        <v>26</v>
      </c>
      <c r="I43" s="4">
        <v>0</v>
      </c>
      <c r="J43" s="4">
        <f t="shared" si="0"/>
        <v>0</v>
      </c>
    </row>
    <row r="44" spans="1:10">
      <c r="A44" s="4">
        <v>40</v>
      </c>
      <c r="B44" s="4" t="s">
        <v>1792</v>
      </c>
      <c r="C44" s="4" t="s">
        <v>1793</v>
      </c>
      <c r="D44" s="6"/>
      <c r="E44" s="6"/>
      <c r="F44" s="6"/>
      <c r="G44" s="6"/>
      <c r="H44" s="7">
        <v>20.7</v>
      </c>
      <c r="I44" s="4">
        <v>0</v>
      </c>
      <c r="J44" s="4">
        <f t="shared" si="0"/>
        <v>0</v>
      </c>
    </row>
    <row r="45" spans="1:10">
      <c r="A45" s="4">
        <v>41</v>
      </c>
      <c r="B45" s="4"/>
      <c r="C45" s="4" t="s">
        <v>1794</v>
      </c>
      <c r="D45" s="6"/>
      <c r="E45" s="6"/>
      <c r="F45" s="6"/>
      <c r="G45" s="6"/>
      <c r="H45" s="7">
        <v>1.99</v>
      </c>
      <c r="I45" s="4">
        <v>1</v>
      </c>
      <c r="J45" s="4">
        <f t="shared" si="0"/>
        <v>1.99</v>
      </c>
    </row>
    <row r="46" spans="1:10">
      <c r="A46" s="4">
        <v>42</v>
      </c>
      <c r="B46" s="4"/>
      <c r="C46" s="4" t="s">
        <v>1795</v>
      </c>
      <c r="D46" s="6"/>
      <c r="E46" s="6"/>
      <c r="F46" s="6"/>
      <c r="G46" s="6"/>
      <c r="H46" s="7">
        <v>5.86</v>
      </c>
      <c r="I46" s="4">
        <v>0</v>
      </c>
      <c r="J46" s="4">
        <f t="shared" si="0"/>
        <v>0</v>
      </c>
    </row>
    <row r="47" spans="1:10">
      <c r="A47" s="4">
        <v>43</v>
      </c>
      <c r="B47" s="4"/>
      <c r="C47" s="4" t="s">
        <v>1796</v>
      </c>
      <c r="D47" s="6"/>
      <c r="E47" s="6"/>
      <c r="F47" s="6"/>
      <c r="G47" s="6"/>
      <c r="H47" s="7">
        <v>1.99</v>
      </c>
      <c r="I47" s="4">
        <v>0</v>
      </c>
      <c r="J47" s="4">
        <f t="shared" si="0"/>
        <v>0</v>
      </c>
    </row>
    <row r="48" spans="1:10">
      <c r="A48" s="4">
        <v>44</v>
      </c>
      <c r="B48" s="4" t="s">
        <v>1797</v>
      </c>
      <c r="C48" s="4" t="s">
        <v>1798</v>
      </c>
      <c r="D48" s="6"/>
      <c r="E48" s="6"/>
      <c r="F48" s="6"/>
      <c r="G48" s="6"/>
      <c r="H48" s="7">
        <v>1.1</v>
      </c>
      <c r="I48" s="4">
        <v>20</v>
      </c>
      <c r="J48" s="4">
        <v>2</v>
      </c>
    </row>
    <row r="49" spans="1:10">
      <c r="A49" s="4">
        <v>45</v>
      </c>
      <c r="B49" s="4"/>
      <c r="C49" s="4" t="s">
        <v>1799</v>
      </c>
      <c r="D49" s="6"/>
      <c r="E49" s="6"/>
      <c r="F49" s="6"/>
      <c r="G49" s="6"/>
      <c r="H49" s="7">
        <v>0.22</v>
      </c>
      <c r="I49" s="4">
        <v>0</v>
      </c>
      <c r="J49" s="4">
        <f>H49*I49</f>
        <v>0</v>
      </c>
    </row>
    <row r="50" spans="1:10">
      <c r="A50" s="4">
        <v>46</v>
      </c>
      <c r="B50" s="4" t="s">
        <v>38</v>
      </c>
      <c r="C50" s="6"/>
      <c r="D50" s="6"/>
      <c r="E50" s="6"/>
      <c r="F50" s="6"/>
      <c r="G50" s="6"/>
      <c r="H50" s="7">
        <v>0.1275</v>
      </c>
      <c r="I50" s="4">
        <v>20</v>
      </c>
      <c r="J50" s="4">
        <f>H50*I50</f>
        <v>2.55</v>
      </c>
    </row>
    <row r="51" spans="1:10">
      <c r="A51" s="4">
        <v>47</v>
      </c>
      <c r="B51" s="4" t="s">
        <v>1800</v>
      </c>
      <c r="C51" s="6"/>
      <c r="D51" s="6"/>
      <c r="E51" s="6"/>
      <c r="F51" s="6"/>
      <c r="G51" s="6"/>
      <c r="H51" s="7">
        <v>26</v>
      </c>
      <c r="I51" s="4">
        <v>1</v>
      </c>
      <c r="J51" s="4">
        <f>H51*I51</f>
        <v>26</v>
      </c>
    </row>
    <row r="52" spans="1:10">
      <c r="A52" s="10" t="s">
        <v>1801</v>
      </c>
      <c r="B52" s="11"/>
      <c r="C52" s="11"/>
      <c r="D52" s="11"/>
      <c r="E52" s="11"/>
      <c r="F52" s="11"/>
      <c r="G52" s="12"/>
      <c r="H52" s="4" t="s">
        <v>1802</v>
      </c>
      <c r="I52" s="4"/>
      <c r="J52" s="19">
        <f>SUM(J5:J51)</f>
        <v>550.24</v>
      </c>
    </row>
    <row r="53" spans="1:10">
      <c r="A53" s="13"/>
      <c r="B53" s="14"/>
      <c r="C53" s="14"/>
      <c r="D53" s="14"/>
      <c r="E53" s="14"/>
      <c r="F53" s="14"/>
      <c r="G53" s="15"/>
      <c r="H53" s="4" t="s">
        <v>1803</v>
      </c>
      <c r="I53" s="4"/>
      <c r="J53" s="19">
        <f>10^9/J52</f>
        <v>1817388.77580692</v>
      </c>
    </row>
    <row r="54" spans="1:10">
      <c r="A54" s="16"/>
      <c r="B54" s="17"/>
      <c r="C54" s="17"/>
      <c r="D54" s="17"/>
      <c r="E54" s="17"/>
      <c r="F54" s="17"/>
      <c r="G54" s="18"/>
      <c r="H54" s="4" t="s">
        <v>1804</v>
      </c>
      <c r="I54" s="4"/>
      <c r="J54" s="19">
        <f>J53/8760</f>
        <v>207.464472124078</v>
      </c>
    </row>
  </sheetData>
  <mergeCells count="17">
    <mergeCell ref="A1:J1"/>
    <mergeCell ref="A2:J2"/>
    <mergeCell ref="H52:I52"/>
    <mergeCell ref="H53:I53"/>
    <mergeCell ref="H54:I54"/>
    <mergeCell ref="B5:B10"/>
    <mergeCell ref="B11:B15"/>
    <mergeCell ref="B18:B20"/>
    <mergeCell ref="B21:B22"/>
    <mergeCell ref="B23:B25"/>
    <mergeCell ref="B28:B29"/>
    <mergeCell ref="B39:B40"/>
    <mergeCell ref="B41:B43"/>
    <mergeCell ref="B44:B47"/>
    <mergeCell ref="B48:B49"/>
    <mergeCell ref="C13:C14"/>
    <mergeCell ref="A52:G54"/>
  </mergeCells>
  <pageMargins left="0.7" right="0.7" top="0.75" bottom="0.75" header="0.3" footer="0.3"/>
  <pageSetup paperSize="9" orientation="portrait" horizont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rgb="FF00B050"/>
  </sheetPr>
  <dimension ref="B1:J59"/>
  <sheetViews>
    <sheetView zoomScale="85" zoomScaleNormal="85" workbookViewId="0">
      <pane ySplit="1" topLeftCell="A2" activePane="bottomLeft" state="frozen"/>
      <selection/>
      <selection pane="bottomLeft" activeCell="F36" sqref="F36"/>
    </sheetView>
  </sheetViews>
  <sheetFormatPr defaultColWidth="9" defaultRowHeight="13.5"/>
  <cols>
    <col min="1" max="1" width="1" customWidth="1"/>
    <col min="2" max="2" width="42.125" customWidth="1"/>
    <col min="3" max="3" width="18.625" customWidth="1"/>
    <col min="4" max="4" width="20.375" customWidth="1"/>
    <col min="5" max="5" width="12.25" customWidth="1"/>
    <col min="6" max="6" width="18.125" customWidth="1"/>
    <col min="7" max="7" width="11.625" customWidth="1"/>
    <col min="8" max="8" width="17.875" customWidth="1"/>
  </cols>
  <sheetData>
    <row r="1" ht="36.75" customHeight="1"/>
    <row r="2" ht="36.75" customHeight="1" spans="2:8">
      <c r="B2" s="1157" t="s">
        <v>82</v>
      </c>
      <c r="C2" s="1158"/>
      <c r="D2" s="1157"/>
      <c r="E2" s="1157"/>
      <c r="F2" s="1159"/>
      <c r="G2" s="1159"/>
      <c r="H2" s="1157"/>
    </row>
    <row r="3" ht="18" spans="2:8">
      <c r="B3" s="1157" t="s">
        <v>83</v>
      </c>
      <c r="C3" s="1158"/>
      <c r="D3" s="1157"/>
      <c r="E3" s="1157"/>
      <c r="F3" s="1159"/>
      <c r="G3" s="1159"/>
      <c r="H3" s="1157"/>
    </row>
    <row r="4" ht="18.75" spans="2:8">
      <c r="B4" s="1160"/>
      <c r="C4" s="1158"/>
      <c r="D4" s="1157"/>
      <c r="E4" s="1157"/>
      <c r="F4" s="1159"/>
      <c r="G4" s="1159"/>
      <c r="H4" s="1157"/>
    </row>
    <row r="5" ht="18" spans="2:8">
      <c r="B5" s="1161" t="s">
        <v>84</v>
      </c>
      <c r="C5" s="1162"/>
      <c r="D5" s="1162"/>
      <c r="E5" s="1162"/>
      <c r="F5" s="1162"/>
      <c r="G5" s="1162"/>
      <c r="H5" s="1163"/>
    </row>
    <row r="6" ht="15" spans="2:8">
      <c r="B6" s="1164"/>
      <c r="C6" s="1165"/>
      <c r="D6" s="1166"/>
      <c r="E6" s="1166"/>
      <c r="F6" s="1167"/>
      <c r="G6" s="1167"/>
      <c r="H6" s="1168"/>
    </row>
    <row r="7" ht="15" spans="2:8">
      <c r="B7" s="1164" t="s">
        <v>85</v>
      </c>
      <c r="C7" s="1169">
        <v>32000000</v>
      </c>
      <c r="D7" s="1166" t="s">
        <v>86</v>
      </c>
      <c r="E7" s="1166"/>
      <c r="F7" s="1170"/>
      <c r="G7" s="1171"/>
      <c r="H7" s="1168"/>
    </row>
    <row r="8" ht="15" spans="2:8">
      <c r="B8" s="1164" t="s">
        <v>87</v>
      </c>
      <c r="C8" s="1169">
        <v>1</v>
      </c>
      <c r="D8" s="1166"/>
      <c r="E8" s="1166"/>
      <c r="F8" s="1167"/>
      <c r="G8" s="1167"/>
      <c r="H8" s="1168"/>
    </row>
    <row r="9" ht="15" spans="2:8">
      <c r="B9" s="1164" t="s">
        <v>88</v>
      </c>
      <c r="C9" s="1172">
        <f>(4/C7*C8)</f>
        <v>1.25e-7</v>
      </c>
      <c r="D9" s="1166" t="s">
        <v>89</v>
      </c>
      <c r="E9" s="1166"/>
      <c r="F9" s="1173">
        <f>1/C9</f>
        <v>8000000</v>
      </c>
      <c r="G9" s="1174"/>
      <c r="H9" s="1168" t="s">
        <v>86</v>
      </c>
    </row>
    <row r="10" ht="15" spans="2:8">
      <c r="B10" s="1164"/>
      <c r="C10" s="1165"/>
      <c r="D10" s="1166"/>
      <c r="E10" s="1166"/>
      <c r="F10" s="1167"/>
      <c r="G10" s="1167"/>
      <c r="H10" s="1168"/>
    </row>
    <row r="11" ht="15" spans="2:8">
      <c r="B11" s="1164" t="s">
        <v>90</v>
      </c>
      <c r="C11" s="1169">
        <v>3</v>
      </c>
      <c r="D11" s="1166">
        <f>LOG((C11+1)*4)/LOG(2)</f>
        <v>4</v>
      </c>
      <c r="E11" s="1166"/>
      <c r="F11" s="1167"/>
      <c r="G11" s="1167"/>
      <c r="H11" s="1168"/>
    </row>
    <row r="12" ht="15" spans="2:8">
      <c r="B12" s="1164" t="s">
        <v>91</v>
      </c>
      <c r="C12" s="1172">
        <f>(C11+1)*C9</f>
        <v>5e-7</v>
      </c>
      <c r="D12" s="1166" t="s">
        <v>89</v>
      </c>
      <c r="E12" s="1166"/>
      <c r="F12" s="1175">
        <f>1/C12</f>
        <v>2000000</v>
      </c>
      <c r="G12" s="1176"/>
      <c r="H12" s="1168" t="s">
        <v>86</v>
      </c>
    </row>
    <row r="13" ht="15" spans="2:8">
      <c r="B13" s="1164"/>
      <c r="C13" s="1165"/>
      <c r="D13" s="1166"/>
      <c r="E13" s="1166"/>
      <c r="F13" s="1167"/>
      <c r="G13" s="1167"/>
      <c r="H13" s="1168"/>
    </row>
    <row r="14" ht="15" spans="2:8">
      <c r="B14" s="1164" t="s">
        <v>92</v>
      </c>
      <c r="C14" s="1172">
        <f>(C11+1)*4</f>
        <v>16</v>
      </c>
      <c r="D14" s="1177" t="s">
        <v>93</v>
      </c>
      <c r="E14" s="1177"/>
      <c r="F14" s="1167"/>
      <c r="G14" s="1167"/>
      <c r="H14" s="1168"/>
    </row>
    <row r="15" ht="15" spans="2:8">
      <c r="B15" s="1164"/>
      <c r="C15" s="1165"/>
      <c r="D15" s="1166"/>
      <c r="E15" s="1166"/>
      <c r="F15" s="1167"/>
      <c r="G15" s="1167"/>
      <c r="H15" s="1168"/>
    </row>
    <row r="16" ht="15" spans="2:8">
      <c r="B16" s="1164" t="s">
        <v>94</v>
      </c>
      <c r="C16" s="1169">
        <v>1</v>
      </c>
      <c r="D16" s="1177" t="s">
        <v>95</v>
      </c>
      <c r="E16" s="1177"/>
      <c r="F16" s="1167"/>
      <c r="G16" s="1167"/>
      <c r="H16" s="1168"/>
    </row>
    <row r="17" ht="15" spans="2:8">
      <c r="B17" s="1164" t="s">
        <v>96</v>
      </c>
      <c r="C17" s="1172">
        <f>C16*C12</f>
        <v>5e-7</v>
      </c>
      <c r="D17" s="1166" t="s">
        <v>89</v>
      </c>
      <c r="E17" s="1166"/>
      <c r="F17" s="1178">
        <f>1/C17</f>
        <v>2000000</v>
      </c>
      <c r="G17" s="1179"/>
      <c r="H17" s="1168" t="s">
        <v>86</v>
      </c>
    </row>
    <row r="18" ht="15.75" spans="2:8">
      <c r="B18" s="1180"/>
      <c r="C18" s="1181"/>
      <c r="D18" s="1182"/>
      <c r="E18" s="1182"/>
      <c r="F18" s="1183"/>
      <c r="G18" s="1183"/>
      <c r="H18" s="1184"/>
    </row>
    <row r="19" ht="15.75" spans="2:8">
      <c r="B19" s="1185"/>
      <c r="C19" s="1186"/>
      <c r="D19" s="1185"/>
      <c r="E19" s="1185"/>
      <c r="F19" s="1187"/>
      <c r="G19" s="1187"/>
      <c r="H19" s="1185"/>
    </row>
    <row r="20" ht="15" spans="2:8">
      <c r="B20" s="1188"/>
      <c r="C20" s="1189"/>
      <c r="D20" s="1190"/>
      <c r="E20" s="1190"/>
      <c r="F20" s="1191"/>
      <c r="G20" s="1191"/>
      <c r="H20" s="1192"/>
    </row>
    <row r="21" ht="15" spans="2:8">
      <c r="B21" s="1164" t="s">
        <v>97</v>
      </c>
      <c r="C21" s="1169">
        <v>32000000</v>
      </c>
      <c r="D21" s="1177" t="s">
        <v>98</v>
      </c>
      <c r="E21" s="1177"/>
      <c r="F21" s="1167"/>
      <c r="G21" s="1167"/>
      <c r="H21" s="1168"/>
    </row>
    <row r="22" ht="15" spans="2:8">
      <c r="B22" s="1164" t="s">
        <v>99</v>
      </c>
      <c r="C22" s="1169">
        <v>2000000</v>
      </c>
      <c r="D22" s="1177" t="s">
        <v>100</v>
      </c>
      <c r="E22" s="1177"/>
      <c r="F22" s="1167"/>
      <c r="G22" s="1167"/>
      <c r="H22" s="1168"/>
    </row>
    <row r="23" ht="15" spans="2:8">
      <c r="B23" s="1164"/>
      <c r="C23" s="1165"/>
      <c r="D23" s="1166"/>
      <c r="E23" s="1166"/>
      <c r="F23" s="1167"/>
      <c r="G23" s="1167"/>
      <c r="H23" s="1168"/>
    </row>
    <row r="24" ht="15.75" spans="2:8">
      <c r="B24" s="1164"/>
      <c r="C24" s="1193" t="s">
        <v>101</v>
      </c>
      <c r="D24" s="1194" t="s">
        <v>102</v>
      </c>
      <c r="E24" s="1194"/>
      <c r="F24" s="1195"/>
      <c r="G24" s="1195"/>
      <c r="H24" s="1168"/>
    </row>
    <row r="25" ht="15" spans="2:8">
      <c r="B25" s="1196" t="s">
        <v>103</v>
      </c>
      <c r="C25" s="1197">
        <f>ROUND(((C21/4)/C22-1),0)</f>
        <v>3</v>
      </c>
      <c r="D25" s="1198" t="str">
        <f>IF(C25&lt;256,CONCATENATE("0 to ",(C25+1)*4),"NOT ALLOWED")</f>
        <v>0 to 16</v>
      </c>
      <c r="E25" s="1195"/>
      <c r="F25" s="1195"/>
      <c r="G25" s="1195"/>
      <c r="H25" s="1168"/>
    </row>
    <row r="26" ht="15" spans="2:8">
      <c r="B26" s="1196" t="s">
        <v>104</v>
      </c>
      <c r="C26" s="1197">
        <f>ROUND(((C21/4)/(C22*4)),0)</f>
        <v>1</v>
      </c>
      <c r="D26" s="1198" t="str">
        <f>IF(C26&lt;256,CONCATENATE("0 to ",(C26+1)*4),"NOT ALLOWED")</f>
        <v>0 to 8</v>
      </c>
      <c r="E26" s="1195"/>
      <c r="F26" s="1195"/>
      <c r="G26" s="1195"/>
      <c r="H26" s="1168"/>
    </row>
    <row r="27" ht="15" spans="2:8">
      <c r="B27" s="1196" t="s">
        <v>105</v>
      </c>
      <c r="C27" s="1197">
        <f>ROUND(((C21/4)/(C22*16)),0)</f>
        <v>0</v>
      </c>
      <c r="D27" s="1198" t="str">
        <f>IF(C27&lt;256,CONCATENATE("0 to ",(C27+1)*4),"NOT ALLOWED")</f>
        <v>0 to 4</v>
      </c>
      <c r="E27" s="1195"/>
      <c r="F27" s="1195"/>
      <c r="G27" s="1195"/>
      <c r="H27" s="1168"/>
    </row>
    <row r="28" ht="15" spans="2:8">
      <c r="B28" s="1196" t="s">
        <v>106</v>
      </c>
      <c r="C28" s="1197">
        <f>ROUND(((C21/4)/(C22*64)),0)</f>
        <v>0</v>
      </c>
      <c r="D28" s="1198" t="str">
        <f>IF(C28&lt;256,CONCATENATE("0 to ",(C28+1)*4),"NOT ALLOWED")</f>
        <v>0 to 4</v>
      </c>
      <c r="E28" s="1195"/>
      <c r="F28" s="1195"/>
      <c r="G28" s="1195"/>
      <c r="H28" s="1168"/>
    </row>
    <row r="29" ht="15.75" spans="2:8">
      <c r="B29" s="1180"/>
      <c r="C29" s="1181"/>
      <c r="D29" s="1182"/>
      <c r="E29" s="1182"/>
      <c r="F29" s="1183"/>
      <c r="G29" s="1183"/>
      <c r="H29" s="1199"/>
    </row>
    <row r="30" ht="18.75" hidden="1" spans="2:8">
      <c r="B30" s="1200" t="str">
        <f>CONCATENATE("setup_timer_2(",IF($C$25&lt;256,"T2_DIV_1, ",IF($C$26&lt;256,"T2_DIV_4, ",IF($C$27&lt;256,"T2_DIV_16, ","ERROR"))),IF($C$25&lt;256,$C$25,IF($C$26&lt;256,$C$26,IF($C$27&lt;256,$C$27," ERROR "))),", 1 );")</f>
        <v>setup_timer_2(T2_DIV_1, 3, 1 );</v>
      </c>
      <c r="C30" s="1162"/>
      <c r="D30" s="1162"/>
      <c r="E30" s="1162"/>
      <c r="F30" s="1162"/>
      <c r="G30" s="1162"/>
      <c r="H30" s="1192"/>
    </row>
    <row r="31" ht="18.75" hidden="1" spans="2:8">
      <c r="B31" s="1201" t="s">
        <v>107</v>
      </c>
      <c r="C31" s="1195"/>
      <c r="D31" s="1195"/>
      <c r="E31" s="1195"/>
      <c r="F31" s="1195"/>
      <c r="G31" s="1195"/>
      <c r="H31" s="1168"/>
    </row>
    <row r="32" ht="19.5" hidden="1" spans="2:8">
      <c r="B32" s="1202" t="str">
        <f>CONCATENATE("set_pwm1_duty( ",IF($C$25&lt;256,($C$25+1)*2,IF($C$26&lt;256,($C$26+1)*2,IF($C$27&lt;256,($C$27+1)*2," ERROR "))),"L );","       // square wave output - 50% duty")</f>
        <v>set_pwm1_duty( 8L );       // square wave output - 50% duty</v>
      </c>
      <c r="C32" s="1203"/>
      <c r="D32" s="1203"/>
      <c r="E32" s="1203"/>
      <c r="F32" s="1203"/>
      <c r="G32" s="1203"/>
      <c r="H32" s="1184"/>
    </row>
    <row r="33" ht="15" spans="2:8">
      <c r="B33" s="1185"/>
      <c r="C33" s="1186"/>
      <c r="D33" s="1185"/>
      <c r="E33" s="1185"/>
      <c r="F33" s="1187"/>
      <c r="G33" s="1187"/>
      <c r="H33" s="1185"/>
    </row>
    <row r="34" ht="18" spans="2:8">
      <c r="B34" s="1204" t="s">
        <v>108</v>
      </c>
      <c r="C34" s="1158"/>
      <c r="D34" s="1157"/>
      <c r="E34" s="1157"/>
      <c r="F34" s="1159"/>
      <c r="G34" s="1159"/>
      <c r="H34" s="1157"/>
    </row>
    <row r="39" ht="18.75" spans="2:2">
      <c r="B39" s="1157" t="s">
        <v>109</v>
      </c>
    </row>
    <row r="40" spans="2:10">
      <c r="B40" s="620"/>
      <c r="C40" s="621"/>
      <c r="D40" s="621"/>
      <c r="E40" s="621"/>
      <c r="F40" s="621"/>
      <c r="G40" s="621"/>
      <c r="H40" s="621"/>
      <c r="I40" s="621"/>
      <c r="J40" s="622"/>
    </row>
    <row r="41" spans="2:10">
      <c r="B41" s="657"/>
      <c r="C41" s="492"/>
      <c r="D41" s="492"/>
      <c r="E41" s="492"/>
      <c r="F41" s="492"/>
      <c r="G41" s="492"/>
      <c r="H41" s="492"/>
      <c r="I41" s="492"/>
      <c r="J41" s="625"/>
    </row>
    <row r="42" spans="2:10">
      <c r="B42" s="657"/>
      <c r="C42" s="492"/>
      <c r="D42" s="492"/>
      <c r="E42" s="492"/>
      <c r="F42" s="492"/>
      <c r="G42" s="492"/>
      <c r="H42" s="492"/>
      <c r="I42" s="492"/>
      <c r="J42" s="625"/>
    </row>
    <row r="43" spans="2:10">
      <c r="B43" s="657"/>
      <c r="C43" s="492"/>
      <c r="D43" s="492"/>
      <c r="E43" s="492"/>
      <c r="F43" s="492"/>
      <c r="G43" s="492"/>
      <c r="H43" s="492"/>
      <c r="I43" s="492"/>
      <c r="J43" s="625"/>
    </row>
    <row r="44" spans="2:10">
      <c r="B44" s="657"/>
      <c r="C44" s="492"/>
      <c r="D44" s="492"/>
      <c r="E44" s="492"/>
      <c r="F44" s="492"/>
      <c r="G44" s="492"/>
      <c r="H44" s="492"/>
      <c r="I44" s="492"/>
      <c r="J44" s="625"/>
    </row>
    <row r="45" ht="14.25" spans="2:10">
      <c r="B45" s="657"/>
      <c r="C45" s="492"/>
      <c r="D45" s="492"/>
      <c r="E45" s="492" t="s">
        <v>110</v>
      </c>
      <c r="F45" s="492"/>
      <c r="G45" s="492"/>
      <c r="H45" s="492"/>
      <c r="I45" s="492"/>
      <c r="J45" s="625"/>
    </row>
    <row r="46" spans="2:10">
      <c r="B46" s="1205" t="s">
        <v>111</v>
      </c>
      <c r="C46" s="1206" t="s">
        <v>112</v>
      </c>
      <c r="D46" s="1206" t="s">
        <v>113</v>
      </c>
      <c r="E46" s="1206" t="s">
        <v>114</v>
      </c>
      <c r="F46" s="1206" t="s">
        <v>115</v>
      </c>
      <c r="G46" s="1206" t="s">
        <v>116</v>
      </c>
      <c r="H46" s="1206" t="s">
        <v>117</v>
      </c>
      <c r="I46" s="1206" t="s">
        <v>118</v>
      </c>
      <c r="J46" s="1210">
        <f>C59-C47</f>
        <v>60</v>
      </c>
    </row>
    <row r="47" ht="15" spans="2:10">
      <c r="B47" s="1207">
        <f>0.659-(C47+40)*0.00132</f>
        <v>0.6326</v>
      </c>
      <c r="C47" s="1172">
        <v>-20</v>
      </c>
      <c r="D47" s="1169">
        <v>5</v>
      </c>
      <c r="E47" s="1172">
        <f>IF(D47&lt;3.6,2.048,4.096)</f>
        <v>4.096</v>
      </c>
      <c r="F47" s="1172">
        <f>IF(D47&gt;3.6,4*B47,2*B47)</f>
        <v>2.5304</v>
      </c>
      <c r="G47" s="1172">
        <v>10</v>
      </c>
      <c r="H47" s="1172">
        <f>(F47/E47)*(2^G47-1)</f>
        <v>631.9822265625</v>
      </c>
      <c r="I47" s="492" t="s">
        <v>119</v>
      </c>
      <c r="J47" s="625">
        <f>H59-H47</f>
        <v>-79.1226562500001</v>
      </c>
    </row>
    <row r="48" ht="15" spans="2:10">
      <c r="B48" s="1207">
        <f t="shared" ref="B48:B59" si="0">0.659-(C48+40)*0.00132</f>
        <v>0.626</v>
      </c>
      <c r="C48" s="1172">
        <f>C47+5</f>
        <v>-15</v>
      </c>
      <c r="D48" s="1169">
        <v>5</v>
      </c>
      <c r="E48" s="1172">
        <f t="shared" ref="E48:E59" si="1">IF(D48&lt;3.6,2.048,4.096)</f>
        <v>4.096</v>
      </c>
      <c r="F48" s="1172">
        <f t="shared" ref="F48:F59" si="2">IF(D48&gt;3.6,4*B48,2*B48)</f>
        <v>2.504</v>
      </c>
      <c r="G48" s="1172">
        <v>10</v>
      </c>
      <c r="H48" s="1172">
        <f t="shared" ref="H48:H59" si="3">(F48/E48)*(2^G48-1)</f>
        <v>625.388671875</v>
      </c>
      <c r="I48" s="492"/>
      <c r="J48" s="625"/>
    </row>
    <row r="49" ht="15" spans="2:10">
      <c r="B49" s="1207">
        <f t="shared" si="0"/>
        <v>0.6194</v>
      </c>
      <c r="C49" s="1172">
        <f t="shared" ref="C49:C59" si="4">C48+5</f>
        <v>-10</v>
      </c>
      <c r="D49" s="1169">
        <v>5</v>
      </c>
      <c r="E49" s="1172">
        <f t="shared" si="1"/>
        <v>4.096</v>
      </c>
      <c r="F49" s="1172">
        <f t="shared" si="2"/>
        <v>2.4776</v>
      </c>
      <c r="G49" s="1172">
        <v>10</v>
      </c>
      <c r="H49" s="1172">
        <f t="shared" si="3"/>
        <v>618.7951171875</v>
      </c>
      <c r="I49" s="492"/>
      <c r="J49" s="625"/>
    </row>
    <row r="50" ht="15" spans="2:10">
      <c r="B50" s="1207">
        <f t="shared" si="0"/>
        <v>0.6128</v>
      </c>
      <c r="C50" s="1172">
        <f t="shared" si="4"/>
        <v>-5</v>
      </c>
      <c r="D50" s="1169">
        <v>5</v>
      </c>
      <c r="E50" s="1172">
        <f t="shared" si="1"/>
        <v>4.096</v>
      </c>
      <c r="F50" s="1172">
        <f t="shared" si="2"/>
        <v>2.4512</v>
      </c>
      <c r="G50" s="1172">
        <v>10</v>
      </c>
      <c r="H50" s="1172">
        <f t="shared" si="3"/>
        <v>612.2015625</v>
      </c>
      <c r="I50" s="492"/>
      <c r="J50" s="625"/>
    </row>
    <row r="51" ht="15" spans="2:10">
      <c r="B51" s="1207">
        <f t="shared" si="0"/>
        <v>0.6062</v>
      </c>
      <c r="C51" s="1172">
        <f t="shared" si="4"/>
        <v>0</v>
      </c>
      <c r="D51" s="1169">
        <v>5</v>
      </c>
      <c r="E51" s="1172">
        <f t="shared" si="1"/>
        <v>4.096</v>
      </c>
      <c r="F51" s="1172">
        <f t="shared" si="2"/>
        <v>2.4248</v>
      </c>
      <c r="G51" s="1172">
        <v>10</v>
      </c>
      <c r="H51" s="1172">
        <f t="shared" si="3"/>
        <v>605.6080078125</v>
      </c>
      <c r="I51" s="492"/>
      <c r="J51" s="625"/>
    </row>
    <row r="52" ht="15" spans="2:10">
      <c r="B52" s="1207">
        <f t="shared" si="0"/>
        <v>0.5996</v>
      </c>
      <c r="C52" s="1172">
        <f t="shared" si="4"/>
        <v>5</v>
      </c>
      <c r="D52" s="1169">
        <v>5</v>
      </c>
      <c r="E52" s="1172">
        <f t="shared" si="1"/>
        <v>4.096</v>
      </c>
      <c r="F52" s="1172">
        <f t="shared" si="2"/>
        <v>2.3984</v>
      </c>
      <c r="G52" s="1172">
        <v>10</v>
      </c>
      <c r="H52" s="1172">
        <f t="shared" si="3"/>
        <v>599.014453125</v>
      </c>
      <c r="I52" s="492"/>
      <c r="J52" s="625"/>
    </row>
    <row r="53" ht="15" spans="2:10">
      <c r="B53" s="1207">
        <f t="shared" si="0"/>
        <v>0.593</v>
      </c>
      <c r="C53" s="1172">
        <f t="shared" si="4"/>
        <v>10</v>
      </c>
      <c r="D53" s="1169">
        <v>5</v>
      </c>
      <c r="E53" s="1172">
        <f t="shared" si="1"/>
        <v>4.096</v>
      </c>
      <c r="F53" s="1172">
        <f t="shared" si="2"/>
        <v>2.372</v>
      </c>
      <c r="G53" s="1172">
        <v>10</v>
      </c>
      <c r="H53" s="1172">
        <f t="shared" si="3"/>
        <v>592.4208984375</v>
      </c>
      <c r="I53" s="492"/>
      <c r="J53" s="625"/>
    </row>
    <row r="54" ht="15" spans="2:10">
      <c r="B54" s="1207">
        <f t="shared" si="0"/>
        <v>0.5864</v>
      </c>
      <c r="C54" s="1172">
        <f t="shared" si="4"/>
        <v>15</v>
      </c>
      <c r="D54" s="1169">
        <v>5</v>
      </c>
      <c r="E54" s="1172">
        <f t="shared" si="1"/>
        <v>4.096</v>
      </c>
      <c r="F54" s="1172">
        <f t="shared" si="2"/>
        <v>2.3456</v>
      </c>
      <c r="G54" s="1172">
        <v>10</v>
      </c>
      <c r="H54" s="1172">
        <f t="shared" si="3"/>
        <v>585.82734375</v>
      </c>
      <c r="I54" s="492"/>
      <c r="J54" s="625"/>
    </row>
    <row r="55" ht="15" spans="2:10">
      <c r="B55" s="1207">
        <f t="shared" si="0"/>
        <v>0.5798</v>
      </c>
      <c r="C55" s="1172">
        <f t="shared" si="4"/>
        <v>20</v>
      </c>
      <c r="D55" s="1169">
        <v>5</v>
      </c>
      <c r="E55" s="1172">
        <f t="shared" si="1"/>
        <v>4.096</v>
      </c>
      <c r="F55" s="1172">
        <f t="shared" si="2"/>
        <v>2.3192</v>
      </c>
      <c r="G55" s="1172">
        <v>10</v>
      </c>
      <c r="H55" s="1172">
        <f t="shared" si="3"/>
        <v>579.2337890625</v>
      </c>
      <c r="I55" s="492"/>
      <c r="J55" s="625"/>
    </row>
    <row r="56" ht="15" spans="2:10">
      <c r="B56" s="1207">
        <f t="shared" si="0"/>
        <v>0.5732</v>
      </c>
      <c r="C56" s="1172">
        <f t="shared" si="4"/>
        <v>25</v>
      </c>
      <c r="D56" s="1169">
        <v>5</v>
      </c>
      <c r="E56" s="1172">
        <f t="shared" si="1"/>
        <v>4.096</v>
      </c>
      <c r="F56" s="1172">
        <f t="shared" si="2"/>
        <v>2.2928</v>
      </c>
      <c r="G56" s="1172">
        <v>10</v>
      </c>
      <c r="H56" s="1172">
        <f t="shared" si="3"/>
        <v>572.640234375</v>
      </c>
      <c r="I56" s="492"/>
      <c r="J56" s="625"/>
    </row>
    <row r="57" ht="15" spans="2:10">
      <c r="B57" s="1207">
        <f t="shared" si="0"/>
        <v>0.5666</v>
      </c>
      <c r="C57" s="1172">
        <f t="shared" si="4"/>
        <v>30</v>
      </c>
      <c r="D57" s="1169">
        <v>5</v>
      </c>
      <c r="E57" s="1172">
        <f t="shared" si="1"/>
        <v>4.096</v>
      </c>
      <c r="F57" s="1172">
        <f t="shared" si="2"/>
        <v>2.2664</v>
      </c>
      <c r="G57" s="1172">
        <v>10</v>
      </c>
      <c r="H57" s="1172">
        <f t="shared" si="3"/>
        <v>566.0466796875</v>
      </c>
      <c r="I57" s="492"/>
      <c r="J57" s="625"/>
    </row>
    <row r="58" ht="15" spans="2:10">
      <c r="B58" s="1207">
        <f t="shared" si="0"/>
        <v>0.56</v>
      </c>
      <c r="C58" s="1172">
        <f t="shared" si="4"/>
        <v>35</v>
      </c>
      <c r="D58" s="1169">
        <v>5</v>
      </c>
      <c r="E58" s="1172">
        <f t="shared" si="1"/>
        <v>4.096</v>
      </c>
      <c r="F58" s="1172">
        <f t="shared" si="2"/>
        <v>2.24</v>
      </c>
      <c r="G58" s="1172">
        <v>10</v>
      </c>
      <c r="H58" s="1172">
        <f t="shared" si="3"/>
        <v>559.453125</v>
      </c>
      <c r="I58" s="492"/>
      <c r="J58" s="625"/>
    </row>
    <row r="59" ht="15.75" spans="2:10">
      <c r="B59" s="1208">
        <f t="shared" si="0"/>
        <v>0.5534</v>
      </c>
      <c r="C59" s="1209">
        <f t="shared" si="4"/>
        <v>40</v>
      </c>
      <c r="D59" s="1169">
        <v>5</v>
      </c>
      <c r="E59" s="1172">
        <f t="shared" si="1"/>
        <v>4.096</v>
      </c>
      <c r="F59" s="1209">
        <f t="shared" si="2"/>
        <v>2.2136</v>
      </c>
      <c r="G59" s="1209">
        <v>10</v>
      </c>
      <c r="H59" s="1209">
        <f t="shared" si="3"/>
        <v>552.8595703125</v>
      </c>
      <c r="I59" s="629"/>
      <c r="J59" s="630"/>
    </row>
  </sheetData>
  <pageMargins left="0.7" right="0.7"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35"/>
  <sheetViews>
    <sheetView workbookViewId="0">
      <selection activeCell="M19" sqref="M19"/>
    </sheetView>
  </sheetViews>
  <sheetFormatPr defaultColWidth="9" defaultRowHeight="13.5"/>
  <cols>
    <col min="1" max="8" width="6.875" customWidth="1"/>
    <col min="9" max="10" width="10.5" customWidth="1"/>
    <col min="11" max="11" width="4.625" customWidth="1"/>
  </cols>
  <sheetData>
    <row r="1" spans="1:8">
      <c r="A1" s="1149" t="s">
        <v>120</v>
      </c>
      <c r="B1" s="1149" t="s">
        <v>121</v>
      </c>
      <c r="C1" s="1149" t="s">
        <v>122</v>
      </c>
      <c r="D1" s="1149" t="s">
        <v>123</v>
      </c>
      <c r="E1" s="1149" t="s">
        <v>124</v>
      </c>
      <c r="F1" s="1149" t="s">
        <v>125</v>
      </c>
      <c r="G1" s="1149" t="s">
        <v>126</v>
      </c>
      <c r="H1" s="1149" t="s">
        <v>127</v>
      </c>
    </row>
    <row r="2" spans="1:8">
      <c r="A2" s="1150">
        <v>7</v>
      </c>
      <c r="B2" s="1150">
        <v>6</v>
      </c>
      <c r="C2" s="1150">
        <v>5</v>
      </c>
      <c r="D2" s="1150">
        <v>4</v>
      </c>
      <c r="E2" s="1150">
        <v>3</v>
      </c>
      <c r="F2" s="1150">
        <v>2</v>
      </c>
      <c r="G2" s="1150">
        <v>1</v>
      </c>
      <c r="H2" s="1150">
        <v>0</v>
      </c>
    </row>
    <row r="3" spans="1:11">
      <c r="A3">
        <v>0</v>
      </c>
      <c r="B3">
        <v>0</v>
      </c>
      <c r="C3">
        <v>0</v>
      </c>
      <c r="D3">
        <v>0</v>
      </c>
      <c r="E3">
        <v>0</v>
      </c>
      <c r="F3">
        <v>0</v>
      </c>
      <c r="G3">
        <v>0</v>
      </c>
      <c r="H3">
        <v>1</v>
      </c>
      <c r="I3" t="str">
        <f>A3&amp;B3&amp;C3&amp;D3&amp;E3&amp;F3&amp;G3&amp;H3</f>
        <v>00000001</v>
      </c>
      <c r="J3" t="str">
        <f>"0x"&amp;BIN2HEX(I3)</f>
        <v>0x1</v>
      </c>
      <c r="K3" s="1156">
        <v>0</v>
      </c>
    </row>
    <row r="4" spans="1:11">
      <c r="A4">
        <v>0</v>
      </c>
      <c r="B4">
        <v>0</v>
      </c>
      <c r="C4">
        <v>0</v>
      </c>
      <c r="D4">
        <v>0</v>
      </c>
      <c r="E4">
        <v>0</v>
      </c>
      <c r="F4">
        <v>0</v>
      </c>
      <c r="G4">
        <v>1</v>
      </c>
      <c r="H4">
        <v>1</v>
      </c>
      <c r="I4" t="str">
        <f t="shared" ref="I4:I10" si="0">A4&amp;B4&amp;C4&amp;D4&amp;E4&amp;F4&amp;G4&amp;H4</f>
        <v>00000011</v>
      </c>
      <c r="J4" t="str">
        <f t="shared" ref="J4:J10" si="1">"0x"&amp;BIN2HEX(I4)</f>
        <v>0x3</v>
      </c>
      <c r="K4" s="1156">
        <v>1</v>
      </c>
    </row>
    <row r="5" spans="1:11">
      <c r="A5">
        <v>0</v>
      </c>
      <c r="B5">
        <v>0</v>
      </c>
      <c r="C5">
        <v>0</v>
      </c>
      <c r="D5">
        <v>0</v>
      </c>
      <c r="E5">
        <v>0</v>
      </c>
      <c r="F5">
        <v>1</v>
      </c>
      <c r="G5">
        <v>1</v>
      </c>
      <c r="H5">
        <v>1</v>
      </c>
      <c r="I5" t="str">
        <f t="shared" si="0"/>
        <v>00000111</v>
      </c>
      <c r="J5" t="str">
        <f t="shared" si="1"/>
        <v>0x7</v>
      </c>
      <c r="K5" s="1156">
        <v>2</v>
      </c>
    </row>
    <row r="6" spans="1:11">
      <c r="A6">
        <v>0</v>
      </c>
      <c r="B6">
        <v>0</v>
      </c>
      <c r="C6">
        <v>0</v>
      </c>
      <c r="D6">
        <v>0</v>
      </c>
      <c r="E6">
        <v>1</v>
      </c>
      <c r="F6">
        <v>1</v>
      </c>
      <c r="G6">
        <v>1</v>
      </c>
      <c r="H6">
        <v>1</v>
      </c>
      <c r="I6" t="str">
        <f t="shared" si="0"/>
        <v>00001111</v>
      </c>
      <c r="J6" t="str">
        <f t="shared" si="1"/>
        <v>0xF</v>
      </c>
      <c r="K6" s="1156">
        <v>3</v>
      </c>
    </row>
    <row r="7" spans="1:11">
      <c r="A7">
        <v>0</v>
      </c>
      <c r="B7">
        <v>0</v>
      </c>
      <c r="C7">
        <v>0</v>
      </c>
      <c r="D7">
        <v>1</v>
      </c>
      <c r="E7">
        <v>1</v>
      </c>
      <c r="F7">
        <v>1</v>
      </c>
      <c r="G7">
        <v>1</v>
      </c>
      <c r="H7">
        <v>1</v>
      </c>
      <c r="I7" t="str">
        <f t="shared" si="0"/>
        <v>00011111</v>
      </c>
      <c r="J7" t="str">
        <f t="shared" si="1"/>
        <v>0x1F</v>
      </c>
      <c r="K7" s="1156">
        <v>4</v>
      </c>
    </row>
    <row r="8" spans="1:11">
      <c r="A8">
        <v>0</v>
      </c>
      <c r="B8">
        <v>0</v>
      </c>
      <c r="C8">
        <v>0</v>
      </c>
      <c r="D8">
        <v>0</v>
      </c>
      <c r="E8">
        <v>0</v>
      </c>
      <c r="F8">
        <v>0</v>
      </c>
      <c r="G8">
        <v>0</v>
      </c>
      <c r="H8">
        <v>0</v>
      </c>
      <c r="I8" t="str">
        <f t="shared" si="0"/>
        <v>00000000</v>
      </c>
      <c r="J8" t="str">
        <f t="shared" si="1"/>
        <v>0x0</v>
      </c>
      <c r="K8" s="1156">
        <v>5</v>
      </c>
    </row>
    <row r="9" spans="1:11">
      <c r="A9">
        <v>0</v>
      </c>
      <c r="B9">
        <v>0</v>
      </c>
      <c r="C9">
        <v>0</v>
      </c>
      <c r="D9">
        <v>0</v>
      </c>
      <c r="E9">
        <v>0</v>
      </c>
      <c r="F9">
        <v>0</v>
      </c>
      <c r="G9">
        <v>0</v>
      </c>
      <c r="H9">
        <v>0</v>
      </c>
      <c r="I9" t="str">
        <f t="shared" si="0"/>
        <v>00000000</v>
      </c>
      <c r="J9" t="str">
        <f t="shared" si="1"/>
        <v>0x0</v>
      </c>
      <c r="K9" s="1156">
        <v>6</v>
      </c>
    </row>
    <row r="10" spans="1:11">
      <c r="A10">
        <v>0</v>
      </c>
      <c r="B10">
        <v>0</v>
      </c>
      <c r="C10">
        <v>0</v>
      </c>
      <c r="D10">
        <v>0</v>
      </c>
      <c r="E10">
        <v>0</v>
      </c>
      <c r="F10">
        <v>0</v>
      </c>
      <c r="G10">
        <v>0</v>
      </c>
      <c r="H10">
        <v>0</v>
      </c>
      <c r="I10" t="str">
        <f t="shared" si="0"/>
        <v>00000000</v>
      </c>
      <c r="J10" t="str">
        <f t="shared" si="1"/>
        <v>0x0</v>
      </c>
      <c r="K10" s="1156">
        <v>7</v>
      </c>
    </row>
    <row r="11" spans="1:11">
      <c r="A11" t="str">
        <f>"{"&amp;J3&amp;","</f>
        <v>{0x1,</v>
      </c>
      <c r="B11" t="str">
        <f>J4&amp;","</f>
        <v>0x3,</v>
      </c>
      <c r="C11" t="str">
        <f>J5&amp;","</f>
        <v>0x7,</v>
      </c>
      <c r="D11" t="str">
        <f>J6&amp;","</f>
        <v>0xF,</v>
      </c>
      <c r="E11" t="str">
        <f>J7&amp;"}"</f>
        <v>0x1F}</v>
      </c>
      <c r="K11" s="491" t="s">
        <v>128</v>
      </c>
    </row>
    <row r="13" spans="1:8">
      <c r="A13" s="1149" t="s">
        <v>120</v>
      </c>
      <c r="B13" s="1149" t="s">
        <v>121</v>
      </c>
      <c r="C13" s="1149" t="s">
        <v>122</v>
      </c>
      <c r="D13" s="1149" t="s">
        <v>123</v>
      </c>
      <c r="E13" s="1149" t="s">
        <v>124</v>
      </c>
      <c r="F13" s="1149" t="s">
        <v>125</v>
      </c>
      <c r="G13" s="1149" t="s">
        <v>126</v>
      </c>
      <c r="H13" s="1149" t="s">
        <v>127</v>
      </c>
    </row>
    <row r="14" spans="1:8">
      <c r="A14" s="1150">
        <v>7</v>
      </c>
      <c r="B14" s="1150">
        <v>6</v>
      </c>
      <c r="C14" s="1150">
        <v>5</v>
      </c>
      <c r="D14" s="1150">
        <v>4</v>
      </c>
      <c r="E14" s="1150">
        <v>3</v>
      </c>
      <c r="F14" s="1150">
        <v>2</v>
      </c>
      <c r="G14" s="1150">
        <v>1</v>
      </c>
      <c r="H14" s="1150">
        <v>0</v>
      </c>
    </row>
    <row r="15" spans="1:11">
      <c r="A15">
        <v>0</v>
      </c>
      <c r="B15">
        <v>0</v>
      </c>
      <c r="C15">
        <v>0</v>
      </c>
      <c r="D15">
        <v>0</v>
      </c>
      <c r="E15">
        <v>0</v>
      </c>
      <c r="F15">
        <v>0</v>
      </c>
      <c r="G15">
        <v>0</v>
      </c>
      <c r="H15">
        <v>1</v>
      </c>
      <c r="I15" t="str">
        <f>A15&amp;B15&amp;C15&amp;D15&amp;E15&amp;F15&amp;G15&amp;H15</f>
        <v>00000001</v>
      </c>
      <c r="J15" t="str">
        <f>"0x"&amp;BIN2HEX(I15)</f>
        <v>0x1</v>
      </c>
      <c r="K15" s="1156">
        <v>0</v>
      </c>
    </row>
    <row r="16" spans="1:11">
      <c r="A16">
        <v>0</v>
      </c>
      <c r="B16">
        <v>0</v>
      </c>
      <c r="C16">
        <v>0</v>
      </c>
      <c r="D16">
        <v>0</v>
      </c>
      <c r="E16">
        <v>0</v>
      </c>
      <c r="F16">
        <v>0</v>
      </c>
      <c r="G16">
        <v>1</v>
      </c>
      <c r="H16">
        <v>1</v>
      </c>
      <c r="I16" t="str">
        <f t="shared" ref="I16:I22" si="2">A16&amp;B16&amp;C16&amp;D16&amp;E16&amp;F16&amp;G16&amp;H16</f>
        <v>00000011</v>
      </c>
      <c r="J16" t="str">
        <f t="shared" ref="J16:J22" si="3">"0x"&amp;BIN2HEX(I16)</f>
        <v>0x3</v>
      </c>
      <c r="K16" s="1156">
        <v>1</v>
      </c>
    </row>
    <row r="17" spans="1:11">
      <c r="A17">
        <v>0</v>
      </c>
      <c r="B17">
        <v>0</v>
      </c>
      <c r="C17">
        <v>0</v>
      </c>
      <c r="D17">
        <v>0</v>
      </c>
      <c r="E17">
        <v>0</v>
      </c>
      <c r="F17">
        <v>1</v>
      </c>
      <c r="G17">
        <v>1</v>
      </c>
      <c r="H17">
        <v>1</v>
      </c>
      <c r="I17" t="str">
        <f t="shared" si="2"/>
        <v>00000111</v>
      </c>
      <c r="J17" t="str">
        <f t="shared" si="3"/>
        <v>0x7</v>
      </c>
      <c r="K17" s="1156">
        <v>2</v>
      </c>
    </row>
    <row r="18" spans="1:11">
      <c r="A18">
        <v>0</v>
      </c>
      <c r="B18">
        <v>0</v>
      </c>
      <c r="C18">
        <v>0</v>
      </c>
      <c r="D18">
        <v>0</v>
      </c>
      <c r="E18">
        <v>1</v>
      </c>
      <c r="F18">
        <v>1</v>
      </c>
      <c r="G18">
        <v>1</v>
      </c>
      <c r="H18">
        <v>1</v>
      </c>
      <c r="I18" t="str">
        <f t="shared" si="2"/>
        <v>00001111</v>
      </c>
      <c r="J18" t="str">
        <f t="shared" si="3"/>
        <v>0xF</v>
      </c>
      <c r="K18" s="1156">
        <v>3</v>
      </c>
    </row>
    <row r="19" spans="1:11">
      <c r="A19">
        <v>0</v>
      </c>
      <c r="B19">
        <v>0</v>
      </c>
      <c r="C19">
        <v>0</v>
      </c>
      <c r="D19">
        <v>1</v>
      </c>
      <c r="E19">
        <v>1</v>
      </c>
      <c r="F19">
        <v>1</v>
      </c>
      <c r="G19">
        <v>1</v>
      </c>
      <c r="H19">
        <v>1</v>
      </c>
      <c r="I19" t="str">
        <f t="shared" si="2"/>
        <v>00011111</v>
      </c>
      <c r="J19" t="str">
        <f t="shared" si="3"/>
        <v>0x1F</v>
      </c>
      <c r="K19" s="1156">
        <v>4</v>
      </c>
    </row>
    <row r="20" spans="1:11">
      <c r="A20">
        <v>0</v>
      </c>
      <c r="B20">
        <v>0</v>
      </c>
      <c r="C20">
        <v>0</v>
      </c>
      <c r="D20">
        <v>0</v>
      </c>
      <c r="E20">
        <v>0</v>
      </c>
      <c r="F20">
        <v>0</v>
      </c>
      <c r="G20">
        <v>0</v>
      </c>
      <c r="H20">
        <v>0</v>
      </c>
      <c r="I20" t="str">
        <f t="shared" si="2"/>
        <v>00000000</v>
      </c>
      <c r="J20" t="str">
        <f t="shared" si="3"/>
        <v>0x0</v>
      </c>
      <c r="K20" s="1156">
        <v>5</v>
      </c>
    </row>
    <row r="21" spans="1:11">
      <c r="A21">
        <v>0</v>
      </c>
      <c r="B21">
        <v>0</v>
      </c>
      <c r="C21">
        <v>0</v>
      </c>
      <c r="D21">
        <v>0</v>
      </c>
      <c r="E21">
        <v>0</v>
      </c>
      <c r="F21">
        <v>0</v>
      </c>
      <c r="G21">
        <v>0</v>
      </c>
      <c r="H21">
        <v>0</v>
      </c>
      <c r="I21" t="str">
        <f t="shared" si="2"/>
        <v>00000000</v>
      </c>
      <c r="J21" t="str">
        <f t="shared" si="3"/>
        <v>0x0</v>
      </c>
      <c r="K21" s="1156">
        <v>6</v>
      </c>
    </row>
    <row r="22" spans="1:11">
      <c r="A22">
        <v>0</v>
      </c>
      <c r="B22">
        <v>0</v>
      </c>
      <c r="C22">
        <v>0</v>
      </c>
      <c r="D22">
        <v>0</v>
      </c>
      <c r="E22">
        <v>0</v>
      </c>
      <c r="F22">
        <v>0</v>
      </c>
      <c r="G22">
        <v>0</v>
      </c>
      <c r="H22">
        <v>0</v>
      </c>
      <c r="I22" t="str">
        <f t="shared" si="2"/>
        <v>00000000</v>
      </c>
      <c r="J22" t="str">
        <f t="shared" si="3"/>
        <v>0x0</v>
      </c>
      <c r="K22" s="1156">
        <v>7</v>
      </c>
    </row>
    <row r="23" spans="1:11">
      <c r="A23" t="str">
        <f>"{"&amp;J15&amp;","</f>
        <v>{0x1,</v>
      </c>
      <c r="B23" t="str">
        <f>J16&amp;","</f>
        <v>0x3,</v>
      </c>
      <c r="C23" t="str">
        <f>J17&amp;","</f>
        <v>0x7,</v>
      </c>
      <c r="D23" t="str">
        <f>J18&amp;","</f>
        <v>0xF,</v>
      </c>
      <c r="E23" t="str">
        <f>J19&amp;"}"</f>
        <v>0x1F}</v>
      </c>
      <c r="K23" s="491" t="s">
        <v>129</v>
      </c>
    </row>
    <row r="25" spans="1:8">
      <c r="A25" s="1149" t="s">
        <v>120</v>
      </c>
      <c r="B25" s="1149" t="s">
        <v>121</v>
      </c>
      <c r="C25" s="1149" t="s">
        <v>122</v>
      </c>
      <c r="D25" s="1149" t="s">
        <v>123</v>
      </c>
      <c r="E25" s="1149" t="s">
        <v>124</v>
      </c>
      <c r="F25" s="1149" t="s">
        <v>125</v>
      </c>
      <c r="G25" s="1149" t="s">
        <v>126</v>
      </c>
      <c r="H25" s="1149" t="s">
        <v>127</v>
      </c>
    </row>
    <row r="26" spans="1:8">
      <c r="A26" s="1150">
        <v>7</v>
      </c>
      <c r="B26" s="1150">
        <v>6</v>
      </c>
      <c r="C26" s="1150">
        <v>5</v>
      </c>
      <c r="D26" s="1150">
        <v>4</v>
      </c>
      <c r="E26" s="1150">
        <v>3</v>
      </c>
      <c r="F26" s="1150">
        <v>2</v>
      </c>
      <c r="G26" s="1151">
        <v>1</v>
      </c>
      <c r="H26" s="1152">
        <v>0</v>
      </c>
    </row>
    <row r="27" spans="1:11">
      <c r="A27" s="1153">
        <v>0</v>
      </c>
      <c r="B27" s="1154">
        <v>0</v>
      </c>
      <c r="C27" s="1153">
        <v>0</v>
      </c>
      <c r="D27" s="1154">
        <v>0</v>
      </c>
      <c r="E27" s="1153">
        <v>0</v>
      </c>
      <c r="F27" s="1155">
        <v>0</v>
      </c>
      <c r="G27" s="1153">
        <v>0</v>
      </c>
      <c r="H27" s="1155">
        <v>1</v>
      </c>
      <c r="I27" t="str">
        <f>A27&amp;B27&amp;C27&amp;D27&amp;E27&amp;F27&amp;G27&amp;H27</f>
        <v>00000001</v>
      </c>
      <c r="J27" t="str">
        <f>"0x"&amp;BIN2HEX(I27)</f>
        <v>0x1</v>
      </c>
      <c r="K27" s="1156">
        <v>0</v>
      </c>
    </row>
    <row r="28" spans="1:11">
      <c r="A28" s="1153">
        <v>0</v>
      </c>
      <c r="B28" s="1154">
        <v>0</v>
      </c>
      <c r="C28" s="1153">
        <v>0</v>
      </c>
      <c r="D28" s="1154">
        <v>0</v>
      </c>
      <c r="E28" s="1153">
        <v>0</v>
      </c>
      <c r="F28" s="1155">
        <v>1</v>
      </c>
      <c r="G28" s="1153">
        <v>0</v>
      </c>
      <c r="H28" s="1155">
        <v>1</v>
      </c>
      <c r="I28" t="str">
        <f t="shared" ref="I28:I34" si="4">A28&amp;B28&amp;C28&amp;D28&amp;E28&amp;F28&amp;G28&amp;H28</f>
        <v>00000101</v>
      </c>
      <c r="J28" t="str">
        <f t="shared" ref="J28:J34" si="5">"0x"&amp;BIN2HEX(I28)</f>
        <v>0x5</v>
      </c>
      <c r="K28" s="1156">
        <v>1</v>
      </c>
    </row>
    <row r="29" spans="1:11">
      <c r="A29" s="1153">
        <v>0</v>
      </c>
      <c r="B29" s="1154">
        <v>0</v>
      </c>
      <c r="C29" s="1153">
        <v>1</v>
      </c>
      <c r="D29" s="1154">
        <v>1</v>
      </c>
      <c r="E29" s="1153">
        <v>1</v>
      </c>
      <c r="F29" s="1155">
        <v>1</v>
      </c>
      <c r="G29" s="1153">
        <v>1</v>
      </c>
      <c r="H29" s="1155">
        <v>1</v>
      </c>
      <c r="I29" t="str">
        <f t="shared" si="4"/>
        <v>00111111</v>
      </c>
      <c r="J29" t="str">
        <f t="shared" si="5"/>
        <v>0x3F</v>
      </c>
      <c r="K29" s="1156">
        <v>2</v>
      </c>
    </row>
    <row r="30" spans="1:11">
      <c r="A30" s="1153">
        <v>1</v>
      </c>
      <c r="B30" s="1154">
        <v>1</v>
      </c>
      <c r="C30" s="1153">
        <v>1</v>
      </c>
      <c r="D30" s="1154">
        <v>1</v>
      </c>
      <c r="E30" s="1153">
        <v>1</v>
      </c>
      <c r="F30" s="1155">
        <v>1</v>
      </c>
      <c r="G30" s="1153">
        <v>1</v>
      </c>
      <c r="H30" s="1155">
        <v>1</v>
      </c>
      <c r="I30" t="str">
        <f t="shared" si="4"/>
        <v>11111111</v>
      </c>
      <c r="J30" t="str">
        <f t="shared" si="5"/>
        <v>0xFF</v>
      </c>
      <c r="K30" s="1156">
        <v>3</v>
      </c>
    </row>
    <row r="31" spans="1:11">
      <c r="A31" s="1153">
        <v>1</v>
      </c>
      <c r="B31" s="1154">
        <v>0</v>
      </c>
      <c r="C31" s="1153">
        <v>1</v>
      </c>
      <c r="D31" s="1154">
        <v>0</v>
      </c>
      <c r="E31" s="1153">
        <v>1</v>
      </c>
      <c r="F31" s="1155">
        <v>0</v>
      </c>
      <c r="G31" s="1153">
        <v>1</v>
      </c>
      <c r="H31" s="1155">
        <v>0</v>
      </c>
      <c r="I31" t="str">
        <f t="shared" si="4"/>
        <v>10101010</v>
      </c>
      <c r="J31" t="str">
        <f t="shared" si="5"/>
        <v>0xAA</v>
      </c>
      <c r="K31" s="1156">
        <v>4</v>
      </c>
    </row>
    <row r="32" spans="1:11">
      <c r="A32" s="1153">
        <v>0</v>
      </c>
      <c r="B32" s="1154">
        <v>0</v>
      </c>
      <c r="C32" s="1153">
        <v>0</v>
      </c>
      <c r="D32" s="1154">
        <v>0</v>
      </c>
      <c r="E32" s="1153">
        <v>0</v>
      </c>
      <c r="F32" s="1155">
        <v>0</v>
      </c>
      <c r="G32" s="1153">
        <v>0</v>
      </c>
      <c r="H32" s="1155">
        <v>0</v>
      </c>
      <c r="I32" t="str">
        <f t="shared" si="4"/>
        <v>00000000</v>
      </c>
      <c r="J32" t="str">
        <f t="shared" si="5"/>
        <v>0x0</v>
      </c>
      <c r="K32" s="1156">
        <v>5</v>
      </c>
    </row>
    <row r="33" spans="1:11">
      <c r="A33" s="1153">
        <v>0</v>
      </c>
      <c r="B33" s="1154">
        <v>0</v>
      </c>
      <c r="C33" s="1153">
        <v>0</v>
      </c>
      <c r="D33" s="1154">
        <v>0</v>
      </c>
      <c r="E33" s="1153">
        <v>0</v>
      </c>
      <c r="F33" s="1155">
        <v>0</v>
      </c>
      <c r="G33" s="1153">
        <v>0</v>
      </c>
      <c r="H33" s="1155">
        <v>0</v>
      </c>
      <c r="I33" t="str">
        <f t="shared" si="4"/>
        <v>00000000</v>
      </c>
      <c r="J33" t="str">
        <f t="shared" si="5"/>
        <v>0x0</v>
      </c>
      <c r="K33" s="1156">
        <v>6</v>
      </c>
    </row>
    <row r="34" spans="1:11">
      <c r="A34" s="1153">
        <v>0</v>
      </c>
      <c r="B34" s="1154">
        <v>0</v>
      </c>
      <c r="C34" s="1153">
        <v>0</v>
      </c>
      <c r="D34" s="1154">
        <v>0</v>
      </c>
      <c r="E34" s="1153">
        <v>0</v>
      </c>
      <c r="F34" s="1155">
        <v>0</v>
      </c>
      <c r="G34" s="1153">
        <v>0</v>
      </c>
      <c r="H34" s="1155">
        <v>0</v>
      </c>
      <c r="I34" t="str">
        <f t="shared" si="4"/>
        <v>00000000</v>
      </c>
      <c r="J34" t="str">
        <f t="shared" si="5"/>
        <v>0x0</v>
      </c>
      <c r="K34" s="1156">
        <v>7</v>
      </c>
    </row>
    <row r="35" spans="1:11">
      <c r="A35" t="str">
        <f>"{"&amp;J27&amp;","</f>
        <v>{0x1,</v>
      </c>
      <c r="B35" t="str">
        <f>J28&amp;","</f>
        <v>0x5,</v>
      </c>
      <c r="C35" t="str">
        <f>J29&amp;","</f>
        <v>0x3F,</v>
      </c>
      <c r="D35" t="str">
        <f>J30&amp;","</f>
        <v>0xFF,</v>
      </c>
      <c r="E35" t="str">
        <f>J31&amp;"}"</f>
        <v>0xAA}</v>
      </c>
      <c r="K35" s="491" t="s">
        <v>130</v>
      </c>
    </row>
  </sheetData>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B4"/>
  <sheetViews>
    <sheetView workbookViewId="0">
      <selection activeCell="B5" sqref="B5"/>
    </sheetView>
  </sheetViews>
  <sheetFormatPr defaultColWidth="9" defaultRowHeight="13.5" outlineLevelRow="3" outlineLevelCol="1"/>
  <cols>
    <col min="1" max="1" width="20.625" customWidth="1"/>
  </cols>
  <sheetData>
    <row r="1" spans="1:2">
      <c r="A1" s="1148" t="s">
        <v>131</v>
      </c>
      <c r="B1">
        <v>3899</v>
      </c>
    </row>
    <row r="2" spans="1:2">
      <c r="A2" t="s">
        <v>132</v>
      </c>
      <c r="B2">
        <v>3912</v>
      </c>
    </row>
    <row r="3" spans="1:2">
      <c r="A3" t="s">
        <v>133</v>
      </c>
      <c r="B3">
        <v>3923</v>
      </c>
    </row>
    <row r="4" spans="1:2">
      <c r="A4" t="s">
        <v>134</v>
      </c>
      <c r="B4">
        <v>3942</v>
      </c>
    </row>
  </sheetData>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B2:O7"/>
  <sheetViews>
    <sheetView workbookViewId="0">
      <selection activeCell="J16" sqref="J16"/>
    </sheetView>
  </sheetViews>
  <sheetFormatPr defaultColWidth="9" defaultRowHeight="13.5" outlineLevelRow="6"/>
  <cols>
    <col min="1" max="1" width="5.25" customWidth="1"/>
    <col min="6" max="6" width="7.75" customWidth="1"/>
    <col min="7" max="7" width="8.125" customWidth="1"/>
    <col min="8" max="8" width="16.125" customWidth="1"/>
    <col min="9" max="9" width="14.25" customWidth="1"/>
    <col min="10" max="11" width="9" customWidth="1"/>
    <col min="12" max="12" width="9" style="574" customWidth="1"/>
    <col min="13" max="13" width="9" customWidth="1"/>
    <col min="15" max="15" width="13" customWidth="1"/>
  </cols>
  <sheetData>
    <row r="2" ht="14.25" spans="2:2">
      <c r="B2" s="1140" t="s">
        <v>135</v>
      </c>
    </row>
    <row r="4" spans="2:15">
      <c r="B4" s="1141" t="s">
        <v>136</v>
      </c>
      <c r="C4" s="1141" t="s">
        <v>137</v>
      </c>
      <c r="D4" s="1142" t="s">
        <v>138</v>
      </c>
      <c r="E4" s="1142" t="s">
        <v>139</v>
      </c>
      <c r="F4" s="1142" t="s">
        <v>140</v>
      </c>
      <c r="G4" s="1142" t="s">
        <v>141</v>
      </c>
      <c r="H4" s="1142" t="s">
        <v>142</v>
      </c>
      <c r="I4" s="1142" t="s">
        <v>143</v>
      </c>
      <c r="J4" s="1142" t="s">
        <v>144</v>
      </c>
      <c r="K4" s="1142"/>
      <c r="L4"/>
      <c r="M4" s="1141" t="s">
        <v>145</v>
      </c>
      <c r="N4" s="1141" t="s">
        <v>146</v>
      </c>
      <c r="O4" s="1141" t="s">
        <v>147</v>
      </c>
    </row>
    <row r="5" spans="2:15">
      <c r="B5" s="1143">
        <v>7.8</v>
      </c>
      <c r="C5" s="1143">
        <v>2</v>
      </c>
      <c r="D5" s="1144">
        <v>5</v>
      </c>
      <c r="E5" s="1144">
        <v>1</v>
      </c>
      <c r="F5" s="1144">
        <v>70</v>
      </c>
      <c r="G5" s="1145">
        <f>(D5*60+E5)+F5/100</f>
        <v>301.7</v>
      </c>
      <c r="H5" s="1145">
        <f>(G5*B5)/C5</f>
        <v>1176.63</v>
      </c>
      <c r="I5" s="1146">
        <f>ROUND(H5,0)</f>
        <v>1177</v>
      </c>
      <c r="J5" s="1146">
        <f>I5/3600</f>
        <v>0.326944444444444</v>
      </c>
      <c r="K5" s="1146"/>
      <c r="L5" s="595"/>
      <c r="M5" s="1127">
        <v>20</v>
      </c>
      <c r="N5" s="1147">
        <v>0.08</v>
      </c>
      <c r="O5" s="1145">
        <f>J5*(M5-M5*N5)</f>
        <v>6.01577777777778</v>
      </c>
    </row>
    <row r="6" spans="2:15">
      <c r="B6" s="1143">
        <v>20</v>
      </c>
      <c r="C6" s="1143">
        <v>2</v>
      </c>
      <c r="D6" s="1144">
        <v>4</v>
      </c>
      <c r="E6" s="1144">
        <v>4</v>
      </c>
      <c r="F6" s="1144">
        <v>30</v>
      </c>
      <c r="G6" s="1145">
        <f>(D6*60+E6)+F6/100</f>
        <v>244.3</v>
      </c>
      <c r="H6" s="1145">
        <f>(G6*B6)/C6</f>
        <v>2443</v>
      </c>
      <c r="I6" s="1146">
        <f>ROUND(H6,0)</f>
        <v>2443</v>
      </c>
      <c r="J6" s="1146">
        <f>I6/3600</f>
        <v>0.678611111111111</v>
      </c>
      <c r="K6" s="1146"/>
      <c r="L6" s="595"/>
      <c r="M6" s="1127">
        <v>20</v>
      </c>
      <c r="N6" s="1147">
        <v>0.08</v>
      </c>
      <c r="O6" s="1145">
        <f>J6*(M6-M6*N6)</f>
        <v>12.4864444444444</v>
      </c>
    </row>
    <row r="7" spans="2:15">
      <c r="B7" s="1143">
        <v>137</v>
      </c>
      <c r="C7" s="1143">
        <v>10</v>
      </c>
      <c r="D7" s="1144">
        <v>32</v>
      </c>
      <c r="E7" s="1144">
        <v>47</v>
      </c>
      <c r="F7" s="1144">
        <v>40</v>
      </c>
      <c r="G7" s="1145">
        <f>(D7*60+E7)+F7/100</f>
        <v>1967.4</v>
      </c>
      <c r="H7" s="1145">
        <f>(G7*B7)/C7</f>
        <v>26953.38</v>
      </c>
      <c r="I7" s="1146">
        <f>ROUND(H7,0)</f>
        <v>26953</v>
      </c>
      <c r="J7" s="1146">
        <f>I7/3600</f>
        <v>7.48694444444444</v>
      </c>
      <c r="K7" s="1146"/>
      <c r="L7" s="595"/>
      <c r="M7" s="1127">
        <v>100</v>
      </c>
      <c r="N7" s="1147">
        <v>0.08</v>
      </c>
      <c r="O7" s="1145">
        <f>J7*(M7-M7*N7)</f>
        <v>688.798888888889</v>
      </c>
    </row>
  </sheetData>
  <mergeCells count="4">
    <mergeCell ref="J4:K4"/>
    <mergeCell ref="J5:K5"/>
    <mergeCell ref="J6:K6"/>
    <mergeCell ref="J7:K7"/>
  </mergeCells>
  <pageMargins left="0.7" right="0.7" top="0.75" bottom="0.75" header="0.3" footer="0.3"/>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B2:Y51"/>
  <sheetViews>
    <sheetView workbookViewId="0">
      <selection activeCell="D24" sqref="D24"/>
    </sheetView>
  </sheetViews>
  <sheetFormatPr defaultColWidth="9" defaultRowHeight="13.5"/>
  <cols>
    <col min="1" max="1" width="2.5" customWidth="1"/>
    <col min="2" max="2" width="20.625" customWidth="1"/>
    <col min="3" max="3" width="35.125" customWidth="1"/>
    <col min="4" max="4" width="10.125" customWidth="1"/>
  </cols>
  <sheetData>
    <row r="2" spans="2:3">
      <c r="B2" s="1116" t="s">
        <v>148</v>
      </c>
      <c r="C2" s="1117">
        <v>2.5</v>
      </c>
    </row>
    <row r="3" spans="2:4">
      <c r="B3" s="1116" t="s">
        <v>149</v>
      </c>
      <c r="C3" s="1117">
        <v>0.6</v>
      </c>
      <c r="D3" s="1118"/>
    </row>
    <row r="4" spans="2:3">
      <c r="B4" s="1116" t="s">
        <v>150</v>
      </c>
      <c r="C4" s="1119">
        <v>0.475</v>
      </c>
    </row>
    <row r="5" spans="2:3">
      <c r="B5" s="1116" t="s">
        <v>151</v>
      </c>
      <c r="C5" s="1119">
        <v>0.15</v>
      </c>
    </row>
    <row r="6" spans="2:3">
      <c r="B6" s="1116" t="s">
        <v>152</v>
      </c>
      <c r="C6" s="1120">
        <v>0.6</v>
      </c>
    </row>
    <row r="7" ht="14.25" spans="2:3">
      <c r="B7" s="1121" t="s">
        <v>153</v>
      </c>
      <c r="C7" s="1122">
        <f>C3-C6</f>
        <v>0</v>
      </c>
    </row>
    <row r="8" spans="2:4">
      <c r="B8" s="1123"/>
      <c r="C8" s="1124" t="s">
        <v>154</v>
      </c>
      <c r="D8" s="1125"/>
    </row>
    <row r="9" spans="2:4">
      <c r="B9" s="1126"/>
      <c r="C9" s="1127" t="s">
        <v>155</v>
      </c>
      <c r="D9" s="1128"/>
    </row>
    <row r="10" spans="2:4">
      <c r="B10" s="1126"/>
      <c r="C10" s="1127" t="s">
        <v>156</v>
      </c>
      <c r="D10" s="1128"/>
    </row>
    <row r="11" spans="2:4">
      <c r="B11" s="1126"/>
      <c r="C11" s="1129"/>
      <c r="D11" s="1130"/>
    </row>
    <row r="12" spans="2:4">
      <c r="B12" s="584" t="s">
        <v>157</v>
      </c>
      <c r="C12" s="658" t="s">
        <v>158</v>
      </c>
      <c r="D12" s="1131" t="s">
        <v>159</v>
      </c>
    </row>
    <row r="13" spans="2:4">
      <c r="B13" s="1132" t="s">
        <v>160</v>
      </c>
      <c r="C13" s="1133" t="e">
        <f>二元一次方程解($C$9,$C$10,B13)</f>
        <v>#NAME?</v>
      </c>
      <c r="D13" s="1134" t="e">
        <f>C13</f>
        <v>#NAME?</v>
      </c>
    </row>
    <row r="14" ht="14.25" spans="2:4">
      <c r="B14" s="1135" t="s">
        <v>161</v>
      </c>
      <c r="C14" s="1136" t="e">
        <f>二元一次方程解($C$9,$C$10,B14)</f>
        <v>#NAME?</v>
      </c>
      <c r="D14" s="1137" t="e">
        <f>C14</f>
        <v>#NAME?</v>
      </c>
    </row>
    <row r="16" spans="2:3">
      <c r="B16" s="1116" t="s">
        <v>162</v>
      </c>
      <c r="C16" s="1117">
        <v>150.8</v>
      </c>
    </row>
    <row r="17" spans="2:3">
      <c r="B17" s="1116" t="s">
        <v>150</v>
      </c>
      <c r="C17" s="1119">
        <v>160</v>
      </c>
    </row>
    <row r="18" spans="2:3">
      <c r="B18" s="1116" t="s">
        <v>151</v>
      </c>
      <c r="C18" s="1119">
        <v>2700</v>
      </c>
    </row>
    <row r="19" spans="2:3">
      <c r="B19" s="1116" t="s">
        <v>152</v>
      </c>
      <c r="C19" s="1119">
        <v>151.048951048951</v>
      </c>
    </row>
    <row r="20" spans="2:3">
      <c r="B20" s="1121" t="s">
        <v>153</v>
      </c>
      <c r="C20" s="1122">
        <f>C16-C19</f>
        <v>-0.248951048951028</v>
      </c>
    </row>
    <row r="51" spans="6:25">
      <c r="F51" s="1138"/>
      <c r="G51" s="1138"/>
      <c r="H51" s="1139"/>
      <c r="I51" s="1138"/>
      <c r="J51" s="1138"/>
      <c r="K51" s="1138"/>
      <c r="L51" s="1139"/>
      <c r="M51" s="1138"/>
      <c r="N51" s="1138"/>
      <c r="O51" s="1139"/>
      <c r="P51" s="1139"/>
      <c r="Q51" s="1139"/>
      <c r="R51" s="1139"/>
      <c r="S51" s="1139"/>
      <c r="T51" s="1139"/>
      <c r="U51" s="1139"/>
      <c r="V51" s="1139"/>
      <c r="W51" s="1139"/>
      <c r="X51" s="1139"/>
      <c r="Y51" s="1139"/>
    </row>
  </sheetData>
  <mergeCells count="3">
    <mergeCell ref="C8:D8"/>
    <mergeCell ref="C9:D9"/>
    <mergeCell ref="C10:D10"/>
  </mergeCells>
  <dataValidations count="1">
    <dataValidation type="list" allowBlank="1" sqref="C16">
      <formula1>#REF!</formula1>
    </dataValidation>
  </dataValidations>
  <pageMargins left="0.7" right="0.7" top="0.75" bottom="0.75" header="0.3" footer="0.3"/>
  <pageSetup paperSize="9" orientation="portrait"/>
  <headerFooter/>
  <drawing r:id="rId2"/>
  <legacyDrawing r:id="rId3"/>
  <mc:AlternateContent xmlns:mc="http://schemas.openxmlformats.org/markup-compatibility/2006">
    <mc:Choice Requires="x14">
      <controls>
        <mc:AlternateContent xmlns:mc="http://schemas.openxmlformats.org/markup-compatibility/2006">
          <mc:Choice Requires="x14">
            <control shapeId="19457" name="Button 1" r:id="rId4">
              <controlPr print="0" defaultSize="0">
                <anchor moveWithCells="1" sizeWithCells="1">
                  <from>
                    <xdr:col>3</xdr:col>
                    <xdr:colOff>161925</xdr:colOff>
                    <xdr:row>1</xdr:row>
                    <xdr:rowOff>28575</xdr:rowOff>
                  </from>
                  <to>
                    <xdr:col>4</xdr:col>
                    <xdr:colOff>390525</xdr:colOff>
                    <xdr:row>3</xdr:row>
                    <xdr:rowOff>0</xdr:rowOff>
                  </to>
                </anchor>
              </controlPr>
            </control>
          </mc:Choice>
        </mc:AlternateContent>
        <mc:AlternateContent xmlns:mc="http://schemas.openxmlformats.org/markup-compatibility/2006">
          <mc:Choice Requires="x14">
            <control shapeId="19458" name="Button 2" r:id="rId5">
              <controlPr print="0" defaultSize="0">
                <anchor moveWithCells="1" sizeWithCells="1">
                  <from>
                    <xdr:col>3</xdr:col>
                    <xdr:colOff>161925</xdr:colOff>
                    <xdr:row>3</xdr:row>
                    <xdr:rowOff>85725</xdr:rowOff>
                  </from>
                  <to>
                    <xdr:col>4</xdr:col>
                    <xdr:colOff>371475</xdr:colOff>
                    <xdr:row>5</xdr:row>
                    <xdr:rowOff>57150</xdr:rowOff>
                  </to>
                </anchor>
              </controlPr>
            </control>
          </mc:Choice>
        </mc:AlternateContent>
        <mc:AlternateContent xmlns:mc="http://schemas.openxmlformats.org/markup-compatibility/2006">
          <mc:Choice Requires="x14">
            <control shapeId="19459" name="Button 3" r:id="rId6">
              <controlPr print="0" defaultSize="0">
                <anchor moveWithCells="1" sizeWithCells="1">
                  <from>
                    <xdr:col>3</xdr:col>
                    <xdr:colOff>95250</xdr:colOff>
                    <xdr:row>15</xdr:row>
                    <xdr:rowOff>28575</xdr:rowOff>
                  </from>
                  <to>
                    <xdr:col>4</xdr:col>
                    <xdr:colOff>533400</xdr:colOff>
                    <xdr:row>16</xdr:row>
                    <xdr:rowOff>152400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tabColor rgb="FF008000"/>
  </sheetPr>
  <dimension ref="A1:B97"/>
  <sheetViews>
    <sheetView workbookViewId="0">
      <selection activeCell="A1" sqref="A$1:B$1048576"/>
    </sheetView>
  </sheetViews>
  <sheetFormatPr defaultColWidth="9" defaultRowHeight="13.5" outlineLevelCol="1"/>
  <cols>
    <col min="1" max="1" width="11.25" style="491" customWidth="1"/>
    <col min="2" max="2" width="14" style="491" customWidth="1"/>
    <col min="3" max="3" width="31.75" customWidth="1"/>
    <col min="4" max="4" width="35.75" customWidth="1"/>
    <col min="5" max="74" width="5.5" customWidth="1"/>
    <col min="75" max="75" width="4.5" customWidth="1"/>
    <col min="76" max="84" width="5.5" customWidth="1"/>
    <col min="85" max="85" width="4.5" customWidth="1"/>
    <col min="86" max="96" width="5.5" customWidth="1"/>
  </cols>
  <sheetData>
    <row r="1" spans="1:2">
      <c r="A1" s="491" t="s">
        <v>163</v>
      </c>
      <c r="B1" s="491" t="s">
        <v>164</v>
      </c>
    </row>
    <row r="2" spans="1:2">
      <c r="A2" s="491">
        <v>1</v>
      </c>
      <c r="B2" s="491">
        <v>1</v>
      </c>
    </row>
    <row r="3" spans="1:2">
      <c r="A3" s="491">
        <v>1.1</v>
      </c>
      <c r="B3" s="491">
        <v>1.02</v>
      </c>
    </row>
    <row r="4" spans="1:2">
      <c r="A4" s="491">
        <v>1.2</v>
      </c>
      <c r="B4" s="491">
        <v>1.05</v>
      </c>
    </row>
    <row r="5" spans="1:2">
      <c r="A5" s="491">
        <v>1.3</v>
      </c>
      <c r="B5" s="491">
        <v>1.07</v>
      </c>
    </row>
    <row r="6" spans="1:2">
      <c r="A6" s="491">
        <v>1.5</v>
      </c>
      <c r="B6" s="491">
        <v>1.1</v>
      </c>
    </row>
    <row r="7" spans="1:2">
      <c r="A7" s="491">
        <v>1.6</v>
      </c>
      <c r="B7" s="491">
        <v>1.13</v>
      </c>
    </row>
    <row r="8" spans="1:2">
      <c r="A8" s="491">
        <v>1.8</v>
      </c>
      <c r="B8" s="491">
        <v>1.15</v>
      </c>
    </row>
    <row r="9" spans="1:2">
      <c r="A9" s="491">
        <v>2</v>
      </c>
      <c r="B9" s="491">
        <v>1.18</v>
      </c>
    </row>
    <row r="10" spans="1:2">
      <c r="A10" s="491">
        <v>2.2</v>
      </c>
      <c r="B10" s="491">
        <v>1.21</v>
      </c>
    </row>
    <row r="11" spans="1:2">
      <c r="A11" s="491">
        <v>2.4</v>
      </c>
      <c r="B11" s="491">
        <v>1.24</v>
      </c>
    </row>
    <row r="12" spans="1:2">
      <c r="A12" s="491">
        <v>2.7</v>
      </c>
      <c r="B12" s="491">
        <v>1.27</v>
      </c>
    </row>
    <row r="13" spans="1:2">
      <c r="A13" s="491">
        <v>3</v>
      </c>
      <c r="B13" s="491">
        <v>1.3</v>
      </c>
    </row>
    <row r="14" spans="1:2">
      <c r="A14" s="491">
        <v>3.3</v>
      </c>
      <c r="B14" s="491">
        <v>1.33</v>
      </c>
    </row>
    <row r="15" spans="1:2">
      <c r="A15" s="491">
        <v>3.6</v>
      </c>
      <c r="B15" s="491">
        <v>1.37</v>
      </c>
    </row>
    <row r="16" spans="1:2">
      <c r="A16" s="491">
        <v>3.9</v>
      </c>
      <c r="B16" s="491">
        <v>1.4</v>
      </c>
    </row>
    <row r="17" spans="1:2">
      <c r="A17" s="491">
        <v>4.3</v>
      </c>
      <c r="B17" s="491">
        <v>1.43</v>
      </c>
    </row>
    <row r="18" spans="1:2">
      <c r="A18" s="491">
        <v>4.7</v>
      </c>
      <c r="B18" s="491">
        <v>1.47</v>
      </c>
    </row>
    <row r="19" spans="1:2">
      <c r="A19" s="491">
        <v>5.1</v>
      </c>
      <c r="B19" s="491">
        <v>1.5</v>
      </c>
    </row>
    <row r="20" spans="1:2">
      <c r="A20" s="491">
        <v>5.6</v>
      </c>
      <c r="B20" s="491">
        <v>1.54</v>
      </c>
    </row>
    <row r="21" spans="1:2">
      <c r="A21" s="491">
        <v>6.2</v>
      </c>
      <c r="B21" s="491">
        <v>1.58</v>
      </c>
    </row>
    <row r="22" spans="1:2">
      <c r="A22" s="491">
        <v>6.8</v>
      </c>
      <c r="B22" s="491">
        <v>1.62</v>
      </c>
    </row>
    <row r="23" spans="1:2">
      <c r="A23" s="491">
        <v>7.5</v>
      </c>
      <c r="B23" s="491">
        <v>1.65</v>
      </c>
    </row>
    <row r="24" spans="1:2">
      <c r="A24" s="491">
        <v>8.2</v>
      </c>
      <c r="B24" s="491">
        <v>1.69</v>
      </c>
    </row>
    <row r="25" spans="1:2">
      <c r="A25" s="491">
        <v>9.1</v>
      </c>
      <c r="B25" s="491">
        <v>1.74</v>
      </c>
    </row>
    <row r="26" spans="2:2">
      <c r="B26" s="491">
        <v>1.78</v>
      </c>
    </row>
    <row r="27" spans="2:2">
      <c r="B27" s="491">
        <v>1.82</v>
      </c>
    </row>
    <row r="28" spans="2:2">
      <c r="B28" s="491">
        <v>1.87</v>
      </c>
    </row>
    <row r="29" spans="2:2">
      <c r="B29" s="491">
        <v>1.91</v>
      </c>
    </row>
    <row r="30" spans="2:2">
      <c r="B30" s="491">
        <v>1.96</v>
      </c>
    </row>
    <row r="31" spans="2:2">
      <c r="B31" s="491">
        <v>2</v>
      </c>
    </row>
    <row r="32" spans="2:2">
      <c r="B32" s="491">
        <v>2.05</v>
      </c>
    </row>
    <row r="33" spans="2:2">
      <c r="B33" s="491">
        <v>2.1</v>
      </c>
    </row>
    <row r="34" spans="2:2">
      <c r="B34" s="491">
        <v>2.15</v>
      </c>
    </row>
    <row r="35" spans="2:2">
      <c r="B35" s="491">
        <v>2.21</v>
      </c>
    </row>
    <row r="36" spans="2:2">
      <c r="B36" s="491">
        <v>2.26</v>
      </c>
    </row>
    <row r="37" spans="2:2">
      <c r="B37" s="491">
        <v>2.32</v>
      </c>
    </row>
    <row r="38" spans="2:2">
      <c r="B38" s="491">
        <v>2.37</v>
      </c>
    </row>
    <row r="39" spans="2:2">
      <c r="B39" s="491">
        <v>2.43</v>
      </c>
    </row>
    <row r="40" spans="2:2">
      <c r="B40" s="491">
        <v>2.49</v>
      </c>
    </row>
    <row r="41" spans="2:2">
      <c r="B41" s="491">
        <v>2.55</v>
      </c>
    </row>
    <row r="42" spans="2:2">
      <c r="B42" s="491">
        <v>2.61</v>
      </c>
    </row>
    <row r="43" spans="2:2">
      <c r="B43" s="491">
        <v>2.67</v>
      </c>
    </row>
    <row r="44" spans="2:2">
      <c r="B44" s="491">
        <v>2.74</v>
      </c>
    </row>
    <row r="45" spans="2:2">
      <c r="B45" s="491">
        <v>2.8</v>
      </c>
    </row>
    <row r="46" spans="2:2">
      <c r="B46" s="491">
        <v>2.87</v>
      </c>
    </row>
    <row r="47" spans="2:2">
      <c r="B47" s="491">
        <v>2.94</v>
      </c>
    </row>
    <row r="48" spans="2:2">
      <c r="B48" s="491">
        <v>3.01</v>
      </c>
    </row>
    <row r="49" spans="2:2">
      <c r="B49" s="491">
        <v>3.09</v>
      </c>
    </row>
    <row r="50" spans="2:2">
      <c r="B50" s="491">
        <v>3.16</v>
      </c>
    </row>
    <row r="51" spans="2:2">
      <c r="B51" s="491">
        <v>3.24</v>
      </c>
    </row>
    <row r="52" spans="2:2">
      <c r="B52" s="491">
        <v>3.32</v>
      </c>
    </row>
    <row r="53" spans="2:2">
      <c r="B53" s="491">
        <v>3.4</v>
      </c>
    </row>
    <row r="54" spans="2:2">
      <c r="B54" s="491">
        <v>3.48</v>
      </c>
    </row>
    <row r="55" spans="2:2">
      <c r="B55" s="491">
        <v>3.57</v>
      </c>
    </row>
    <row r="56" spans="2:2">
      <c r="B56" s="491">
        <v>3.65</v>
      </c>
    </row>
    <row r="57" spans="2:2">
      <c r="B57" s="491">
        <v>3.74</v>
      </c>
    </row>
    <row r="58" spans="2:2">
      <c r="B58" s="491">
        <v>3.83</v>
      </c>
    </row>
    <row r="59" spans="2:2">
      <c r="B59" s="491">
        <v>3.92</v>
      </c>
    </row>
    <row r="60" spans="2:2">
      <c r="B60" s="491">
        <v>4.02</v>
      </c>
    </row>
    <row r="61" spans="2:2">
      <c r="B61" s="491">
        <v>4.12</v>
      </c>
    </row>
    <row r="62" spans="2:2">
      <c r="B62" s="491">
        <v>4.22</v>
      </c>
    </row>
    <row r="63" spans="2:2">
      <c r="B63" s="491">
        <v>4.32</v>
      </c>
    </row>
    <row r="64" spans="2:2">
      <c r="B64" s="491">
        <v>4.42</v>
      </c>
    </row>
    <row r="65" spans="2:2">
      <c r="B65" s="491">
        <v>4.53</v>
      </c>
    </row>
    <row r="66" spans="2:2">
      <c r="B66" s="491">
        <v>4.64</v>
      </c>
    </row>
    <row r="67" spans="2:2">
      <c r="B67" s="491">
        <v>4.75</v>
      </c>
    </row>
    <row r="68" spans="2:2">
      <c r="B68" s="491">
        <v>4.87</v>
      </c>
    </row>
    <row r="69" spans="2:2">
      <c r="B69" s="491">
        <v>4.99</v>
      </c>
    </row>
    <row r="70" spans="2:2">
      <c r="B70" s="491">
        <v>5.11</v>
      </c>
    </row>
    <row r="71" spans="2:2">
      <c r="B71" s="491">
        <v>5.23</v>
      </c>
    </row>
    <row r="72" spans="2:2">
      <c r="B72" s="491">
        <v>5.36</v>
      </c>
    </row>
    <row r="73" spans="2:2">
      <c r="B73" s="491">
        <v>5.49</v>
      </c>
    </row>
    <row r="74" spans="2:2">
      <c r="B74" s="491">
        <v>5.62</v>
      </c>
    </row>
    <row r="75" spans="2:2">
      <c r="B75" s="491">
        <v>5.76</v>
      </c>
    </row>
    <row r="76" spans="2:2">
      <c r="B76" s="491">
        <v>5.9</v>
      </c>
    </row>
    <row r="77" spans="2:2">
      <c r="B77" s="491">
        <v>6.04</v>
      </c>
    </row>
    <row r="78" spans="2:2">
      <c r="B78" s="491">
        <v>6.19</v>
      </c>
    </row>
    <row r="79" spans="2:2">
      <c r="B79" s="491">
        <v>6.34</v>
      </c>
    </row>
    <row r="80" spans="2:2">
      <c r="B80" s="491">
        <v>6.49</v>
      </c>
    </row>
    <row r="81" spans="2:2">
      <c r="B81" s="491">
        <v>6.65</v>
      </c>
    </row>
    <row r="82" spans="2:2">
      <c r="B82" s="491">
        <v>6.81</v>
      </c>
    </row>
    <row r="83" spans="2:2">
      <c r="B83" s="491">
        <v>6.98</v>
      </c>
    </row>
    <row r="84" spans="2:2">
      <c r="B84" s="491">
        <v>7.15</v>
      </c>
    </row>
    <row r="85" spans="2:2">
      <c r="B85" s="491">
        <v>7.32</v>
      </c>
    </row>
    <row r="86" spans="2:2">
      <c r="B86" s="491">
        <v>7.5</v>
      </c>
    </row>
    <row r="87" spans="2:2">
      <c r="B87" s="491">
        <v>7.68</v>
      </c>
    </row>
    <row r="88" spans="2:2">
      <c r="B88" s="491">
        <v>7.87</v>
      </c>
    </row>
    <row r="89" spans="2:2">
      <c r="B89" s="491">
        <v>8.06</v>
      </c>
    </row>
    <row r="90" spans="2:2">
      <c r="B90" s="491">
        <v>8.25</v>
      </c>
    </row>
    <row r="91" spans="2:2">
      <c r="B91" s="491">
        <v>8.45</v>
      </c>
    </row>
    <row r="92" spans="2:2">
      <c r="B92" s="491">
        <v>8.66</v>
      </c>
    </row>
    <row r="93" spans="2:2">
      <c r="B93" s="491">
        <v>8.87</v>
      </c>
    </row>
    <row r="94" spans="2:2">
      <c r="B94" s="491">
        <v>9.09</v>
      </c>
    </row>
    <row r="95" spans="2:2">
      <c r="B95" s="491">
        <v>9.31</v>
      </c>
    </row>
    <row r="96" spans="2:2">
      <c r="B96" s="491">
        <v>9.53</v>
      </c>
    </row>
    <row r="97" spans="2:2">
      <c r="B97" s="491">
        <v>9.76</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36</vt:i4>
      </vt:variant>
    </vt:vector>
  </HeadingPairs>
  <TitlesOfParts>
    <vt:vector size="36" baseType="lpstr">
      <vt:lpstr>物质电阻率表</vt:lpstr>
      <vt:lpstr>目录</vt:lpstr>
      <vt:lpstr>1_电阻 电容 并联,电抗计算</vt:lpstr>
      <vt:lpstr>PIC(待补充)</vt:lpstr>
      <vt:lpstr>数组</vt:lpstr>
      <vt:lpstr>Sheet1</vt:lpstr>
      <vt:lpstr>仪表类</vt:lpstr>
      <vt:lpstr>一般计算公式</vt:lpstr>
      <vt:lpstr>2_电阻表-常用电阻值</vt:lpstr>
      <vt:lpstr>计算采样电路</vt:lpstr>
      <vt:lpstr>D类功放L-C滤波器设计</vt:lpstr>
      <vt:lpstr>3_电容RC充电计算器</vt:lpstr>
      <vt:lpstr>4_电容RC放电计算器 </vt:lpstr>
      <vt:lpstr>5_电阻噪声计算</vt:lpstr>
      <vt:lpstr>6_MOS选型（待优化）</vt:lpstr>
      <vt:lpstr>7_压敏电阻选型</vt:lpstr>
      <vt:lpstr>8_TVS选型（待补充）</vt:lpstr>
      <vt:lpstr>9_放大器配置常用设计公式</vt:lpstr>
      <vt:lpstr>10_运放噪声计算</vt:lpstr>
      <vt:lpstr>11_运放的闪烁噪声</vt:lpstr>
      <vt:lpstr>12_进制转换</vt:lpstr>
      <vt:lpstr>13_常用单位转换</vt:lpstr>
      <vt:lpstr>14_AWG载流量查询表+SWG_AWG线规对照表</vt:lpstr>
      <vt:lpstr>15_ASCII</vt:lpstr>
      <vt:lpstr>16_典型电路计算</vt:lpstr>
      <vt:lpstr>17_无源滤波</vt:lpstr>
      <vt:lpstr>18_有源滤波</vt:lpstr>
      <vt:lpstr>19_BUCK</vt:lpstr>
      <vt:lpstr>20_BOOST（待补充）</vt:lpstr>
      <vt:lpstr>21_反激式开关电源</vt:lpstr>
      <vt:lpstr>22_PCB过孔电流计算器</vt:lpstr>
      <vt:lpstr>23_走线电流计算</vt:lpstr>
      <vt:lpstr>24_上升时间与线长</vt:lpstr>
      <vt:lpstr>25_漆包线数据速查表</vt:lpstr>
      <vt:lpstr>26_同轴线阻抗计算</vt:lpstr>
      <vt:lpstr>27_单板MTBF计算模板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mayo</cp:lastModifiedBy>
  <dcterms:created xsi:type="dcterms:W3CDTF">2011-12-10T01:54:00Z</dcterms:created>
  <dcterms:modified xsi:type="dcterms:W3CDTF">2021-09-22T15:12:24Z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566ACAB6A7724BE0B26BF2DBB334F915</vt:lpwstr>
  </property>
  <property fmtid="{D5CDD505-2E9C-101B-9397-08002B2CF9AE}" pid="3" name="KSOProductBuildVer">
    <vt:lpwstr>2052-11.1.0.10700</vt:lpwstr>
  </property>
</Properties>
</file>