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 defaultThemeVersion="166925"/>
  <xr:revisionPtr revIDLastSave="0" documentId="13_ncr:1_{628A9E1C-7DC0-AF46-8DE7-BAA236D61A82}" xr6:coauthVersionLast="47" xr6:coauthVersionMax="47" xr10:uidLastSave="{00000000-0000-0000-0000-000000000000}"/>
  <bookViews>
    <workbookView xWindow="1500" yWindow="760" windowWidth="27640" windowHeight="16940" activeTab="1" xr2:uid="{0E22584D-1BA5-674F-8239-32B871C267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G7" i="2"/>
  <c r="K7" i="2" s="1"/>
  <c r="O7" i="2" s="1"/>
  <c r="H7" i="2"/>
  <c r="L7" i="2" s="1"/>
  <c r="I7" i="2"/>
  <c r="M7" i="2" s="1"/>
  <c r="J7" i="2"/>
  <c r="N7" i="2" s="1"/>
  <c r="P7" i="2"/>
  <c r="Q7" i="2"/>
  <c r="U7" i="2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C10" i="2"/>
  <c r="D10" i="2"/>
  <c r="F10" i="2"/>
  <c r="G10" i="2"/>
  <c r="H10" i="2"/>
  <c r="H38" i="2" s="1"/>
  <c r="V11" i="2"/>
  <c r="W11" i="2"/>
  <c r="X11" i="2"/>
  <c r="Y11" i="2"/>
  <c r="F12" i="2"/>
  <c r="G12" i="2"/>
  <c r="H12" i="2"/>
  <c r="J12" i="2"/>
  <c r="L12" i="2"/>
  <c r="C14" i="2"/>
  <c r="G14" i="2"/>
  <c r="H14" i="2"/>
  <c r="D17" i="2"/>
  <c r="F17" i="2"/>
  <c r="F48" i="2" s="1"/>
  <c r="G17" i="2"/>
  <c r="G48" i="2" s="1"/>
  <c r="H17" i="2"/>
  <c r="D18" i="2"/>
  <c r="F18" i="2"/>
  <c r="G18" i="2"/>
  <c r="G49" i="2" s="1"/>
  <c r="H18" i="2"/>
  <c r="H49" i="2" s="1"/>
  <c r="E20" i="2"/>
  <c r="E21" i="2"/>
  <c r="B22" i="2"/>
  <c r="B28" i="2" s="1"/>
  <c r="B30" i="2" s="1"/>
  <c r="B32" i="2" s="1"/>
  <c r="B34" i="2" s="1"/>
  <c r="C22" i="2"/>
  <c r="D22" i="2"/>
  <c r="F22" i="2"/>
  <c r="G22" i="2"/>
  <c r="H22" i="2"/>
  <c r="H23" i="2" s="1"/>
  <c r="T22" i="2"/>
  <c r="T23" i="2" s="1"/>
  <c r="U22" i="2"/>
  <c r="U28" i="2" s="1"/>
  <c r="U30" i="2" s="1"/>
  <c r="U32" i="2" s="1"/>
  <c r="U34" i="2" s="1"/>
  <c r="V22" i="2"/>
  <c r="B23" i="2"/>
  <c r="C23" i="2"/>
  <c r="D23" i="2"/>
  <c r="F23" i="2"/>
  <c r="U23" i="2"/>
  <c r="V23" i="2"/>
  <c r="E24" i="2"/>
  <c r="I24" i="2"/>
  <c r="J24" i="2"/>
  <c r="K24" i="2"/>
  <c r="L24" i="2"/>
  <c r="M24" i="2" s="1"/>
  <c r="W24" i="2"/>
  <c r="E25" i="2"/>
  <c r="I25" i="2"/>
  <c r="J25" i="2"/>
  <c r="W25" i="2"/>
  <c r="I26" i="2"/>
  <c r="J26" i="2" s="1"/>
  <c r="W26" i="2"/>
  <c r="B27" i="2"/>
  <c r="C27" i="2"/>
  <c r="C28" i="2" s="1"/>
  <c r="C30" i="2" s="1"/>
  <c r="C32" i="2" s="1"/>
  <c r="C34" i="2" s="1"/>
  <c r="D27" i="2"/>
  <c r="F27" i="2"/>
  <c r="F28" i="2" s="1"/>
  <c r="G27" i="2"/>
  <c r="H27" i="2"/>
  <c r="I27" i="2"/>
  <c r="T27" i="2"/>
  <c r="U27" i="2"/>
  <c r="V27" i="2"/>
  <c r="D28" i="2"/>
  <c r="H28" i="2"/>
  <c r="V28" i="2"/>
  <c r="V30" i="2" s="1"/>
  <c r="V32" i="2" s="1"/>
  <c r="V34" i="2" s="1"/>
  <c r="I29" i="2"/>
  <c r="J29" i="2"/>
  <c r="K29" i="2"/>
  <c r="L29" i="2"/>
  <c r="T29" i="2"/>
  <c r="U29" i="2"/>
  <c r="V29" i="2"/>
  <c r="W29" i="2"/>
  <c r="D30" i="2"/>
  <c r="F30" i="2"/>
  <c r="F32" i="2" s="1"/>
  <c r="H30" i="2"/>
  <c r="H32" i="2" s="1"/>
  <c r="E31" i="2"/>
  <c r="D32" i="2"/>
  <c r="D34" i="2" s="1"/>
  <c r="C33" i="2"/>
  <c r="I33" i="2"/>
  <c r="W33" i="2" s="1"/>
  <c r="J33" i="2"/>
  <c r="F34" i="2"/>
  <c r="H34" i="2"/>
  <c r="F37" i="2"/>
  <c r="G37" i="2"/>
  <c r="H37" i="2"/>
  <c r="C38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I45" i="2"/>
  <c r="J45" i="2"/>
  <c r="K45" i="2"/>
  <c r="L45" i="2"/>
  <c r="M45" i="2"/>
  <c r="N45" i="2"/>
  <c r="O45" i="2"/>
  <c r="P45" i="2"/>
  <c r="Q45" i="2"/>
  <c r="Z45" i="2"/>
  <c r="AA45" i="2"/>
  <c r="AB45" i="2"/>
  <c r="AC45" i="2"/>
  <c r="AD45" i="2"/>
  <c r="AE45" i="2"/>
  <c r="AF45" i="2"/>
  <c r="AG45" i="2"/>
  <c r="G47" i="2"/>
  <c r="H48" i="2"/>
  <c r="C51" i="2"/>
  <c r="D51" i="2"/>
  <c r="E51" i="2"/>
  <c r="G51" i="2"/>
  <c r="H51" i="2"/>
  <c r="I51" i="2"/>
  <c r="B52" i="2"/>
  <c r="C52" i="2"/>
  <c r="D52" i="2"/>
  <c r="F52" i="2"/>
  <c r="G52" i="2"/>
  <c r="H52" i="2"/>
  <c r="K26" i="2" l="1"/>
  <c r="L26" i="2" s="1"/>
  <c r="M26" i="2" s="1"/>
  <c r="N26" i="2" s="1"/>
  <c r="J27" i="2"/>
  <c r="X26" i="2"/>
  <c r="N24" i="2"/>
  <c r="X24" i="2"/>
  <c r="N29" i="2"/>
  <c r="K33" i="2"/>
  <c r="L33" i="2" s="1"/>
  <c r="M33" i="2" s="1"/>
  <c r="N33" i="2" s="1"/>
  <c r="E22" i="2"/>
  <c r="E17" i="2"/>
  <c r="E10" i="2"/>
  <c r="F49" i="2"/>
  <c r="M29" i="2"/>
  <c r="E27" i="2"/>
  <c r="E52" i="2"/>
  <c r="E18" i="2"/>
  <c r="T28" i="2"/>
  <c r="T30" i="2" s="1"/>
  <c r="T32" i="2" s="1"/>
  <c r="T34" i="2" s="1"/>
  <c r="W27" i="2"/>
  <c r="D14" i="2"/>
  <c r="H47" i="2"/>
  <c r="F51" i="2"/>
  <c r="D38" i="2"/>
  <c r="G28" i="2"/>
  <c r="G30" i="2" s="1"/>
  <c r="G32" i="2" s="1"/>
  <c r="G34" i="2" s="1"/>
  <c r="G23" i="2"/>
  <c r="G13" i="2"/>
  <c r="G38" i="2"/>
  <c r="K25" i="2"/>
  <c r="J51" i="2"/>
  <c r="K12" i="2"/>
  <c r="F47" i="2"/>
  <c r="F13" i="2"/>
  <c r="H13" i="2"/>
  <c r="V10" i="2" l="1"/>
  <c r="E14" i="2"/>
  <c r="F14" i="2"/>
  <c r="E38" i="2"/>
  <c r="F38" i="2"/>
  <c r="I12" i="2"/>
  <c r="E23" i="2"/>
  <c r="E28" i="2"/>
  <c r="E30" i="2" s="1"/>
  <c r="E32" i="2" s="1"/>
  <c r="E34" i="2" s="1"/>
  <c r="O26" i="2"/>
  <c r="P26" i="2" s="1"/>
  <c r="Q26" i="2" s="1"/>
  <c r="Y26" i="2"/>
  <c r="Z26" i="2" s="1"/>
  <c r="AA26" i="2" s="1"/>
  <c r="AB26" i="2" s="1"/>
  <c r="AC26" i="2" s="1"/>
  <c r="AD26" i="2" s="1"/>
  <c r="AE26" i="2" s="1"/>
  <c r="AF26" i="2" s="1"/>
  <c r="AG26" i="2" s="1"/>
  <c r="L25" i="2"/>
  <c r="K51" i="2"/>
  <c r="K27" i="2"/>
  <c r="P29" i="2"/>
  <c r="I13" i="2"/>
  <c r="H42" i="2"/>
  <c r="O29" i="2"/>
  <c r="G42" i="2"/>
  <c r="O24" i="2"/>
  <c r="X29" i="2"/>
  <c r="O33" i="2"/>
  <c r="P33" i="2" s="1"/>
  <c r="Q33" i="2" s="1"/>
  <c r="Y33" i="2"/>
  <c r="Z33" i="2" s="1"/>
  <c r="AA33" i="2" s="1"/>
  <c r="AB33" i="2" s="1"/>
  <c r="AC33" i="2" s="1"/>
  <c r="AD33" i="2" s="1"/>
  <c r="AE33" i="2" s="1"/>
  <c r="AF33" i="2" s="1"/>
  <c r="AG33" i="2" s="1"/>
  <c r="X33" i="2"/>
  <c r="P24" i="2" l="1"/>
  <c r="Q29" i="2"/>
  <c r="Y29" i="2" s="1"/>
  <c r="Z29" i="2" s="1"/>
  <c r="AA29" i="2" s="1"/>
  <c r="AB29" i="2" s="1"/>
  <c r="AC29" i="2" s="1"/>
  <c r="AD29" i="2" s="1"/>
  <c r="AE29" i="2" s="1"/>
  <c r="AF29" i="2" s="1"/>
  <c r="AG29" i="2" s="1"/>
  <c r="I10" i="2"/>
  <c r="W12" i="2"/>
  <c r="L51" i="2"/>
  <c r="M25" i="2"/>
  <c r="L27" i="2"/>
  <c r="J13" i="2"/>
  <c r="I42" i="2"/>
  <c r="W13" i="2"/>
  <c r="M51" i="2" l="1"/>
  <c r="N25" i="2"/>
  <c r="M27" i="2"/>
  <c r="X25" i="2"/>
  <c r="X27" i="2" s="1"/>
  <c r="W10" i="2"/>
  <c r="M12" i="2"/>
  <c r="I37" i="2"/>
  <c r="I14" i="2"/>
  <c r="I47" i="2"/>
  <c r="I20" i="2"/>
  <c r="I38" i="2"/>
  <c r="J42" i="2"/>
  <c r="K13" i="2"/>
  <c r="J41" i="2"/>
  <c r="J10" i="2"/>
  <c r="Q24" i="2"/>
  <c r="X12" i="2" l="1"/>
  <c r="W37" i="2"/>
  <c r="W14" i="2"/>
  <c r="I21" i="2"/>
  <c r="W21" i="2" s="1"/>
  <c r="I18" i="2"/>
  <c r="I17" i="2"/>
  <c r="I52" i="2"/>
  <c r="W20" i="2"/>
  <c r="N12" i="2"/>
  <c r="J37" i="2"/>
  <c r="J14" i="2"/>
  <c r="J20" i="2"/>
  <c r="J38" i="2"/>
  <c r="J47" i="2"/>
  <c r="K42" i="2"/>
  <c r="L13" i="2"/>
  <c r="K41" i="2"/>
  <c r="K10" i="2"/>
  <c r="O25" i="2"/>
  <c r="N51" i="2"/>
  <c r="N27" i="2"/>
  <c r="Y24" i="2"/>
  <c r="O51" i="2" l="1"/>
  <c r="P25" i="2"/>
  <c r="O27" i="2"/>
  <c r="I48" i="2"/>
  <c r="W17" i="2"/>
  <c r="I49" i="2"/>
  <c r="W18" i="2"/>
  <c r="Z24" i="2"/>
  <c r="L42" i="2"/>
  <c r="M13" i="2"/>
  <c r="L41" i="2"/>
  <c r="L10" i="2"/>
  <c r="W22" i="2"/>
  <c r="J18" i="2"/>
  <c r="J21" i="2"/>
  <c r="J17" i="2"/>
  <c r="J22" i="2"/>
  <c r="J28" i="2" s="1"/>
  <c r="J30" i="2" s="1"/>
  <c r="J52" i="2"/>
  <c r="O12" i="2"/>
  <c r="K20" i="2"/>
  <c r="K38" i="2"/>
  <c r="K47" i="2"/>
  <c r="K14" i="2"/>
  <c r="K37" i="2"/>
  <c r="I22" i="2"/>
  <c r="I28" i="2" s="1"/>
  <c r="I30" i="2" s="1"/>
  <c r="W28" i="2" l="1"/>
  <c r="W30" i="2" s="1"/>
  <c r="W23" i="2"/>
  <c r="I31" i="2"/>
  <c r="W31" i="2" s="1"/>
  <c r="I32" i="2"/>
  <c r="J31" i="2"/>
  <c r="J32" i="2"/>
  <c r="J34" i="2" s="1"/>
  <c r="L14" i="2"/>
  <c r="L20" i="2"/>
  <c r="L38" i="2"/>
  <c r="P12" i="2"/>
  <c r="L47" i="2"/>
  <c r="L37" i="2"/>
  <c r="N13" i="2"/>
  <c r="M41" i="2"/>
  <c r="M42" i="2"/>
  <c r="X13" i="2"/>
  <c r="M10" i="2"/>
  <c r="J48" i="2"/>
  <c r="Q25" i="2"/>
  <c r="P51" i="2"/>
  <c r="P27" i="2"/>
  <c r="K18" i="2"/>
  <c r="K49" i="2" s="1"/>
  <c r="K17" i="2"/>
  <c r="K48" i="2" s="1"/>
  <c r="K21" i="2"/>
  <c r="K22" i="2"/>
  <c r="K28" i="2" s="1"/>
  <c r="K30" i="2" s="1"/>
  <c r="K52" i="2"/>
  <c r="J49" i="2"/>
  <c r="AA24" i="2"/>
  <c r="K31" i="2" l="1"/>
  <c r="K32" i="2" s="1"/>
  <c r="K34" i="2" s="1"/>
  <c r="I34" i="2"/>
  <c r="M14" i="2"/>
  <c r="M20" i="2"/>
  <c r="M47" i="2"/>
  <c r="X10" i="2"/>
  <c r="Q12" i="2"/>
  <c r="M38" i="2"/>
  <c r="M37" i="2"/>
  <c r="O13" i="2"/>
  <c r="N41" i="2"/>
  <c r="N42" i="2"/>
  <c r="N10" i="2"/>
  <c r="Q51" i="2"/>
  <c r="Q27" i="2"/>
  <c r="Y25" i="2"/>
  <c r="AB24" i="2"/>
  <c r="L17" i="2"/>
  <c r="L18" i="2"/>
  <c r="L21" i="2"/>
  <c r="L22" i="2"/>
  <c r="L28" i="2" s="1"/>
  <c r="L30" i="2" s="1"/>
  <c r="L52" i="2"/>
  <c r="X20" i="2"/>
  <c r="W32" i="2"/>
  <c r="W34" i="2" s="1"/>
  <c r="L31" i="2" l="1"/>
  <c r="Y12" i="2"/>
  <c r="Z12" i="2" s="1"/>
  <c r="X14" i="2"/>
  <c r="X37" i="2"/>
  <c r="AC24" i="2"/>
  <c r="P13" i="2"/>
  <c r="O42" i="2"/>
  <c r="O41" i="2"/>
  <c r="O10" i="2"/>
  <c r="Z25" i="2"/>
  <c r="Y27" i="2"/>
  <c r="L49" i="2"/>
  <c r="N20" i="2"/>
  <c r="N47" i="2"/>
  <c r="N37" i="2"/>
  <c r="N38" i="2"/>
  <c r="N14" i="2"/>
  <c r="L48" i="2"/>
  <c r="M18" i="2"/>
  <c r="M49" i="2" s="1"/>
  <c r="M21" i="2"/>
  <c r="X21" i="2" s="1"/>
  <c r="X22" i="2" s="1"/>
  <c r="M17" i="2"/>
  <c r="M48" i="2" s="1"/>
  <c r="M52" i="2"/>
  <c r="X28" i="2" l="1"/>
  <c r="X30" i="2" s="1"/>
  <c r="X23" i="2"/>
  <c r="AA25" i="2"/>
  <c r="Z27" i="2"/>
  <c r="AA12" i="2"/>
  <c r="M22" i="2"/>
  <c r="M28" i="2" s="1"/>
  <c r="M30" i="2" s="1"/>
  <c r="X18" i="2"/>
  <c r="X49" i="2" s="1"/>
  <c r="Q13" i="2"/>
  <c r="P42" i="2"/>
  <c r="P41" i="2"/>
  <c r="P10" i="2"/>
  <c r="L32" i="2"/>
  <c r="L34" i="2" s="1"/>
  <c r="AD24" i="2"/>
  <c r="O38" i="2"/>
  <c r="O37" i="2"/>
  <c r="O20" i="2"/>
  <c r="O47" i="2"/>
  <c r="O14" i="2"/>
  <c r="N22" i="2"/>
  <c r="N28" i="2" s="1"/>
  <c r="N30" i="2" s="1"/>
  <c r="N17" i="2"/>
  <c r="N21" i="2"/>
  <c r="N18" i="2"/>
  <c r="N52" i="2"/>
  <c r="X17" i="2"/>
  <c r="X48" i="2" s="1"/>
  <c r="N48" i="2" l="1"/>
  <c r="N31" i="2"/>
  <c r="P38" i="2"/>
  <c r="P37" i="2"/>
  <c r="P20" i="2"/>
  <c r="P47" i="2"/>
  <c r="P14" i="2"/>
  <c r="M31" i="2"/>
  <c r="X31" i="2" s="1"/>
  <c r="M32" i="2"/>
  <c r="M34" i="2" s="1"/>
  <c r="AE24" i="2"/>
  <c r="AB12" i="2"/>
  <c r="O17" i="2"/>
  <c r="O48" i="2" s="1"/>
  <c r="O18" i="2"/>
  <c r="O49" i="2" s="1"/>
  <c r="O21" i="2"/>
  <c r="O22" i="2" s="1"/>
  <c r="O28" i="2" s="1"/>
  <c r="O30" i="2" s="1"/>
  <c r="O52" i="2"/>
  <c r="AB25" i="2"/>
  <c r="AA27" i="2"/>
  <c r="N49" i="2"/>
  <c r="Y13" i="2"/>
  <c r="Z13" i="2" s="1"/>
  <c r="Q41" i="2"/>
  <c r="Q42" i="2"/>
  <c r="Q10" i="2"/>
  <c r="X32" i="2"/>
  <c r="O31" i="2" l="1"/>
  <c r="O32" i="2" s="1"/>
  <c r="O34" i="2" s="1"/>
  <c r="P21" i="2"/>
  <c r="P22" i="2"/>
  <c r="P28" i="2" s="1"/>
  <c r="P30" i="2" s="1"/>
  <c r="P17" i="2"/>
  <c r="P48" i="2" s="1"/>
  <c r="P18" i="2"/>
  <c r="P52" i="2"/>
  <c r="Y20" i="2"/>
  <c r="X34" i="2"/>
  <c r="AC12" i="2"/>
  <c r="AF24" i="2"/>
  <c r="Q37" i="2"/>
  <c r="Y10" i="2"/>
  <c r="Q14" i="2"/>
  <c r="Q20" i="2"/>
  <c r="Q47" i="2"/>
  <c r="Q38" i="2"/>
  <c r="N32" i="2"/>
  <c r="N34" i="2" s="1"/>
  <c r="AC25" i="2"/>
  <c r="AB27" i="2"/>
  <c r="AA13" i="2"/>
  <c r="Z10" i="2"/>
  <c r="Y14" i="2" l="1"/>
  <c r="Y37" i="2"/>
  <c r="AG24" i="2"/>
  <c r="P31" i="2"/>
  <c r="AD12" i="2"/>
  <c r="AD25" i="2"/>
  <c r="AC27" i="2"/>
  <c r="P49" i="2"/>
  <c r="Y21" i="2"/>
  <c r="Y22" i="2" s="1"/>
  <c r="Z14" i="2"/>
  <c r="Z20" i="2"/>
  <c r="Z37" i="2"/>
  <c r="Q21" i="2"/>
  <c r="Q22" i="2"/>
  <c r="Q28" i="2" s="1"/>
  <c r="Q30" i="2" s="1"/>
  <c r="Q18" i="2"/>
  <c r="Q49" i="2" s="1"/>
  <c r="Q17" i="2"/>
  <c r="Q48" i="2" s="1"/>
  <c r="Q52" i="2"/>
  <c r="AB13" i="2"/>
  <c r="AA10" i="2"/>
  <c r="Y28" i="2" l="1"/>
  <c r="Y30" i="2" s="1"/>
  <c r="Y23" i="2"/>
  <c r="Z23" i="2" s="1"/>
  <c r="AA23" i="2" s="1"/>
  <c r="AB23" i="2" s="1"/>
  <c r="AC23" i="2" s="1"/>
  <c r="AD23" i="2" s="1"/>
  <c r="AE23" i="2" s="1"/>
  <c r="AF23" i="2" s="1"/>
  <c r="AG23" i="2" s="1"/>
  <c r="Q31" i="2"/>
  <c r="Y31" i="2" s="1"/>
  <c r="Q32" i="2"/>
  <c r="Q34" i="2" s="1"/>
  <c r="AC13" i="2"/>
  <c r="AB10" i="2"/>
  <c r="AE12" i="2"/>
  <c r="Y17" i="2"/>
  <c r="Y48" i="2" s="1"/>
  <c r="Y18" i="2"/>
  <c r="Y49" i="2" s="1"/>
  <c r="P32" i="2"/>
  <c r="P34" i="2" s="1"/>
  <c r="AE25" i="2"/>
  <c r="AD27" i="2"/>
  <c r="AA20" i="2"/>
  <c r="AA14" i="2"/>
  <c r="AA37" i="2"/>
  <c r="Z21" i="2"/>
  <c r="Z18" i="2"/>
  <c r="Z49" i="2" s="1"/>
  <c r="Z22" i="2"/>
  <c r="Z28" i="2" s="1"/>
  <c r="Z30" i="2" s="1"/>
  <c r="Z17" i="2"/>
  <c r="Z48" i="2" s="1"/>
  <c r="AA18" i="2" l="1"/>
  <c r="AA49" i="2" s="1"/>
  <c r="AA21" i="2"/>
  <c r="AA22" i="2" s="1"/>
  <c r="AA28" i="2" s="1"/>
  <c r="AA30" i="2" s="1"/>
  <c r="AA17" i="2"/>
  <c r="AA48" i="2" s="1"/>
  <c r="AB20" i="2"/>
  <c r="AB14" i="2"/>
  <c r="AB37" i="2"/>
  <c r="AF25" i="2"/>
  <c r="AE27" i="2"/>
  <c r="AD13" i="2"/>
  <c r="AC10" i="2"/>
  <c r="Z31" i="2"/>
  <c r="Z32" i="2"/>
  <c r="Z34" i="2" s="1"/>
  <c r="AF12" i="2"/>
  <c r="Y32" i="2"/>
  <c r="AA31" i="2" l="1"/>
  <c r="AA32" i="2"/>
  <c r="AA34" i="2" s="1"/>
  <c r="AG25" i="2"/>
  <c r="AG27" i="2" s="1"/>
  <c r="AF27" i="2"/>
  <c r="AB18" i="2"/>
  <c r="AB49" i="2" s="1"/>
  <c r="AB21" i="2"/>
  <c r="AB22" i="2" s="1"/>
  <c r="AB28" i="2" s="1"/>
  <c r="AB30" i="2" s="1"/>
  <c r="AB17" i="2"/>
  <c r="AB48" i="2" s="1"/>
  <c r="AC20" i="2"/>
  <c r="AC14" i="2"/>
  <c r="AC37" i="2"/>
  <c r="AE13" i="2"/>
  <c r="AD10" i="2"/>
  <c r="Y34" i="2"/>
  <c r="AG12" i="2"/>
  <c r="AB31" i="2" l="1"/>
  <c r="AB32" i="2"/>
  <c r="AD37" i="2"/>
  <c r="AD14" i="2"/>
  <c r="AD20" i="2"/>
  <c r="AF13" i="2"/>
  <c r="AE10" i="2"/>
  <c r="AC21" i="2"/>
  <c r="AC17" i="2"/>
  <c r="AC48" i="2" s="1"/>
  <c r="AC22" i="2"/>
  <c r="AC28" i="2" s="1"/>
  <c r="AC30" i="2" s="1"/>
  <c r="AC18" i="2"/>
  <c r="AC49" i="2" s="1"/>
  <c r="AE37" i="2" l="1"/>
  <c r="AE14" i="2"/>
  <c r="AE20" i="2"/>
  <c r="AG13" i="2"/>
  <c r="AG10" i="2" s="1"/>
  <c r="AF10" i="2"/>
  <c r="AD21" i="2"/>
  <c r="AD17" i="2"/>
  <c r="AD48" i="2" s="1"/>
  <c r="AD22" i="2"/>
  <c r="AD28" i="2" s="1"/>
  <c r="AD30" i="2" s="1"/>
  <c r="AD18" i="2"/>
  <c r="AD49" i="2" s="1"/>
  <c r="AC31" i="2"/>
  <c r="AC32" i="2"/>
  <c r="AC34" i="2" s="1"/>
  <c r="AB34" i="2"/>
  <c r="AD31" i="2" l="1"/>
  <c r="AD32" i="2"/>
  <c r="AF37" i="2"/>
  <c r="AF20" i="2"/>
  <c r="AF14" i="2"/>
  <c r="AG14" i="2"/>
  <c r="AG37" i="2"/>
  <c r="AG20" i="2"/>
  <c r="AE18" i="2"/>
  <c r="AE49" i="2" s="1"/>
  <c r="AE17" i="2"/>
  <c r="AE48" i="2" s="1"/>
  <c r="AE21" i="2"/>
  <c r="AE22" i="2" s="1"/>
  <c r="AE28" i="2" s="1"/>
  <c r="AE30" i="2" s="1"/>
  <c r="AE31" i="2" l="1"/>
  <c r="AE32" i="2"/>
  <c r="AE34" i="2" s="1"/>
  <c r="AF18" i="2"/>
  <c r="AF49" i="2" s="1"/>
  <c r="AF17" i="2"/>
  <c r="AF48" i="2" s="1"/>
  <c r="AF21" i="2"/>
  <c r="AF22" i="2" s="1"/>
  <c r="AF28" i="2" s="1"/>
  <c r="AF30" i="2" s="1"/>
  <c r="AG17" i="2"/>
  <c r="AG48" i="2" s="1"/>
  <c r="AG18" i="2"/>
  <c r="AG49" i="2" s="1"/>
  <c r="AG21" i="2"/>
  <c r="AG22" i="2"/>
  <c r="AG28" i="2" s="1"/>
  <c r="AG30" i="2" s="1"/>
  <c r="AD34" i="2"/>
  <c r="AF31" i="2" l="1"/>
  <c r="AF32" i="2" s="1"/>
  <c r="AF34" i="2" s="1"/>
  <c r="AG31" i="2"/>
  <c r="AG32" i="2" s="1"/>
  <c r="C8" i="1"/>
  <c r="AG34" i="2" l="1"/>
  <c r="C6" i="1"/>
  <c r="C9" i="1" s="1"/>
  <c r="C10" i="1" s="1"/>
  <c r="C11" i="1" s="1"/>
</calcChain>
</file>

<file path=xl/sharedStrings.xml><?xml version="1.0" encoding="utf-8"?>
<sst xmlns="http://schemas.openxmlformats.org/spreadsheetml/2006/main" count="80" uniqueCount="80">
  <si>
    <t>Drivers &amp; Revenue Build</t>
  </si>
  <si>
    <t>Net Dollar Rentention Rate</t>
  </si>
  <si>
    <t>P&amp;L GAAP</t>
  </si>
  <si>
    <t>Annual Recurring Revenue (ARR)</t>
  </si>
  <si>
    <t>Enterprise Revenue</t>
  </si>
  <si>
    <t>Non-Enterprise Revenue</t>
  </si>
  <si>
    <t>Annual Recurring Revenue (ARR) Y/Y</t>
  </si>
  <si>
    <t>Enterprise Revenue Y/Y</t>
  </si>
  <si>
    <t>Non-Enterprise Revenue Y/Y</t>
  </si>
  <si>
    <t>Cost of Revenue</t>
  </si>
  <si>
    <t>Gross Profit</t>
  </si>
  <si>
    <t>Gross Margin</t>
  </si>
  <si>
    <t>R&amp;D</t>
  </si>
  <si>
    <t>S&amp;M</t>
  </si>
  <si>
    <t>G&amp;A</t>
  </si>
  <si>
    <t>Total Operating Expense</t>
  </si>
  <si>
    <t>EBIT</t>
  </si>
  <si>
    <t>Interest Income (Expense)</t>
  </si>
  <si>
    <t>EBT</t>
  </si>
  <si>
    <t>Net Income</t>
  </si>
  <si>
    <t>Basic Shares</t>
  </si>
  <si>
    <t>P&amp;L GAAP Drivers</t>
  </si>
  <si>
    <t>S&amp;M Spend Q/Q</t>
  </si>
  <si>
    <t>S&amp;M Spend % of Revenue</t>
  </si>
  <si>
    <t>Existing ARR</t>
  </si>
  <si>
    <t>New ARR</t>
  </si>
  <si>
    <t>Non-Enterprise Revenue Share</t>
  </si>
  <si>
    <t>Enterprise Revenue Share</t>
  </si>
  <si>
    <t>Total Revenue</t>
  </si>
  <si>
    <t>New ARR Y/Y</t>
  </si>
  <si>
    <t>ARR Y/Y</t>
  </si>
  <si>
    <t>ARR Q/Q</t>
  </si>
  <si>
    <t>NDR Y/Y</t>
  </si>
  <si>
    <t>NDR Q/Q</t>
  </si>
  <si>
    <t>New ARR Q/Q</t>
  </si>
  <si>
    <t>Tax Expense</t>
  </si>
  <si>
    <t>Basic EPS</t>
  </si>
  <si>
    <t xml:space="preserve">Net ARR </t>
  </si>
  <si>
    <t>Valaution</t>
  </si>
  <si>
    <t>Discount Rate</t>
  </si>
  <si>
    <t>Cash</t>
  </si>
  <si>
    <t>NPV of Earnings</t>
  </si>
  <si>
    <t>$ in Millions</t>
  </si>
  <si>
    <t>EBIT Multiple</t>
  </si>
  <si>
    <t>NPV EBIT</t>
  </si>
  <si>
    <t>Enterprise Value</t>
  </si>
  <si>
    <t>Equity Value</t>
  </si>
  <si>
    <t>Fair Value</t>
  </si>
  <si>
    <t>Monday.com</t>
  </si>
  <si>
    <t>NASDAQ: (MNDY)</t>
  </si>
  <si>
    <t>1Q21A</t>
  </si>
  <si>
    <t>2Q21A</t>
  </si>
  <si>
    <t>3Q21A</t>
  </si>
  <si>
    <t>4Q21A</t>
  </si>
  <si>
    <t>1Q22A</t>
  </si>
  <si>
    <t>2Q22A</t>
  </si>
  <si>
    <t>3Q22A</t>
  </si>
  <si>
    <t>4Q22E</t>
  </si>
  <si>
    <t>1Q23E</t>
  </si>
  <si>
    <t>2Q23E</t>
  </si>
  <si>
    <t>3Q23E</t>
  </si>
  <si>
    <t>4Q23E</t>
  </si>
  <si>
    <t>1Q24E</t>
  </si>
  <si>
    <t>2Q24E</t>
  </si>
  <si>
    <t>3Q24E</t>
  </si>
  <si>
    <t>4Q24E</t>
  </si>
  <si>
    <t>FY19A</t>
  </si>
  <si>
    <t>FY20A</t>
  </si>
  <si>
    <t>FY21A</t>
  </si>
  <si>
    <t>FY24E</t>
  </si>
  <si>
    <t>FY22E</t>
  </si>
  <si>
    <t>FY23AE</t>
  </si>
  <si>
    <t>FY25E</t>
  </si>
  <si>
    <t>FY26E</t>
  </si>
  <si>
    <t>FY27E</t>
  </si>
  <si>
    <t>FY28E</t>
  </si>
  <si>
    <t>FY29E</t>
  </si>
  <si>
    <t>FY30E</t>
  </si>
  <si>
    <t>FY31E</t>
  </si>
  <si>
    <t>FY32E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</si>
</sst>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quotePrefix="1" applyFont="1"/>
    <xf numFmtId="1" fontId="2" fillId="0" borderId="0" xfId="0" quotePrefix="1" applyNumberFormat="1" applyFont="1"/>
    <xf numFmtId="9" fontId="0" fillId="0" borderId="0" xfId="0" applyNumberFormat="1"/>
    <xf numFmtId="9" fontId="0" fillId="0" borderId="0" xfId="1" applyFont="1"/>
    <xf numFmtId="0" fontId="0" fillId="0" borderId="0" xfId="0" quotePrefix="1"/>
    <xf numFmtId="1" fontId="0" fillId="0" borderId="0" xfId="0" applyNumberFormat="1"/>
    <xf numFmtId="1" fontId="0" fillId="0" borderId="0" xfId="0" quotePrefix="1" applyNumberFormat="1"/>
    <xf numFmtId="0" fontId="3" fillId="0" borderId="0" xfId="0" applyFont="1"/>
    <xf numFmtId="1" fontId="3" fillId="0" borderId="0" xfId="0" applyNumberFormat="1" applyFont="1"/>
    <xf numFmtId="9" fontId="3" fillId="0" borderId="0" xfId="1" applyFont="1"/>
    <xf numFmtId="1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9" fontId="1" fillId="0" borderId="0" xfId="1" applyFont="1"/>
    <xf numFmtId="10" fontId="3" fillId="0" borderId="0" xfId="0" applyNumberFormat="1" applyFont="1"/>
    <xf numFmtId="9" fontId="3" fillId="0" borderId="0" xfId="0" applyNumberFormat="1" applyFont="1"/>
    <xf numFmtId="0" fontId="4" fillId="0" borderId="0" xfId="0" applyFont="1"/>
    <xf numFmtId="2" fontId="3" fillId="0" borderId="0" xfId="0" applyNumberFormat="1" applyFont="1"/>
    <xf numFmtId="9" fontId="1" fillId="0" borderId="0" xfId="1" quotePrefix="1" applyFont="1"/>
    <xf numFmtId="1" fontId="1" fillId="0" borderId="0" xfId="1" applyNumberFormat="1" applyFont="1"/>
    <xf numFmtId="1" fontId="1" fillId="0" borderId="0" xfId="1" quotePrefix="1" applyNumberFormat="1" applyFont="1"/>
    <xf numFmtId="0" fontId="0" fillId="2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4" fontId="0" fillId="3" borderId="6" xfId="0" applyNumberFormat="1" applyFill="1" applyBorder="1"/>
    <xf numFmtId="14" fontId="0" fillId="3" borderId="7" xfId="0" applyNumberFormat="1" applyFill="1" applyBorder="1"/>
    <xf numFmtId="14" fontId="0" fillId="3" borderId="8" xfId="0" applyNumberForma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9" fontId="2" fillId="4" borderId="2" xfId="0" applyNumberFormat="1" applyFont="1" applyFill="1" applyBorder="1"/>
    <xf numFmtId="0" fontId="2" fillId="4" borderId="0" xfId="0" applyFont="1" applyFill="1"/>
    <xf numFmtId="0" fontId="0" fillId="4" borderId="0" xfId="0" applyFill="1"/>
    <xf numFmtId="0" fontId="2" fillId="2" borderId="3" xfId="0" applyFont="1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9" fontId="0" fillId="2" borderId="10" xfId="0" applyNumberFormat="1" applyFill="1" applyBorder="1"/>
    <xf numFmtId="1" fontId="0" fillId="2" borderId="10" xfId="0" applyNumberFormat="1" applyFill="1" applyBorder="1"/>
    <xf numFmtId="0" fontId="0" fillId="2" borderId="6" xfId="0" applyFill="1" applyBorder="1"/>
    <xf numFmtId="165" fontId="2" fillId="2" borderId="8" xfId="2" applyNumberFormat="1" applyFont="1" applyFill="1" applyBorder="1"/>
    <xf numFmtId="0" fontId="0" fillId="2" borderId="3" xfId="0" applyFill="1" applyBorder="1"/>
    <xf numFmtId="0" fontId="2" fillId="2" borderId="0" xfId="0" applyFont="1" applyFill="1"/>
    <xf numFmtId="0" fontId="5" fillId="2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92B1-AAAB-DF4A-A567-59CEF65EB91F}">
  <dimension ref="B3:C11"/>
  <sheetViews>
    <sheetView workbookViewId="0">
      <selection activeCell="E14" sqref="E14"/>
    </sheetView>
  </sheetViews>
  <sheetFormatPr baseColWidth="10" defaultRowHeight="16" x14ac:dyDescent="0.2"/>
  <cols>
    <col min="1" max="1" width="10.83203125" style="23"/>
    <col min="2" max="2" width="16.83203125" style="23" customWidth="1"/>
    <col min="3" max="16384" width="10.83203125" style="23"/>
  </cols>
  <sheetData>
    <row r="3" spans="2:3" x14ac:dyDescent="0.2">
      <c r="B3" s="41" t="s">
        <v>38</v>
      </c>
      <c r="C3" s="42"/>
    </row>
    <row r="4" spans="2:3" x14ac:dyDescent="0.2">
      <c r="B4" s="49" t="s">
        <v>40</v>
      </c>
      <c r="C4" s="42">
        <v>852568</v>
      </c>
    </row>
    <row r="5" spans="2:3" x14ac:dyDescent="0.2">
      <c r="B5" s="43" t="s">
        <v>39</v>
      </c>
      <c r="C5" s="45">
        <v>0.12</v>
      </c>
    </row>
    <row r="6" spans="2:3" x14ac:dyDescent="0.2">
      <c r="B6" s="43" t="s">
        <v>41</v>
      </c>
      <c r="C6" s="46">
        <f>NPV(C5,Model!I32,Model!X32:AG32)</f>
        <v>2770158.1369100902</v>
      </c>
    </row>
    <row r="7" spans="2:3" x14ac:dyDescent="0.2">
      <c r="B7" s="43" t="s">
        <v>43</v>
      </c>
      <c r="C7" s="44">
        <v>7</v>
      </c>
    </row>
    <row r="8" spans="2:3" x14ac:dyDescent="0.2">
      <c r="B8" s="43" t="s">
        <v>44</v>
      </c>
      <c r="C8" s="46">
        <f>Model!AG30*(1-C5)^10*C7</f>
        <v>3392638.5594014656</v>
      </c>
    </row>
    <row r="9" spans="2:3" x14ac:dyDescent="0.2">
      <c r="B9" s="43" t="s">
        <v>45</v>
      </c>
      <c r="C9" s="46">
        <f>C8+C6</f>
        <v>6162796.6963115558</v>
      </c>
    </row>
    <row r="10" spans="2:3" x14ac:dyDescent="0.2">
      <c r="B10" s="43" t="s">
        <v>46</v>
      </c>
      <c r="C10" s="46">
        <f>C9+C4</f>
        <v>7015364.6963115558</v>
      </c>
    </row>
    <row r="11" spans="2:3" x14ac:dyDescent="0.2">
      <c r="B11" s="47" t="s">
        <v>47</v>
      </c>
      <c r="C11" s="48">
        <f>C10/Model!I33/1000</f>
        <v>154.25909079320442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8FA9-D489-F449-AB3C-A46ED1531D7C}">
  <dimension ref="A1:AG101"/>
  <sheetViews>
    <sheetView tabSelected="1" workbookViewId="0">
      <pane xSplit="1" ySplit="7" topLeftCell="D15" activePane="bottomRight" state="frozen"/>
      <selection pane="topRight" activeCell="B1" sqref="B1"/>
      <selection pane="bottomLeft" activeCell="A3" sqref="A3"/>
      <selection pane="bottomRight" activeCell="M22" sqref="M22"/>
    </sheetView>
  </sheetViews>
  <sheetFormatPr baseColWidth="10" defaultRowHeight="16" x14ac:dyDescent="0.2"/>
  <cols>
    <col min="1" max="1" width="29.6640625" customWidth="1"/>
    <col min="2" max="19" width="11" customWidth="1"/>
  </cols>
  <sheetData>
    <row r="1" spans="1:33" s="23" customFormat="1" ht="19" x14ac:dyDescent="0.25">
      <c r="A1" s="51" t="s">
        <v>48</v>
      </c>
    </row>
    <row r="2" spans="1:33" s="23" customFormat="1" x14ac:dyDescent="0.2">
      <c r="A2" s="50" t="s">
        <v>49</v>
      </c>
    </row>
    <row r="3" spans="1:33" s="23" customFormat="1" x14ac:dyDescent="0.2"/>
    <row r="4" spans="1:33" s="23" customFormat="1" x14ac:dyDescent="0.2"/>
    <row r="5" spans="1:33" s="23" customFormat="1" x14ac:dyDescent="0.2"/>
    <row r="6" spans="1:33" s="23" customFormat="1" x14ac:dyDescent="0.2">
      <c r="B6" s="24" t="s">
        <v>50</v>
      </c>
      <c r="C6" s="25" t="s">
        <v>51</v>
      </c>
      <c r="D6" s="25" t="s">
        <v>52</v>
      </c>
      <c r="E6" s="25" t="s">
        <v>53</v>
      </c>
      <c r="F6" s="25" t="s">
        <v>54</v>
      </c>
      <c r="G6" s="25" t="s">
        <v>55</v>
      </c>
      <c r="H6" s="25" t="s">
        <v>56</v>
      </c>
      <c r="I6" s="25" t="s">
        <v>57</v>
      </c>
      <c r="J6" s="25" t="s">
        <v>58</v>
      </c>
      <c r="K6" s="25" t="s">
        <v>59</v>
      </c>
      <c r="L6" s="25" t="s">
        <v>60</v>
      </c>
      <c r="M6" s="25" t="s">
        <v>61</v>
      </c>
      <c r="N6" s="25" t="s">
        <v>62</v>
      </c>
      <c r="O6" s="25" t="s">
        <v>63</v>
      </c>
      <c r="P6" s="25" t="s">
        <v>64</v>
      </c>
      <c r="Q6" s="26" t="s">
        <v>65</v>
      </c>
      <c r="T6" s="30" t="s">
        <v>66</v>
      </c>
      <c r="U6" s="31" t="s">
        <v>67</v>
      </c>
      <c r="V6" s="31" t="s">
        <v>68</v>
      </c>
      <c r="W6" s="31" t="s">
        <v>70</v>
      </c>
      <c r="X6" s="31" t="s">
        <v>71</v>
      </c>
      <c r="Y6" s="31" t="s">
        <v>69</v>
      </c>
      <c r="Z6" s="31" t="s">
        <v>72</v>
      </c>
      <c r="AA6" s="31" t="s">
        <v>73</v>
      </c>
      <c r="AB6" s="31" t="s">
        <v>74</v>
      </c>
      <c r="AC6" s="31" t="s">
        <v>75</v>
      </c>
      <c r="AD6" s="31" t="s">
        <v>76</v>
      </c>
      <c r="AE6" s="31" t="s">
        <v>77</v>
      </c>
      <c r="AF6" s="31" t="s">
        <v>78</v>
      </c>
      <c r="AG6" s="32" t="s">
        <v>79</v>
      </c>
    </row>
    <row r="7" spans="1:33" s="23" customFormat="1" x14ac:dyDescent="0.2">
      <c r="A7" s="50" t="s">
        <v>42</v>
      </c>
      <c r="B7" s="27">
        <v>44286</v>
      </c>
      <c r="C7" s="28">
        <v>44377</v>
      </c>
      <c r="D7" s="28">
        <v>44469</v>
      </c>
      <c r="E7" s="28">
        <v>44561</v>
      </c>
      <c r="F7" s="28">
        <f>B7+365</f>
        <v>44651</v>
      </c>
      <c r="G7" s="28">
        <f t="shared" ref="G7:M7" si="0">C7+365</f>
        <v>44742</v>
      </c>
      <c r="H7" s="28">
        <f t="shared" si="0"/>
        <v>44834</v>
      </c>
      <c r="I7" s="28">
        <f t="shared" si="0"/>
        <v>44926</v>
      </c>
      <c r="J7" s="28">
        <f t="shared" si="0"/>
        <v>45016</v>
      </c>
      <c r="K7" s="28">
        <f t="shared" si="0"/>
        <v>45107</v>
      </c>
      <c r="L7" s="28">
        <f t="shared" si="0"/>
        <v>45199</v>
      </c>
      <c r="M7" s="28">
        <f t="shared" si="0"/>
        <v>45291</v>
      </c>
      <c r="N7" s="28">
        <f>J7+366</f>
        <v>45382</v>
      </c>
      <c r="O7" s="28">
        <f t="shared" ref="O7:Q7" si="1">K7+366</f>
        <v>45473</v>
      </c>
      <c r="P7" s="28">
        <f t="shared" si="1"/>
        <v>45565</v>
      </c>
      <c r="Q7" s="29">
        <f t="shared" si="1"/>
        <v>45657</v>
      </c>
      <c r="T7" s="33">
        <v>2019</v>
      </c>
      <c r="U7" s="34">
        <f t="shared" ref="U7:AG7" si="2">T7+1</f>
        <v>2020</v>
      </c>
      <c r="V7" s="34">
        <f t="shared" si="2"/>
        <v>2021</v>
      </c>
      <c r="W7" s="34">
        <f t="shared" si="2"/>
        <v>2022</v>
      </c>
      <c r="X7" s="34">
        <f t="shared" si="2"/>
        <v>2023</v>
      </c>
      <c r="Y7" s="34">
        <f t="shared" si="2"/>
        <v>2024</v>
      </c>
      <c r="Z7" s="34">
        <f t="shared" si="2"/>
        <v>2025</v>
      </c>
      <c r="AA7" s="34">
        <f t="shared" si="2"/>
        <v>2026</v>
      </c>
      <c r="AB7" s="34">
        <f t="shared" si="2"/>
        <v>2027</v>
      </c>
      <c r="AC7" s="34">
        <f t="shared" si="2"/>
        <v>2028</v>
      </c>
      <c r="AD7" s="34">
        <f t="shared" si="2"/>
        <v>2029</v>
      </c>
      <c r="AE7" s="34">
        <f t="shared" si="2"/>
        <v>2030</v>
      </c>
      <c r="AF7" s="34">
        <f t="shared" si="2"/>
        <v>2031</v>
      </c>
      <c r="AG7" s="35">
        <f t="shared" si="2"/>
        <v>2032</v>
      </c>
    </row>
    <row r="8" spans="1:33" s="39" customFormat="1" x14ac:dyDescent="0.2">
      <c r="A8" s="39" t="s">
        <v>0</v>
      </c>
    </row>
    <row r="9" spans="1:33" s="1" customFormat="1" x14ac:dyDescent="0.2"/>
    <row r="10" spans="1:33" s="1" customFormat="1" x14ac:dyDescent="0.2">
      <c r="A10" s="2" t="s">
        <v>3</v>
      </c>
      <c r="B10" s="2">
        <v>235888</v>
      </c>
      <c r="C10" s="2">
        <f>Model!C20*4</f>
        <v>282460</v>
      </c>
      <c r="D10" s="2">
        <f>Model!D20*4</f>
        <v>332072</v>
      </c>
      <c r="E10" s="2">
        <f>Model!E20*4</f>
        <v>382180</v>
      </c>
      <c r="F10" s="2">
        <f>Model!F20*4</f>
        <v>433988</v>
      </c>
      <c r="G10" s="2">
        <f>Model!G20*4</f>
        <v>494872</v>
      </c>
      <c r="H10" s="2">
        <f>Model!H20*4</f>
        <v>547572</v>
      </c>
      <c r="I10" s="3">
        <f>I12+I13</f>
        <v>600247.32000000007</v>
      </c>
      <c r="J10" s="3">
        <f t="shared" ref="J10:Q10" si="3">J12+J13</f>
        <v>665249.54639999999</v>
      </c>
      <c r="K10" s="3">
        <f t="shared" si="3"/>
        <v>741199.62532800005</v>
      </c>
      <c r="L10" s="3">
        <f t="shared" si="3"/>
        <v>807386.68983456003</v>
      </c>
      <c r="M10" s="3">
        <f t="shared" si="3"/>
        <v>843590.71363125136</v>
      </c>
      <c r="N10" s="3">
        <f t="shared" si="3"/>
        <v>921409.39990387624</v>
      </c>
      <c r="O10" s="3">
        <f t="shared" si="3"/>
        <v>1011879.4391019538</v>
      </c>
      <c r="P10" s="3">
        <f t="shared" si="3"/>
        <v>1091184.5606839929</v>
      </c>
      <c r="Q10" s="3">
        <f t="shared" si="3"/>
        <v>1136072.9853976727</v>
      </c>
      <c r="V10" s="1">
        <f>E10</f>
        <v>382180</v>
      </c>
      <c r="W10" s="3">
        <f>I10</f>
        <v>600247.32000000007</v>
      </c>
      <c r="X10" s="12">
        <f>M10</f>
        <v>843590.71363125136</v>
      </c>
      <c r="Y10" s="12">
        <f>Q10</f>
        <v>1136072.9853976727</v>
      </c>
      <c r="Z10" s="12">
        <f>Z12+Z13</f>
        <v>1303165.0599128888</v>
      </c>
      <c r="AA10" s="12">
        <f t="shared" ref="AA10:AG10" si="4">AA12+AA13</f>
        <v>1494889.4920771108</v>
      </c>
      <c r="AB10" s="12">
        <f t="shared" si="4"/>
        <v>1714885.0465790136</v>
      </c>
      <c r="AC10" s="12">
        <f t="shared" si="4"/>
        <v>1960145.8227660661</v>
      </c>
      <c r="AD10" s="12">
        <f t="shared" si="4"/>
        <v>2240998.5173011958</v>
      </c>
      <c r="AE10" s="12">
        <f t="shared" si="4"/>
        <v>2465098.3690313157</v>
      </c>
      <c r="AF10" s="12">
        <f t="shared" si="4"/>
        <v>2711608.2059344472</v>
      </c>
      <c r="AG10" s="12">
        <f t="shared" si="4"/>
        <v>2982769.0265278928</v>
      </c>
    </row>
    <row r="11" spans="1:33" x14ac:dyDescent="0.2">
      <c r="A11" t="s">
        <v>1</v>
      </c>
      <c r="C11" s="4">
        <v>1.1000000000000001</v>
      </c>
      <c r="D11" s="4">
        <v>1.1499999999999999</v>
      </c>
      <c r="E11" s="4">
        <v>1.2</v>
      </c>
      <c r="F11" s="4">
        <v>1.25</v>
      </c>
      <c r="G11" s="4">
        <v>1.25</v>
      </c>
      <c r="H11" s="4">
        <v>1.2</v>
      </c>
      <c r="I11" s="4">
        <v>1.2</v>
      </c>
      <c r="J11" s="4">
        <v>1.2</v>
      </c>
      <c r="K11" s="4">
        <v>1.2</v>
      </c>
      <c r="L11" s="4">
        <v>1.2</v>
      </c>
      <c r="M11" s="4">
        <v>1.1499999999999999</v>
      </c>
      <c r="N11" s="4">
        <v>1.1499999999999999</v>
      </c>
      <c r="O11" s="4">
        <v>1.1499999999999999</v>
      </c>
      <c r="P11" s="4">
        <v>1.1499999999999999</v>
      </c>
      <c r="Q11" s="4">
        <v>1.1499999999999999</v>
      </c>
      <c r="V11" s="15">
        <f>E11</f>
        <v>1.2</v>
      </c>
      <c r="W11" s="20">
        <f>I11</f>
        <v>1.2</v>
      </c>
      <c r="X11" s="15">
        <f>M11</f>
        <v>1.1499999999999999</v>
      </c>
      <c r="Y11" s="15">
        <f>Q11</f>
        <v>1.1499999999999999</v>
      </c>
      <c r="Z11" s="4">
        <v>1.1499999999999999</v>
      </c>
      <c r="AA11" s="4">
        <v>1.1499999999999999</v>
      </c>
      <c r="AB11" s="4">
        <v>1.1499999999999999</v>
      </c>
      <c r="AC11" s="4">
        <v>1.1499999999999999</v>
      </c>
      <c r="AD11" s="4">
        <v>1.1499999999999999</v>
      </c>
      <c r="AE11" s="4">
        <v>1.1000000000000001</v>
      </c>
      <c r="AF11" s="4">
        <v>1.1000000000000001</v>
      </c>
      <c r="AG11" s="4">
        <v>1.1000000000000001</v>
      </c>
    </row>
    <row r="12" spans="1:33" x14ac:dyDescent="0.2">
      <c r="A12" s="6" t="s">
        <v>24</v>
      </c>
      <c r="B12" s="6"/>
      <c r="C12" s="6"/>
      <c r="D12" s="6"/>
      <c r="E12" s="6"/>
      <c r="F12" s="7">
        <f>F11*B10</f>
        <v>294860</v>
      </c>
      <c r="G12" s="7">
        <f>G11*C10</f>
        <v>353075</v>
      </c>
      <c r="H12" s="7">
        <f>H11*D10</f>
        <v>398486.39999999997</v>
      </c>
      <c r="I12" s="7">
        <f>E10*I11</f>
        <v>458616</v>
      </c>
      <c r="J12" s="7">
        <f t="shared" ref="J12:Q12" si="5">F10*J11</f>
        <v>520785.6</v>
      </c>
      <c r="K12" s="7">
        <f t="shared" si="5"/>
        <v>593846.4</v>
      </c>
      <c r="L12" s="7">
        <f t="shared" si="5"/>
        <v>657086.4</v>
      </c>
      <c r="M12" s="7">
        <f t="shared" si="5"/>
        <v>690284.41800000006</v>
      </c>
      <c r="N12" s="7">
        <f t="shared" si="5"/>
        <v>765036.97835999995</v>
      </c>
      <c r="O12" s="7">
        <f t="shared" si="5"/>
        <v>852379.56912719994</v>
      </c>
      <c r="P12" s="7">
        <f t="shared" si="5"/>
        <v>928494.69330974401</v>
      </c>
      <c r="Q12" s="7">
        <f t="shared" si="5"/>
        <v>970129.32067593897</v>
      </c>
      <c r="V12" s="21"/>
      <c r="W12" s="22">
        <f>I12</f>
        <v>458616</v>
      </c>
      <c r="X12" s="21">
        <f>M12</f>
        <v>690284.41800000006</v>
      </c>
      <c r="Y12" s="21">
        <f>Q12</f>
        <v>970129.32067593897</v>
      </c>
      <c r="Z12" s="7">
        <f>Y12*Z11</f>
        <v>1115648.7187773297</v>
      </c>
      <c r="AA12" s="7">
        <f t="shared" ref="AA12:AG12" si="6">Z12*AA11</f>
        <v>1282996.0265939289</v>
      </c>
      <c r="AB12" s="7">
        <f t="shared" si="6"/>
        <v>1475445.4305830181</v>
      </c>
      <c r="AC12" s="7">
        <f t="shared" si="6"/>
        <v>1696762.2451704708</v>
      </c>
      <c r="AD12" s="7">
        <f t="shared" si="6"/>
        <v>1951276.5819460412</v>
      </c>
      <c r="AE12" s="7">
        <f t="shared" si="6"/>
        <v>2146404.2401406453</v>
      </c>
      <c r="AF12" s="7">
        <f t="shared" si="6"/>
        <v>2361044.6641547102</v>
      </c>
      <c r="AG12" s="7">
        <f t="shared" si="6"/>
        <v>2597149.1305701816</v>
      </c>
    </row>
    <row r="13" spans="1:33" x14ac:dyDescent="0.2">
      <c r="A13" s="6" t="s">
        <v>25</v>
      </c>
      <c r="B13" s="6"/>
      <c r="C13" s="6"/>
      <c r="D13" s="6"/>
      <c r="E13" s="6"/>
      <c r="F13" s="7">
        <f>F10-F12</f>
        <v>139128</v>
      </c>
      <c r="G13" s="7">
        <f>G10-G12</f>
        <v>141797</v>
      </c>
      <c r="H13" s="7">
        <f>H10-H12</f>
        <v>149085.60000000003</v>
      </c>
      <c r="I13" s="7">
        <f>H13*0.95</f>
        <v>141631.32000000004</v>
      </c>
      <c r="J13" s="7">
        <f t="shared" ref="J13:Q13" si="7">I13*1.02</f>
        <v>144463.94640000004</v>
      </c>
      <c r="K13" s="7">
        <f t="shared" si="7"/>
        <v>147353.22532800006</v>
      </c>
      <c r="L13" s="7">
        <f t="shared" si="7"/>
        <v>150300.28983456007</v>
      </c>
      <c r="M13" s="7">
        <f t="shared" si="7"/>
        <v>153306.29563125127</v>
      </c>
      <c r="N13" s="7">
        <f t="shared" si="7"/>
        <v>156372.42154387629</v>
      </c>
      <c r="O13" s="7">
        <f t="shared" si="7"/>
        <v>159499.86997475382</v>
      </c>
      <c r="P13" s="7">
        <f t="shared" si="7"/>
        <v>162689.86737424889</v>
      </c>
      <c r="Q13" s="7">
        <f t="shared" si="7"/>
        <v>165943.66472173386</v>
      </c>
      <c r="W13" s="22">
        <f>I13</f>
        <v>141631.32000000004</v>
      </c>
      <c r="X13" s="21">
        <f>M13</f>
        <v>153306.29563125127</v>
      </c>
      <c r="Y13" s="21">
        <f>Q13</f>
        <v>165943.66472173386</v>
      </c>
      <c r="Z13" s="7">
        <f>Y13*1.13</f>
        <v>187516.34113555925</v>
      </c>
      <c r="AA13" s="7">
        <f t="shared" ref="AA13:AB13" si="8">Z13*1.13</f>
        <v>211893.46548318194</v>
      </c>
      <c r="AB13" s="7">
        <f t="shared" si="8"/>
        <v>239439.61599599555</v>
      </c>
      <c r="AC13" s="7">
        <f t="shared" ref="AC13:AG13" si="9">AB13*1.1</f>
        <v>263383.57759559515</v>
      </c>
      <c r="AD13" s="7">
        <f t="shared" si="9"/>
        <v>289721.93535515468</v>
      </c>
      <c r="AE13" s="7">
        <f t="shared" si="9"/>
        <v>318694.1288906702</v>
      </c>
      <c r="AF13" s="7">
        <f t="shared" si="9"/>
        <v>350563.54177973722</v>
      </c>
      <c r="AG13" s="7">
        <f t="shared" si="9"/>
        <v>385619.89595771098</v>
      </c>
    </row>
    <row r="14" spans="1:33" x14ac:dyDescent="0.2">
      <c r="A14" s="6" t="s">
        <v>37</v>
      </c>
      <c r="B14" s="6"/>
      <c r="C14" s="6">
        <f t="shared" ref="C14:H14" si="10">C10-B10</f>
        <v>46572</v>
      </c>
      <c r="D14" s="6">
        <f t="shared" si="10"/>
        <v>49612</v>
      </c>
      <c r="E14" s="6">
        <f t="shared" si="10"/>
        <v>50108</v>
      </c>
      <c r="F14" s="6">
        <f t="shared" si="10"/>
        <v>51808</v>
      </c>
      <c r="G14" s="6">
        <f t="shared" si="10"/>
        <v>60884</v>
      </c>
      <c r="H14" s="6">
        <f t="shared" si="10"/>
        <v>52700</v>
      </c>
      <c r="I14" s="8">
        <f t="shared" ref="I14:P14" si="11">I10-H10</f>
        <v>52675.320000000065</v>
      </c>
      <c r="J14" s="8">
        <f t="shared" si="11"/>
        <v>65002.226399999927</v>
      </c>
      <c r="K14" s="8">
        <f t="shared" si="11"/>
        <v>75950.078928000061</v>
      </c>
      <c r="L14" s="8">
        <f t="shared" si="11"/>
        <v>66187.064506559982</v>
      </c>
      <c r="M14" s="8">
        <f t="shared" si="11"/>
        <v>36204.023796691326</v>
      </c>
      <c r="N14" s="8">
        <f t="shared" si="11"/>
        <v>77818.68627262488</v>
      </c>
      <c r="O14" s="8">
        <f t="shared" si="11"/>
        <v>90470.039198077517</v>
      </c>
      <c r="P14" s="8">
        <f t="shared" si="11"/>
        <v>79305.121582039166</v>
      </c>
      <c r="Q14" s="8">
        <f>Q10-P10</f>
        <v>44888.424713679822</v>
      </c>
      <c r="W14" s="7">
        <f>W10-V10</f>
        <v>218067.32000000007</v>
      </c>
      <c r="X14" s="7">
        <f t="shared" ref="X14:AG14" si="12">X10-W10</f>
        <v>243343.3936312513</v>
      </c>
      <c r="Y14" s="7">
        <f t="shared" si="12"/>
        <v>292482.27176642139</v>
      </c>
      <c r="Z14" s="7">
        <f t="shared" si="12"/>
        <v>167092.07451521605</v>
      </c>
      <c r="AA14" s="7">
        <f t="shared" si="12"/>
        <v>191724.432164222</v>
      </c>
      <c r="AB14" s="7">
        <f t="shared" si="12"/>
        <v>219995.55450190278</v>
      </c>
      <c r="AC14" s="7">
        <f t="shared" si="12"/>
        <v>245260.77618705248</v>
      </c>
      <c r="AD14" s="7">
        <f t="shared" si="12"/>
        <v>280852.6945351297</v>
      </c>
      <c r="AE14" s="7">
        <f t="shared" si="12"/>
        <v>224099.8517301199</v>
      </c>
      <c r="AF14" s="7">
        <f t="shared" si="12"/>
        <v>246509.83690313157</v>
      </c>
      <c r="AG14" s="7">
        <f t="shared" si="12"/>
        <v>271160.82059344556</v>
      </c>
    </row>
    <row r="16" spans="1:33" s="37" customFormat="1" x14ac:dyDescent="0.2">
      <c r="A16" s="36" t="s">
        <v>2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33" x14ac:dyDescent="0.2">
      <c r="A17" t="s">
        <v>4</v>
      </c>
      <c r="D17" s="7">
        <f t="shared" ref="D17:Q17" si="13">D20*D44</f>
        <v>14943.24</v>
      </c>
      <c r="E17" s="7">
        <f t="shared" si="13"/>
        <v>19109</v>
      </c>
      <c r="F17" s="7">
        <f t="shared" si="13"/>
        <v>23869.34</v>
      </c>
      <c r="G17" s="7">
        <f t="shared" si="13"/>
        <v>29692.32</v>
      </c>
      <c r="H17" s="7">
        <f t="shared" si="13"/>
        <v>35592.18</v>
      </c>
      <c r="I17" s="7">
        <f t="shared" si="13"/>
        <v>40516.694100000008</v>
      </c>
      <c r="J17" s="7">
        <f t="shared" si="13"/>
        <v>44904.344382000003</v>
      </c>
      <c r="K17" s="7">
        <f t="shared" si="13"/>
        <v>50030.97470964001</v>
      </c>
      <c r="L17" s="7">
        <f t="shared" si="13"/>
        <v>56517.068288419207</v>
      </c>
      <c r="M17" s="7">
        <f t="shared" si="13"/>
        <v>59051.349954187601</v>
      </c>
      <c r="N17" s="7">
        <f t="shared" si="13"/>
        <v>64498.657993271343</v>
      </c>
      <c r="O17" s="7">
        <f t="shared" si="13"/>
        <v>70831.560737136766</v>
      </c>
      <c r="P17" s="7">
        <f t="shared" si="13"/>
        <v>76382.919247879516</v>
      </c>
      <c r="Q17" s="7">
        <f t="shared" si="13"/>
        <v>79525.108977837095</v>
      </c>
      <c r="R17" s="7"/>
      <c r="W17" s="7">
        <f>SUM(F17:I17)</f>
        <v>129670.5341</v>
      </c>
      <c r="X17" s="7">
        <f>SUM(J17:M17)</f>
        <v>210503.73733424683</v>
      </c>
      <c r="Y17" s="7">
        <f>SUM(N17:Q17)</f>
        <v>291238.24695612473</v>
      </c>
      <c r="Z17" s="7">
        <f>Z20*Z44</f>
        <v>341493.32634347863</v>
      </c>
      <c r="AA17" s="7">
        <f t="shared" ref="AA17:AG17" si="14">AA20*AA44</f>
        <v>391727.63727859996</v>
      </c>
      <c r="AB17" s="7">
        <f t="shared" si="14"/>
        <v>449368.43541185744</v>
      </c>
      <c r="AC17" s="7">
        <f t="shared" si="14"/>
        <v>514504.32170831121</v>
      </c>
      <c r="AD17" s="7">
        <f t="shared" si="14"/>
        <v>588160.20760941668</v>
      </c>
      <c r="AE17" s="7">
        <f t="shared" si="14"/>
        <v>658853.56408655178</v>
      </c>
      <c r="AF17" s="7">
        <f t="shared" si="14"/>
        <v>724738.92049520684</v>
      </c>
      <c r="AG17" s="7">
        <f t="shared" si="14"/>
        <v>797212.8125447277</v>
      </c>
    </row>
    <row r="18" spans="1:33" x14ac:dyDescent="0.2">
      <c r="A18" t="s">
        <v>5</v>
      </c>
      <c r="D18" s="7">
        <f t="shared" ref="D18:Q18" si="15">D20*D45</f>
        <v>68074.759999999995</v>
      </c>
      <c r="E18" s="7">
        <f t="shared" si="15"/>
        <v>76436</v>
      </c>
      <c r="F18" s="7">
        <f t="shared" si="15"/>
        <v>84627.66</v>
      </c>
      <c r="G18" s="7">
        <f t="shared" si="15"/>
        <v>94025.68</v>
      </c>
      <c r="H18" s="7">
        <f t="shared" si="15"/>
        <v>101300.82</v>
      </c>
      <c r="I18" s="7">
        <f t="shared" si="15"/>
        <v>109545.13590000001</v>
      </c>
      <c r="J18" s="7">
        <f t="shared" si="15"/>
        <v>121408.042218</v>
      </c>
      <c r="K18" s="7">
        <f t="shared" si="15"/>
        <v>135268.93162236002</v>
      </c>
      <c r="L18" s="7">
        <f t="shared" si="15"/>
        <v>145329.60417022079</v>
      </c>
      <c r="M18" s="7">
        <f t="shared" si="15"/>
        <v>151846.32845362523</v>
      </c>
      <c r="N18" s="7">
        <f t="shared" si="15"/>
        <v>165853.69198269772</v>
      </c>
      <c r="O18" s="7">
        <f t="shared" si="15"/>
        <v>182138.29903835166</v>
      </c>
      <c r="P18" s="7">
        <f t="shared" si="15"/>
        <v>196413.22092311873</v>
      </c>
      <c r="Q18" s="7">
        <f t="shared" si="15"/>
        <v>204493.13737158108</v>
      </c>
      <c r="R18" s="7"/>
      <c r="W18" s="7">
        <f>SUM(F18:I18)</f>
        <v>389499.29590000003</v>
      </c>
      <c r="X18" s="7">
        <f>SUM(J18:M18)</f>
        <v>553852.90646420605</v>
      </c>
      <c r="Y18" s="7">
        <f>SUM(N18:Q18)</f>
        <v>748898.34931574913</v>
      </c>
      <c r="Z18" s="7">
        <f>Z20*Z45</f>
        <v>878125.69631180214</v>
      </c>
      <c r="AA18" s="7">
        <f t="shared" ref="AA18:AG18" si="16">AA20*AA45</f>
        <v>1007299.6387163998</v>
      </c>
      <c r="AB18" s="7">
        <f t="shared" si="16"/>
        <v>1155518.8339162047</v>
      </c>
      <c r="AC18" s="7">
        <f t="shared" si="16"/>
        <v>1323011.1129642287</v>
      </c>
      <c r="AD18" s="7">
        <f t="shared" si="16"/>
        <v>1512411.9624242142</v>
      </c>
      <c r="AE18" s="7">
        <f t="shared" si="16"/>
        <v>1694194.8790797042</v>
      </c>
      <c r="AF18" s="7">
        <f t="shared" si="16"/>
        <v>1863614.3669876745</v>
      </c>
      <c r="AG18" s="7">
        <f t="shared" si="16"/>
        <v>2049975.8036864423</v>
      </c>
    </row>
    <row r="19" spans="1:33" x14ac:dyDescent="0.2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33" s="1" customFormat="1" x14ac:dyDescent="0.2">
      <c r="A20" s="1" t="s">
        <v>28</v>
      </c>
      <c r="B20" s="1">
        <v>58972</v>
      </c>
      <c r="C20" s="1">
        <v>70615</v>
      </c>
      <c r="D20" s="1">
        <v>83018</v>
      </c>
      <c r="E20" s="1">
        <f>V20-D20-C20-B20</f>
        <v>95545</v>
      </c>
      <c r="F20" s="1">
        <v>108497</v>
      </c>
      <c r="G20" s="1">
        <v>123718</v>
      </c>
      <c r="H20" s="1">
        <v>136893</v>
      </c>
      <c r="I20" s="12">
        <f t="shared" ref="I20:Q20" si="17">I10/4</f>
        <v>150061.83000000002</v>
      </c>
      <c r="J20" s="12">
        <f t="shared" si="17"/>
        <v>166312.3866</v>
      </c>
      <c r="K20" s="12">
        <f t="shared" si="17"/>
        <v>185299.90633200001</v>
      </c>
      <c r="L20" s="12">
        <f t="shared" si="17"/>
        <v>201846.67245864001</v>
      </c>
      <c r="M20" s="12">
        <f t="shared" si="17"/>
        <v>210897.67840781284</v>
      </c>
      <c r="N20" s="12">
        <f t="shared" si="17"/>
        <v>230352.34997596906</v>
      </c>
      <c r="O20" s="12">
        <f t="shared" si="17"/>
        <v>252969.85977548844</v>
      </c>
      <c r="P20" s="12">
        <f t="shared" si="17"/>
        <v>272796.14017099823</v>
      </c>
      <c r="Q20" s="12">
        <f t="shared" si="17"/>
        <v>284018.24634941819</v>
      </c>
      <c r="T20" s="1">
        <v>78089</v>
      </c>
      <c r="U20" s="1">
        <v>161123</v>
      </c>
      <c r="V20" s="1">
        <v>308150</v>
      </c>
      <c r="W20" s="12">
        <f>SUM(F20:I20)</f>
        <v>519169.83</v>
      </c>
      <c r="X20" s="12">
        <f>SUM(J20:M20)</f>
        <v>764356.64379845292</v>
      </c>
      <c r="Y20" s="12">
        <f>SUM(N20:Q20)</f>
        <v>1040136.5962718739</v>
      </c>
      <c r="Z20" s="12">
        <f>(Z10+Y10)/2</f>
        <v>1219619.0226552808</v>
      </c>
      <c r="AA20" s="12">
        <f t="shared" ref="AA20:AG20" si="18">(AA10+Z10)/2</f>
        <v>1399027.2759949998</v>
      </c>
      <c r="AB20" s="12">
        <f t="shared" si="18"/>
        <v>1604887.2693280622</v>
      </c>
      <c r="AC20" s="12">
        <f>(AC10+AB10)/2</f>
        <v>1837515.4346725398</v>
      </c>
      <c r="AD20" s="12">
        <f t="shared" si="18"/>
        <v>2100572.1700336309</v>
      </c>
      <c r="AE20" s="12">
        <f t="shared" si="18"/>
        <v>2353048.443166256</v>
      </c>
      <c r="AF20" s="12">
        <f t="shared" si="18"/>
        <v>2588353.2874828815</v>
      </c>
      <c r="AG20" s="12">
        <f t="shared" si="18"/>
        <v>2847188.61623117</v>
      </c>
    </row>
    <row r="21" spans="1:33" x14ac:dyDescent="0.2">
      <c r="A21" t="s">
        <v>9</v>
      </c>
      <c r="B21">
        <v>7924</v>
      </c>
      <c r="C21">
        <v>9108</v>
      </c>
      <c r="D21">
        <v>10213</v>
      </c>
      <c r="E21">
        <f>V21-D21-C21-B21</f>
        <v>11768</v>
      </c>
      <c r="F21">
        <v>14609</v>
      </c>
      <c r="G21">
        <v>16730</v>
      </c>
      <c r="H21">
        <v>17830</v>
      </c>
      <c r="I21" s="7">
        <f>I20*(1-I23)</f>
        <v>18007.419600000001</v>
      </c>
      <c r="J21" s="7">
        <f t="shared" ref="J21:Q21" si="19">J20*(1-J23)</f>
        <v>19957.486391999999</v>
      </c>
      <c r="K21" s="7">
        <f t="shared" si="19"/>
        <v>22235.988759840002</v>
      </c>
      <c r="L21" s="7">
        <f t="shared" si="19"/>
        <v>22203.133970450399</v>
      </c>
      <c r="M21" s="7">
        <f t="shared" si="19"/>
        <v>23198.74462485941</v>
      </c>
      <c r="N21" s="7">
        <f t="shared" si="19"/>
        <v>25338.758497356594</v>
      </c>
      <c r="O21" s="7">
        <f t="shared" si="19"/>
        <v>27826.684575303723</v>
      </c>
      <c r="P21" s="7">
        <f t="shared" si="19"/>
        <v>30007.575418809804</v>
      </c>
      <c r="Q21" s="7">
        <f t="shared" si="19"/>
        <v>31242.007098435995</v>
      </c>
      <c r="T21">
        <v>11978</v>
      </c>
      <c r="U21">
        <v>22488</v>
      </c>
      <c r="V21">
        <v>39013</v>
      </c>
      <c r="W21" s="7">
        <f>SUM(F21:I21)</f>
        <v>67176.419599999994</v>
      </c>
      <c r="X21" s="7">
        <f>SUM(J21:M21)</f>
        <v>87595.353747149813</v>
      </c>
      <c r="Y21" s="7">
        <f>SUM(N21:Q21)</f>
        <v>114415.02558990612</v>
      </c>
      <c r="Z21" s="7">
        <f>Z20*(1-Z23)</f>
        <v>134158.09249208088</v>
      </c>
      <c r="AA21" s="7">
        <f t="shared" ref="AA21:AG21" si="20">AA20*(1-AA23)</f>
        <v>153893.00035944997</v>
      </c>
      <c r="AB21" s="7">
        <f t="shared" si="20"/>
        <v>176537.59962608683</v>
      </c>
      <c r="AC21" s="7">
        <f t="shared" si="20"/>
        <v>202126.69781397935</v>
      </c>
      <c r="AD21" s="7">
        <f t="shared" si="20"/>
        <v>231062.93870369939</v>
      </c>
      <c r="AE21" s="7">
        <f t="shared" si="20"/>
        <v>258835.32874828813</v>
      </c>
      <c r="AF21" s="7">
        <f t="shared" si="20"/>
        <v>284718.86162311694</v>
      </c>
      <c r="AG21" s="7">
        <f t="shared" si="20"/>
        <v>313190.74778542866</v>
      </c>
    </row>
    <row r="22" spans="1:33" s="1" customFormat="1" x14ac:dyDescent="0.2">
      <c r="A22" s="1" t="s">
        <v>10</v>
      </c>
      <c r="B22" s="1">
        <f t="shared" ref="B22:H22" si="21">B20-B21</f>
        <v>51048</v>
      </c>
      <c r="C22" s="1">
        <f t="shared" si="21"/>
        <v>61507</v>
      </c>
      <c r="D22" s="1">
        <f t="shared" si="21"/>
        <v>72805</v>
      </c>
      <c r="E22" s="1">
        <f t="shared" si="21"/>
        <v>83777</v>
      </c>
      <c r="F22" s="1">
        <f t="shared" si="21"/>
        <v>93888</v>
      </c>
      <c r="G22" s="1">
        <f t="shared" si="21"/>
        <v>106988</v>
      </c>
      <c r="H22" s="1">
        <f t="shared" si="21"/>
        <v>119063</v>
      </c>
      <c r="I22" s="12">
        <f t="shared" ref="I22" si="22">I20-I21</f>
        <v>132054.41040000002</v>
      </c>
      <c r="J22" s="12">
        <f t="shared" ref="J22" si="23">J20-J21</f>
        <v>146354.90020800001</v>
      </c>
      <c r="K22" s="12">
        <f t="shared" ref="K22" si="24">K20-K21</f>
        <v>163063.91757216002</v>
      </c>
      <c r="L22" s="12">
        <f t="shared" ref="L22" si="25">L20-L21</f>
        <v>179643.5384881896</v>
      </c>
      <c r="M22" s="12">
        <f t="shared" ref="M22" si="26">M20-M21</f>
        <v>187698.93378295342</v>
      </c>
      <c r="N22" s="12">
        <f t="shared" ref="N22" si="27">N20-N21</f>
        <v>205013.59147861248</v>
      </c>
      <c r="O22" s="12">
        <f t="shared" ref="O22" si="28">O20-O21</f>
        <v>225143.17520018472</v>
      </c>
      <c r="P22" s="12">
        <f t="shared" ref="P22" si="29">P20-P21</f>
        <v>242788.56475218842</v>
      </c>
      <c r="Q22" s="12">
        <f t="shared" ref="Q22" si="30">Q20-Q21</f>
        <v>252776.23925098218</v>
      </c>
      <c r="T22" s="1">
        <f>T20-T21</f>
        <v>66111</v>
      </c>
      <c r="U22" s="1">
        <f>U20-U21</f>
        <v>138635</v>
      </c>
      <c r="V22" s="1">
        <f>V20-V21</f>
        <v>269137</v>
      </c>
      <c r="W22" s="12">
        <f t="shared" ref="W22:Y22" si="31">W20-W21</f>
        <v>451993.41040000005</v>
      </c>
      <c r="X22" s="12">
        <f t="shared" si="31"/>
        <v>676761.29005130311</v>
      </c>
      <c r="Y22" s="12">
        <f t="shared" si="31"/>
        <v>925721.57068196777</v>
      </c>
      <c r="Z22" s="12">
        <f>Z20-Z21</f>
        <v>1085460.9301632</v>
      </c>
      <c r="AA22" s="12">
        <f t="shared" ref="AA22:AG22" si="32">AA20-AA21</f>
        <v>1245134.2756355498</v>
      </c>
      <c r="AB22" s="12">
        <f t="shared" si="32"/>
        <v>1428349.6697019753</v>
      </c>
      <c r="AC22" s="12">
        <f t="shared" si="32"/>
        <v>1635388.7368585605</v>
      </c>
      <c r="AD22" s="12">
        <f t="shared" si="32"/>
        <v>1869509.2313299314</v>
      </c>
      <c r="AE22" s="12">
        <f t="shared" si="32"/>
        <v>2094213.1144179679</v>
      </c>
      <c r="AF22" s="12">
        <f t="shared" si="32"/>
        <v>2303634.4258597647</v>
      </c>
      <c r="AG22" s="12">
        <f t="shared" si="32"/>
        <v>2533997.8684457415</v>
      </c>
    </row>
    <row r="23" spans="1:33" x14ac:dyDescent="0.2">
      <c r="A23" t="s">
        <v>11</v>
      </c>
      <c r="B23" s="15">
        <f t="shared" ref="B23:H23" si="33">B22/B20</f>
        <v>0.86563114698500987</v>
      </c>
      <c r="C23" s="15">
        <f t="shared" si="33"/>
        <v>0.87101890533172843</v>
      </c>
      <c r="D23" s="15">
        <f t="shared" si="33"/>
        <v>0.87697848659326894</v>
      </c>
      <c r="E23" s="15">
        <f t="shared" si="33"/>
        <v>0.8768329059605422</v>
      </c>
      <c r="F23" s="15">
        <f t="shared" si="33"/>
        <v>0.86535111569905154</v>
      </c>
      <c r="G23" s="15">
        <f t="shared" si="33"/>
        <v>0.86477311304741433</v>
      </c>
      <c r="H23" s="15">
        <f t="shared" si="33"/>
        <v>0.86975228828354989</v>
      </c>
      <c r="I23" s="15">
        <v>0.88</v>
      </c>
      <c r="J23" s="15">
        <v>0.88</v>
      </c>
      <c r="K23" s="15">
        <v>0.88</v>
      </c>
      <c r="L23" s="15">
        <v>0.89</v>
      </c>
      <c r="M23" s="15">
        <v>0.89</v>
      </c>
      <c r="N23" s="15">
        <v>0.89</v>
      </c>
      <c r="O23" s="15">
        <v>0.89</v>
      </c>
      <c r="P23" s="15">
        <v>0.89</v>
      </c>
      <c r="Q23" s="15">
        <v>0.89</v>
      </c>
      <c r="R23" s="15"/>
      <c r="T23" s="15">
        <f>T22/T20</f>
        <v>0.84661091831115776</v>
      </c>
      <c r="U23" s="15">
        <f>U22/U20</f>
        <v>0.86042960967707904</v>
      </c>
      <c r="V23" s="15">
        <f>V22/V20</f>
        <v>0.87339607334090541</v>
      </c>
      <c r="W23" s="5">
        <f>W22/W20</f>
        <v>0.87060800586197395</v>
      </c>
      <c r="X23" s="5">
        <f t="shared" ref="X23:Y23" si="34">X22/X20</f>
        <v>0.88539989223898585</v>
      </c>
      <c r="Y23" s="5">
        <f t="shared" si="34"/>
        <v>0.89</v>
      </c>
      <c r="Z23" s="4">
        <f>Y23</f>
        <v>0.89</v>
      </c>
      <c r="AA23" s="4">
        <f t="shared" ref="AA23:AG23" si="35">Z23</f>
        <v>0.89</v>
      </c>
      <c r="AB23" s="4">
        <f t="shared" si="35"/>
        <v>0.89</v>
      </c>
      <c r="AC23" s="4">
        <f t="shared" si="35"/>
        <v>0.89</v>
      </c>
      <c r="AD23" s="4">
        <f t="shared" si="35"/>
        <v>0.89</v>
      </c>
      <c r="AE23" s="4">
        <f t="shared" si="35"/>
        <v>0.89</v>
      </c>
      <c r="AF23" s="4">
        <f t="shared" si="35"/>
        <v>0.89</v>
      </c>
      <c r="AG23" s="4">
        <f t="shared" si="35"/>
        <v>0.89</v>
      </c>
    </row>
    <row r="24" spans="1:33" x14ac:dyDescent="0.2">
      <c r="A24" t="s">
        <v>12</v>
      </c>
      <c r="B24">
        <v>15581</v>
      </c>
      <c r="C24">
        <v>16271</v>
      </c>
      <c r="D24">
        <v>19875</v>
      </c>
      <c r="E24">
        <f>V24-D24-C24-B24</f>
        <v>21959</v>
      </c>
      <c r="F24">
        <v>26541</v>
      </c>
      <c r="G24">
        <v>33962</v>
      </c>
      <c r="H24">
        <v>33984</v>
      </c>
      <c r="I24" s="7">
        <f>H24*1.02</f>
        <v>34663.68</v>
      </c>
      <c r="J24" s="7">
        <f t="shared" ref="J24:Q24" si="36">I24*1.02</f>
        <v>35356.953600000001</v>
      </c>
      <c r="K24" s="7">
        <f t="shared" si="36"/>
        <v>36064.092671999999</v>
      </c>
      <c r="L24" s="7">
        <f t="shared" si="36"/>
        <v>36785.374525439998</v>
      </c>
      <c r="M24" s="7">
        <f t="shared" si="36"/>
        <v>37521.082015948799</v>
      </c>
      <c r="N24" s="7">
        <f t="shared" si="36"/>
        <v>38271.503656267778</v>
      </c>
      <c r="O24" s="7">
        <f t="shared" si="36"/>
        <v>39036.933729393131</v>
      </c>
      <c r="P24" s="7">
        <f t="shared" si="36"/>
        <v>39817.672403980992</v>
      </c>
      <c r="Q24" s="7">
        <f t="shared" si="36"/>
        <v>40614.025852060615</v>
      </c>
      <c r="T24">
        <v>24637</v>
      </c>
      <c r="U24">
        <v>43480</v>
      </c>
      <c r="V24">
        <v>73686</v>
      </c>
      <c r="W24" s="7">
        <f>SUM(F24:I24)</f>
        <v>129150.68</v>
      </c>
      <c r="X24" s="7">
        <f>SUM(J24:M24)</f>
        <v>145727.5028133888</v>
      </c>
      <c r="Y24" s="7">
        <f>SUM(N24:Q24)</f>
        <v>157740.13564170251</v>
      </c>
      <c r="Z24" s="7">
        <f>Y24*1.02</f>
        <v>160894.93835453657</v>
      </c>
      <c r="AA24" s="7">
        <f t="shared" ref="AA24:AG24" si="37">Z24*1.02</f>
        <v>164112.83712162729</v>
      </c>
      <c r="AB24" s="7">
        <f t="shared" si="37"/>
        <v>167395.09386405983</v>
      </c>
      <c r="AC24" s="7">
        <f t="shared" si="37"/>
        <v>170742.99574134103</v>
      </c>
      <c r="AD24" s="7">
        <f t="shared" si="37"/>
        <v>174157.85565616784</v>
      </c>
      <c r="AE24" s="7">
        <f t="shared" si="37"/>
        <v>177641.01276929121</v>
      </c>
      <c r="AF24" s="7">
        <f t="shared" si="37"/>
        <v>181193.83302467703</v>
      </c>
      <c r="AG24" s="7">
        <f t="shared" si="37"/>
        <v>184817.70968517059</v>
      </c>
    </row>
    <row r="25" spans="1:33" x14ac:dyDescent="0.2">
      <c r="A25" t="s">
        <v>13</v>
      </c>
      <c r="B25">
        <v>63048</v>
      </c>
      <c r="C25">
        <v>61057</v>
      </c>
      <c r="D25">
        <v>67443</v>
      </c>
      <c r="E25">
        <f>V25-D25-C25-B25</f>
        <v>76535</v>
      </c>
      <c r="F25">
        <v>115973</v>
      </c>
      <c r="G25">
        <v>96740</v>
      </c>
      <c r="H25">
        <v>90970</v>
      </c>
      <c r="I25" s="7">
        <f t="shared" ref="I25:Q25" si="38">H25*1.02</f>
        <v>92789.400000000009</v>
      </c>
      <c r="J25" s="7">
        <f t="shared" si="38"/>
        <v>94645.188000000009</v>
      </c>
      <c r="K25" s="7">
        <f t="shared" si="38"/>
        <v>96538.09176000001</v>
      </c>
      <c r="L25" s="7">
        <f t="shared" si="38"/>
        <v>98468.853595200009</v>
      </c>
      <c r="M25" s="7">
        <f t="shared" si="38"/>
        <v>100438.23066710401</v>
      </c>
      <c r="N25" s="7">
        <f t="shared" si="38"/>
        <v>102446.99528044609</v>
      </c>
      <c r="O25" s="7">
        <f t="shared" si="38"/>
        <v>104495.93518605501</v>
      </c>
      <c r="P25" s="7">
        <f t="shared" si="38"/>
        <v>106585.85388977612</v>
      </c>
      <c r="Q25" s="7">
        <f t="shared" si="38"/>
        <v>108717.57096757164</v>
      </c>
      <c r="T25">
        <v>118534</v>
      </c>
      <c r="U25">
        <v>191353</v>
      </c>
      <c r="V25">
        <v>268083</v>
      </c>
      <c r="W25" s="7">
        <f>SUM(F25:I25)</f>
        <v>396472.4</v>
      </c>
      <c r="X25" s="7">
        <f>SUM(J25:M25)</f>
        <v>390090.36402230401</v>
      </c>
      <c r="Y25" s="7">
        <f>SUM(N25:Q25)</f>
        <v>422246.35532384884</v>
      </c>
      <c r="Z25" s="7">
        <f>Y25*1.02</f>
        <v>430691.28243032581</v>
      </c>
      <c r="AA25" s="7">
        <f t="shared" ref="AA25:AG26" si="39">Z25*1.02</f>
        <v>439305.10807893233</v>
      </c>
      <c r="AB25" s="7">
        <f t="shared" si="39"/>
        <v>448091.21024051099</v>
      </c>
      <c r="AC25" s="7">
        <f t="shared" si="39"/>
        <v>457053.03444532125</v>
      </c>
      <c r="AD25" s="7">
        <f t="shared" si="39"/>
        <v>466194.09513422765</v>
      </c>
      <c r="AE25" s="7">
        <f t="shared" si="39"/>
        <v>475517.97703691223</v>
      </c>
      <c r="AF25" s="7">
        <f t="shared" si="39"/>
        <v>485028.33657765051</v>
      </c>
      <c r="AG25" s="7">
        <f t="shared" si="39"/>
        <v>494728.90330920351</v>
      </c>
    </row>
    <row r="26" spans="1:33" x14ac:dyDescent="0.2">
      <c r="A26" t="s">
        <v>14</v>
      </c>
      <c r="B26">
        <v>10266</v>
      </c>
      <c r="C26">
        <v>11648</v>
      </c>
      <c r="D26">
        <v>14698</v>
      </c>
      <c r="E26">
        <v>16881</v>
      </c>
      <c r="F26">
        <v>18870</v>
      </c>
      <c r="G26">
        <v>22466</v>
      </c>
      <c r="H26">
        <v>22348</v>
      </c>
      <c r="I26" s="7">
        <f t="shared" ref="I26:Q26" si="40">H26*1.02</f>
        <v>22794.959999999999</v>
      </c>
      <c r="J26" s="7">
        <f t="shared" si="40"/>
        <v>23250.859199999999</v>
      </c>
      <c r="K26" s="7">
        <f t="shared" si="40"/>
        <v>23715.876383999999</v>
      </c>
      <c r="L26" s="7">
        <f t="shared" si="40"/>
        <v>24190.193911679999</v>
      </c>
      <c r="M26" s="7">
        <f t="shared" si="40"/>
        <v>24673.997789913599</v>
      </c>
      <c r="N26" s="7">
        <f t="shared" si="40"/>
        <v>25167.477745711873</v>
      </c>
      <c r="O26" s="7">
        <f t="shared" si="40"/>
        <v>25670.827300626112</v>
      </c>
      <c r="P26" s="7">
        <f t="shared" si="40"/>
        <v>26184.243846638634</v>
      </c>
      <c r="Q26" s="7">
        <f t="shared" si="40"/>
        <v>26707.928723571407</v>
      </c>
      <c r="T26">
        <v>15458</v>
      </c>
      <c r="U26">
        <v>54339</v>
      </c>
      <c r="V26">
        <v>53493</v>
      </c>
      <c r="W26" s="7">
        <f>SUM(F26:I26)</f>
        <v>86478.959999999992</v>
      </c>
      <c r="X26" s="7">
        <f>SUM(J26:M26)</f>
        <v>95830.9272855936</v>
      </c>
      <c r="Y26" s="7">
        <f>SUM(N26:Q26)</f>
        <v>103730.47761654801</v>
      </c>
      <c r="Z26" s="7">
        <f>Y26*1.02</f>
        <v>105805.08716887898</v>
      </c>
      <c r="AA26" s="7">
        <f t="shared" si="39"/>
        <v>107921.18891225656</v>
      </c>
      <c r="AB26" s="7">
        <f t="shared" si="39"/>
        <v>110079.6126905017</v>
      </c>
      <c r="AC26" s="7">
        <f t="shared" si="39"/>
        <v>112281.20494431174</v>
      </c>
      <c r="AD26" s="7">
        <f t="shared" si="39"/>
        <v>114526.82904319798</v>
      </c>
      <c r="AE26" s="7">
        <f t="shared" si="39"/>
        <v>116817.36562406195</v>
      </c>
      <c r="AF26" s="7">
        <f t="shared" si="39"/>
        <v>119153.71293654319</v>
      </c>
      <c r="AG26" s="7">
        <f t="shared" si="39"/>
        <v>121536.78719527405</v>
      </c>
    </row>
    <row r="27" spans="1:33" x14ac:dyDescent="0.2">
      <c r="A27" t="s">
        <v>15</v>
      </c>
      <c r="B27">
        <f t="shared" ref="B27:H27" si="41">B24+B25+B26</f>
        <v>88895</v>
      </c>
      <c r="C27">
        <f t="shared" si="41"/>
        <v>88976</v>
      </c>
      <c r="D27">
        <f t="shared" si="41"/>
        <v>102016</v>
      </c>
      <c r="E27">
        <f t="shared" si="41"/>
        <v>115375</v>
      </c>
      <c r="F27">
        <f t="shared" si="41"/>
        <v>161384</v>
      </c>
      <c r="G27">
        <f t="shared" si="41"/>
        <v>153168</v>
      </c>
      <c r="H27" s="7">
        <f t="shared" si="41"/>
        <v>147302</v>
      </c>
      <c r="I27" s="7">
        <f t="shared" ref="I27" si="42">I24+I25+I26</f>
        <v>150248.04</v>
      </c>
      <c r="J27" s="7">
        <f t="shared" ref="J27" si="43">J24+J25+J26</f>
        <v>153253.00080000001</v>
      </c>
      <c r="K27" s="7">
        <f t="shared" ref="K27" si="44">K24+K25+K26</f>
        <v>156318.06081600001</v>
      </c>
      <c r="L27" s="7">
        <f t="shared" ref="L27" si="45">L24+L25+L26</f>
        <v>159444.42203232</v>
      </c>
      <c r="M27" s="7">
        <f t="shared" ref="M27" si="46">M24+M25+M26</f>
        <v>162633.3104729664</v>
      </c>
      <c r="N27" s="7">
        <f t="shared" ref="N27" si="47">N24+N25+N26</f>
        <v>165885.97668242574</v>
      </c>
      <c r="O27" s="7">
        <f t="shared" ref="O27" si="48">O24+O25+O26</f>
        <v>169203.69621607426</v>
      </c>
      <c r="P27" s="7">
        <f t="shared" ref="P27" si="49">P24+P25+P26</f>
        <v>172587.77014039573</v>
      </c>
      <c r="Q27" s="7">
        <f t="shared" ref="Q27" si="50">Q24+Q25+Q26</f>
        <v>176039.52554320366</v>
      </c>
      <c r="T27">
        <f>T24+T25+T26</f>
        <v>158629</v>
      </c>
      <c r="U27">
        <f>U24+U25+U26</f>
        <v>289172</v>
      </c>
      <c r="V27" s="7">
        <f>V24+V25+V26</f>
        <v>395262</v>
      </c>
      <c r="W27" s="7">
        <f t="shared" ref="W27:Y27" si="51">W24+W25+W26</f>
        <v>612102.04</v>
      </c>
      <c r="X27" s="7">
        <f t="shared" si="51"/>
        <v>631648.79412128637</v>
      </c>
      <c r="Y27" s="7">
        <f t="shared" si="51"/>
        <v>683716.9685820993</v>
      </c>
      <c r="Z27" s="7">
        <f t="shared" ref="Z27" si="52">Z24+Z25+Z26</f>
        <v>697391.3079537414</v>
      </c>
      <c r="AA27" s="7">
        <f t="shared" ref="AA27" si="53">AA24+AA25+AA26</f>
        <v>711339.1341128163</v>
      </c>
      <c r="AB27" s="7">
        <f t="shared" ref="AB27" si="54">AB24+AB25+AB26</f>
        <v>725565.9167950725</v>
      </c>
      <c r="AC27" s="7">
        <f t="shared" ref="AC27" si="55">AC24+AC25+AC26</f>
        <v>740077.23513097398</v>
      </c>
      <c r="AD27" s="7">
        <f t="shared" ref="AD27" si="56">AD24+AD25+AD26</f>
        <v>754878.77983359352</v>
      </c>
      <c r="AE27" s="7">
        <f t="shared" ref="AE27" si="57">AE24+AE25+AE26</f>
        <v>769976.35543026531</v>
      </c>
      <c r="AF27" s="7">
        <f t="shared" ref="AF27" si="58">AF24+AF25+AF26</f>
        <v>785375.88253887068</v>
      </c>
      <c r="AG27" s="7">
        <f t="shared" ref="AG27" si="59">AG24+AG25+AG26</f>
        <v>801083.40018964815</v>
      </c>
    </row>
    <row r="28" spans="1:33" s="1" customFormat="1" x14ac:dyDescent="0.2">
      <c r="A28" s="1" t="s">
        <v>16</v>
      </c>
      <c r="B28" s="1">
        <f t="shared" ref="B28:H28" si="60">B22-B27</f>
        <v>-37847</v>
      </c>
      <c r="C28" s="1">
        <f t="shared" si="60"/>
        <v>-27469</v>
      </c>
      <c r="D28" s="1">
        <f t="shared" si="60"/>
        <v>-29211</v>
      </c>
      <c r="E28" s="1">
        <f t="shared" si="60"/>
        <v>-31598</v>
      </c>
      <c r="F28" s="1">
        <f t="shared" si="60"/>
        <v>-67496</v>
      </c>
      <c r="G28" s="1">
        <f t="shared" si="60"/>
        <v>-46180</v>
      </c>
      <c r="H28" s="12">
        <f t="shared" si="60"/>
        <v>-28239</v>
      </c>
      <c r="I28" s="12">
        <f t="shared" ref="I28" si="61">I22-I27</f>
        <v>-18193.629599999986</v>
      </c>
      <c r="J28" s="12">
        <f t="shared" ref="J28" si="62">J22-J27</f>
        <v>-6898.1005920000025</v>
      </c>
      <c r="K28" s="12">
        <f t="shared" ref="K28" si="63">K22-K27</f>
        <v>6745.8567561600066</v>
      </c>
      <c r="L28" s="12">
        <f t="shared" ref="L28" si="64">L22-L27</f>
        <v>20199.116455869604</v>
      </c>
      <c r="M28" s="12">
        <f t="shared" ref="M28" si="65">M22-M27</f>
        <v>25065.623309987015</v>
      </c>
      <c r="N28" s="12">
        <f t="shared" ref="N28" si="66">N22-N27</f>
        <v>39127.614796186739</v>
      </c>
      <c r="O28" s="12">
        <f t="shared" ref="O28" si="67">O22-O27</f>
        <v>55939.478984110465</v>
      </c>
      <c r="P28" s="12">
        <f t="shared" ref="P28" si="68">P22-P27</f>
        <v>70200.794611792691</v>
      </c>
      <c r="Q28" s="12">
        <f t="shared" ref="Q28" si="69">Q22-Q27</f>
        <v>76736.713707778516</v>
      </c>
      <c r="T28" s="1">
        <f>T22-T27</f>
        <v>-92518</v>
      </c>
      <c r="U28" s="1">
        <f>U22-U27</f>
        <v>-150537</v>
      </c>
      <c r="V28" s="12">
        <f>V22-V27</f>
        <v>-126125</v>
      </c>
      <c r="W28" s="12">
        <f t="shared" ref="W28:Y28" si="70">W22-W27</f>
        <v>-160108.62959999999</v>
      </c>
      <c r="X28" s="12">
        <f t="shared" si="70"/>
        <v>45112.495930016739</v>
      </c>
      <c r="Y28" s="12">
        <f t="shared" si="70"/>
        <v>242004.60209986847</v>
      </c>
      <c r="Z28" s="12">
        <f t="shared" ref="Z28" si="71">Z22-Z27</f>
        <v>388069.62220945861</v>
      </c>
      <c r="AA28" s="12">
        <f t="shared" ref="AA28" si="72">AA22-AA27</f>
        <v>533795.14152273349</v>
      </c>
      <c r="AB28" s="12">
        <f t="shared" ref="AB28" si="73">AB22-AB27</f>
        <v>702783.75290690281</v>
      </c>
      <c r="AC28" s="12">
        <f t="shared" ref="AC28" si="74">AC22-AC27</f>
        <v>895311.5017275865</v>
      </c>
      <c r="AD28" s="12">
        <f t="shared" ref="AD28" si="75">AD22-AD27</f>
        <v>1114630.451496338</v>
      </c>
      <c r="AE28" s="12">
        <f t="shared" ref="AE28" si="76">AE22-AE27</f>
        <v>1324236.7589877024</v>
      </c>
      <c r="AF28" s="12">
        <f t="shared" ref="AF28" si="77">AF22-AF27</f>
        <v>1518258.543320894</v>
      </c>
      <c r="AG28" s="12">
        <f t="shared" ref="AG28" si="78">AG22-AG27</f>
        <v>1732914.4682560933</v>
      </c>
    </row>
    <row r="29" spans="1:33" x14ac:dyDescent="0.2">
      <c r="A29" t="s">
        <v>17</v>
      </c>
      <c r="B29">
        <v>-406</v>
      </c>
      <c r="C29">
        <v>-359</v>
      </c>
      <c r="D29">
        <v>-220</v>
      </c>
      <c r="E29">
        <v>147</v>
      </c>
      <c r="F29">
        <v>1993</v>
      </c>
      <c r="G29">
        <v>2452</v>
      </c>
      <c r="H29">
        <v>6972</v>
      </c>
      <c r="I29" s="7">
        <f>AVERAGE(G29:H29)*0.5</f>
        <v>2356</v>
      </c>
      <c r="J29" s="7">
        <f t="shared" ref="J29:K29" si="79">AVERAGE(H29:I29)*0.5</f>
        <v>2332</v>
      </c>
      <c r="K29" s="7">
        <f t="shared" si="79"/>
        <v>1172</v>
      </c>
      <c r="L29" s="7">
        <f>AVERAGE(J29:K29)</f>
        <v>1752</v>
      </c>
      <c r="M29" s="7">
        <f t="shared" ref="M29:Q29" si="80">AVERAGE(K29:L29)</f>
        <v>1462</v>
      </c>
      <c r="N29" s="7">
        <f t="shared" si="80"/>
        <v>1607</v>
      </c>
      <c r="O29" s="7">
        <f t="shared" si="80"/>
        <v>1534.5</v>
      </c>
      <c r="P29" s="7">
        <f t="shared" si="80"/>
        <v>1570.75</v>
      </c>
      <c r="Q29" s="7">
        <f t="shared" si="80"/>
        <v>1552.625</v>
      </c>
      <c r="T29">
        <f>2359+769</f>
        <v>3128</v>
      </c>
      <c r="U29">
        <f>1537-1011</f>
        <v>526</v>
      </c>
      <c r="V29">
        <f>875-1713</f>
        <v>-838</v>
      </c>
      <c r="W29" s="7">
        <f>SUM(F29:I29)</f>
        <v>13773</v>
      </c>
      <c r="X29" s="7">
        <f>SUM(J29:M29)</f>
        <v>6718</v>
      </c>
      <c r="Y29" s="7">
        <f>SUM(N29:Q29)</f>
        <v>6264.875</v>
      </c>
      <c r="Z29" s="7">
        <f>Y29*1.02</f>
        <v>6390.1724999999997</v>
      </c>
      <c r="AA29" s="7">
        <f t="shared" ref="AA29:AG29" si="81">Z29*1.02</f>
        <v>6517.97595</v>
      </c>
      <c r="AB29" s="7">
        <f t="shared" si="81"/>
        <v>6648.3354690000006</v>
      </c>
      <c r="AC29" s="7">
        <f t="shared" si="81"/>
        <v>6781.3021783800004</v>
      </c>
      <c r="AD29" s="7">
        <f t="shared" si="81"/>
        <v>6916.9282219476008</v>
      </c>
      <c r="AE29" s="7">
        <f t="shared" si="81"/>
        <v>7055.2667863865527</v>
      </c>
      <c r="AF29" s="7">
        <f t="shared" si="81"/>
        <v>7196.3721221142841</v>
      </c>
      <c r="AG29" s="7">
        <f t="shared" si="81"/>
        <v>7340.2995645565697</v>
      </c>
    </row>
    <row r="30" spans="1:33" s="1" customFormat="1" x14ac:dyDescent="0.2">
      <c r="A30" s="1" t="s">
        <v>18</v>
      </c>
      <c r="B30" s="1">
        <f>B28+B29</f>
        <v>-38253</v>
      </c>
      <c r="C30" s="1">
        <f t="shared" ref="C30:U30" si="82">C28+C29</f>
        <v>-27828</v>
      </c>
      <c r="D30" s="1">
        <f t="shared" si="82"/>
        <v>-29431</v>
      </c>
      <c r="E30" s="1">
        <f t="shared" si="82"/>
        <v>-31451</v>
      </c>
      <c r="F30" s="1">
        <f t="shared" si="82"/>
        <v>-65503</v>
      </c>
      <c r="G30" s="1">
        <f t="shared" si="82"/>
        <v>-43728</v>
      </c>
      <c r="H30" s="12">
        <f t="shared" si="82"/>
        <v>-21267</v>
      </c>
      <c r="I30" s="12">
        <f t="shared" si="82"/>
        <v>-15837.629599999986</v>
      </c>
      <c r="J30" s="12">
        <f t="shared" si="82"/>
        <v>-4566.1005920000025</v>
      </c>
      <c r="K30" s="12">
        <f t="shared" si="82"/>
        <v>7917.8567561600066</v>
      </c>
      <c r="L30" s="12">
        <f t="shared" si="82"/>
        <v>21951.116455869604</v>
      </c>
      <c r="M30" s="12">
        <f t="shared" si="82"/>
        <v>26527.623309987015</v>
      </c>
      <c r="N30" s="12">
        <f t="shared" si="82"/>
        <v>40734.614796186739</v>
      </c>
      <c r="O30" s="12">
        <f t="shared" si="82"/>
        <v>57473.978984110465</v>
      </c>
      <c r="P30" s="12">
        <f t="shared" si="82"/>
        <v>71771.544611792691</v>
      </c>
      <c r="Q30" s="12">
        <f t="shared" si="82"/>
        <v>78289.338707778516</v>
      </c>
      <c r="T30" s="1">
        <f t="shared" si="82"/>
        <v>-89390</v>
      </c>
      <c r="U30" s="1">
        <f t="shared" si="82"/>
        <v>-150011</v>
      </c>
      <c r="V30" s="12">
        <f>V28+V29</f>
        <v>-126963</v>
      </c>
      <c r="W30" s="12">
        <f>W28+W29</f>
        <v>-146335.62959999999</v>
      </c>
      <c r="X30" s="12">
        <f>X28+X29</f>
        <v>51830.495930016739</v>
      </c>
      <c r="Y30" s="12">
        <f>Y28+Y29</f>
        <v>248269.47709986847</v>
      </c>
      <c r="Z30" s="12">
        <f t="shared" ref="Z30:AG30" si="83">Z28+Z29</f>
        <v>394459.7947094586</v>
      </c>
      <c r="AA30" s="12">
        <f t="shared" si="83"/>
        <v>540313.11747273349</v>
      </c>
      <c r="AB30" s="12">
        <f t="shared" si="83"/>
        <v>709432.08837590285</v>
      </c>
      <c r="AC30" s="12">
        <f t="shared" si="83"/>
        <v>902092.80390596646</v>
      </c>
      <c r="AD30" s="12">
        <f t="shared" si="83"/>
        <v>1121547.3797182855</v>
      </c>
      <c r="AE30" s="12">
        <f t="shared" si="83"/>
        <v>1331292.0257740889</v>
      </c>
      <c r="AF30" s="12">
        <f t="shared" si="83"/>
        <v>1525454.9154430083</v>
      </c>
      <c r="AG30" s="12">
        <f t="shared" si="83"/>
        <v>1740254.76782065</v>
      </c>
    </row>
    <row r="31" spans="1:33" x14ac:dyDescent="0.2">
      <c r="A31" t="s">
        <v>35</v>
      </c>
      <c r="B31">
        <v>-699</v>
      </c>
      <c r="C31">
        <v>-1063</v>
      </c>
      <c r="D31">
        <v>585</v>
      </c>
      <c r="E31">
        <f>V31-D31-C31-B31</f>
        <v>-1154</v>
      </c>
      <c r="F31">
        <v>-1175</v>
      </c>
      <c r="G31">
        <v>-1943</v>
      </c>
      <c r="H31">
        <v>-1763</v>
      </c>
      <c r="I31" s="7">
        <f>0.03*I30</f>
        <v>-475.12888799999956</v>
      </c>
      <c r="J31" s="7">
        <f>-0.15*J30</f>
        <v>684.91508880000038</v>
      </c>
      <c r="K31" s="7">
        <f t="shared" ref="K31:Q31" si="84">-0.15*K30</f>
        <v>-1187.678513424001</v>
      </c>
      <c r="L31" s="7">
        <f t="shared" si="84"/>
        <v>-3292.6674683804404</v>
      </c>
      <c r="M31" s="7">
        <f t="shared" si="84"/>
        <v>-3979.1434964980522</v>
      </c>
      <c r="N31" s="7">
        <f t="shared" si="84"/>
        <v>-6110.1922194280105</v>
      </c>
      <c r="O31" s="7">
        <f t="shared" si="84"/>
        <v>-8621.096847616569</v>
      </c>
      <c r="P31" s="7">
        <f t="shared" si="84"/>
        <v>-10765.731691768904</v>
      </c>
      <c r="Q31" s="7">
        <f t="shared" si="84"/>
        <v>-11743.400806166777</v>
      </c>
      <c r="T31">
        <v>-683</v>
      </c>
      <c r="U31">
        <v>-2192</v>
      </c>
      <c r="V31">
        <v>-2331</v>
      </c>
      <c r="W31" s="7">
        <f>SUM(F31:I31)</f>
        <v>-5356.1288879999993</v>
      </c>
      <c r="X31" s="7">
        <f>SUM(J31:M31)</f>
        <v>-7774.5743895024934</v>
      </c>
      <c r="Y31" s="7">
        <f>SUM(N31:Q31)</f>
        <v>-37240.421564980265</v>
      </c>
      <c r="Z31" s="7">
        <f>-0.2*Z30</f>
        <v>-78891.958941891731</v>
      </c>
      <c r="AA31" s="7">
        <f t="shared" ref="AA31:AG31" si="85">-0.2*AA30</f>
        <v>-108062.6234945467</v>
      </c>
      <c r="AB31" s="7">
        <f t="shared" si="85"/>
        <v>-141886.41767518056</v>
      </c>
      <c r="AC31" s="7">
        <f t="shared" si="85"/>
        <v>-180418.56078119332</v>
      </c>
      <c r="AD31" s="7">
        <f t="shared" si="85"/>
        <v>-224309.4759436571</v>
      </c>
      <c r="AE31" s="7">
        <f t="shared" si="85"/>
        <v>-266258.4051548178</v>
      </c>
      <c r="AF31" s="7">
        <f t="shared" si="85"/>
        <v>-305090.98308860167</v>
      </c>
      <c r="AG31" s="7">
        <f t="shared" si="85"/>
        <v>-348050.95356413</v>
      </c>
    </row>
    <row r="32" spans="1:33" s="1" customFormat="1" x14ac:dyDescent="0.2">
      <c r="A32" s="1" t="s">
        <v>19</v>
      </c>
      <c r="B32" s="1">
        <f t="shared" ref="B32:H32" si="86">B30+B31</f>
        <v>-38952</v>
      </c>
      <c r="C32" s="1">
        <f t="shared" si="86"/>
        <v>-28891</v>
      </c>
      <c r="D32" s="1">
        <f t="shared" si="86"/>
        <v>-28846</v>
      </c>
      <c r="E32" s="1">
        <f t="shared" si="86"/>
        <v>-32605</v>
      </c>
      <c r="F32" s="1">
        <f t="shared" si="86"/>
        <v>-66678</v>
      </c>
      <c r="G32" s="1">
        <f t="shared" si="86"/>
        <v>-45671</v>
      </c>
      <c r="H32" s="12">
        <f t="shared" si="86"/>
        <v>-23030</v>
      </c>
      <c r="I32" s="12">
        <f t="shared" ref="I32:Q32" si="87">I30+I31</f>
        <v>-16312.758487999985</v>
      </c>
      <c r="J32" s="12">
        <f t="shared" si="87"/>
        <v>-3881.1855032000021</v>
      </c>
      <c r="K32" s="12">
        <f t="shared" si="87"/>
        <v>6730.1782427360058</v>
      </c>
      <c r="L32" s="12">
        <f t="shared" si="87"/>
        <v>18658.448987489162</v>
      </c>
      <c r="M32" s="12">
        <f t="shared" si="87"/>
        <v>22548.479813488964</v>
      </c>
      <c r="N32" s="12">
        <f t="shared" si="87"/>
        <v>34624.422576758727</v>
      </c>
      <c r="O32" s="12">
        <f t="shared" si="87"/>
        <v>48852.882136493892</v>
      </c>
      <c r="P32" s="12">
        <f t="shared" si="87"/>
        <v>61005.812920023789</v>
      </c>
      <c r="Q32" s="12">
        <f t="shared" si="87"/>
        <v>66545.937901611731</v>
      </c>
      <c r="T32" s="1">
        <f>T30+T31</f>
        <v>-90073</v>
      </c>
      <c r="U32" s="1">
        <f>U30+U31</f>
        <v>-152203</v>
      </c>
      <c r="V32" s="1">
        <f>V30+V31</f>
        <v>-129294</v>
      </c>
      <c r="W32" s="12">
        <f t="shared" ref="W32:Y32" si="88">W30+W31</f>
        <v>-151691.75848799999</v>
      </c>
      <c r="X32" s="12">
        <f t="shared" si="88"/>
        <v>44055.921540514246</v>
      </c>
      <c r="Y32" s="12">
        <f t="shared" si="88"/>
        <v>211029.0555348882</v>
      </c>
      <c r="Z32" s="12">
        <f t="shared" ref="Z32" si="89">Z30+Z31</f>
        <v>315567.83576756687</v>
      </c>
      <c r="AA32" s="12">
        <f t="shared" ref="AA32" si="90">AA30+AA31</f>
        <v>432250.4939781868</v>
      </c>
      <c r="AB32" s="12">
        <f t="shared" ref="AB32" si="91">AB30+AB31</f>
        <v>567545.67070072226</v>
      </c>
      <c r="AC32" s="12">
        <f t="shared" ref="AC32" si="92">AC30+AC31</f>
        <v>721674.24312477314</v>
      </c>
      <c r="AD32" s="12">
        <f t="shared" ref="AD32" si="93">AD30+AD31</f>
        <v>897237.90377462842</v>
      </c>
      <c r="AE32" s="12">
        <f t="shared" ref="AE32" si="94">AE30+AE31</f>
        <v>1065033.6206192712</v>
      </c>
      <c r="AF32" s="12">
        <f t="shared" ref="AF32" si="95">AF30+AF31</f>
        <v>1220363.9323544067</v>
      </c>
      <c r="AG32" s="12">
        <f t="shared" ref="AG32" si="96">AG30+AG31</f>
        <v>1392203.81425652</v>
      </c>
    </row>
    <row r="33" spans="1:33" x14ac:dyDescent="0.2">
      <c r="A33" t="s">
        <v>20</v>
      </c>
      <c r="B33" s="13">
        <v>12.392298</v>
      </c>
      <c r="C33" s="13">
        <f>V33*4-B33-D33-E33</f>
        <v>19.926300000000005</v>
      </c>
      <c r="D33" s="13">
        <v>44.267434000000002</v>
      </c>
      <c r="E33" s="13">
        <v>44.741992000000003</v>
      </c>
      <c r="F33" s="13">
        <v>44.978893999999997</v>
      </c>
      <c r="G33" s="13">
        <v>45.074911999999998</v>
      </c>
      <c r="H33" s="13">
        <v>45.477803999999999</v>
      </c>
      <c r="I33" s="13">
        <f>H33</f>
        <v>45.477803999999999</v>
      </c>
      <c r="J33" s="13">
        <f t="shared" ref="J33:Q33" si="97">I33</f>
        <v>45.477803999999999</v>
      </c>
      <c r="K33" s="13">
        <f t="shared" si="97"/>
        <v>45.477803999999999</v>
      </c>
      <c r="L33" s="13">
        <f t="shared" si="97"/>
        <v>45.477803999999999</v>
      </c>
      <c r="M33" s="13">
        <f t="shared" si="97"/>
        <v>45.477803999999999</v>
      </c>
      <c r="N33" s="13">
        <f t="shared" si="97"/>
        <v>45.477803999999999</v>
      </c>
      <c r="O33" s="13">
        <f t="shared" si="97"/>
        <v>45.477803999999999</v>
      </c>
      <c r="P33" s="13">
        <f t="shared" si="97"/>
        <v>45.477803999999999</v>
      </c>
      <c r="Q33" s="13">
        <f t="shared" si="97"/>
        <v>45.477803999999999</v>
      </c>
      <c r="R33" s="13"/>
      <c r="S33" s="13"/>
      <c r="T33" s="13">
        <v>11.348428</v>
      </c>
      <c r="U33" s="13">
        <v>12.048909</v>
      </c>
      <c r="V33" s="13">
        <v>30.332006</v>
      </c>
      <c r="W33" s="13">
        <f>AVERAGE(F33:I33)</f>
        <v>45.252353499999998</v>
      </c>
      <c r="X33" s="13">
        <f>AVERAGE(J33:M33)</f>
        <v>45.477803999999999</v>
      </c>
      <c r="Y33" s="13">
        <f>AVERAGE(N33:Q33)</f>
        <v>45.477803999999999</v>
      </c>
      <c r="Z33" s="13">
        <f>Y33</f>
        <v>45.477803999999999</v>
      </c>
      <c r="AA33" s="13">
        <f t="shared" ref="AA33:AG33" si="98">Z33</f>
        <v>45.477803999999999</v>
      </c>
      <c r="AB33" s="13">
        <f t="shared" si="98"/>
        <v>45.477803999999999</v>
      </c>
      <c r="AC33" s="13">
        <f t="shared" si="98"/>
        <v>45.477803999999999</v>
      </c>
      <c r="AD33" s="13">
        <f t="shared" si="98"/>
        <v>45.477803999999999</v>
      </c>
      <c r="AE33" s="13">
        <f t="shared" si="98"/>
        <v>45.477803999999999</v>
      </c>
      <c r="AF33" s="13">
        <f t="shared" si="98"/>
        <v>45.477803999999999</v>
      </c>
      <c r="AG33" s="13">
        <f t="shared" si="98"/>
        <v>45.477803999999999</v>
      </c>
    </row>
    <row r="34" spans="1:33" x14ac:dyDescent="0.2">
      <c r="A34" s="1" t="s">
        <v>36</v>
      </c>
      <c r="B34" s="14">
        <f>B32/B33/1000</f>
        <v>-3.1432426818657846</v>
      </c>
      <c r="C34" s="14">
        <f t="shared" ref="C34:Q34" si="99">C32/C33/1000</f>
        <v>-1.4498928551713059</v>
      </c>
      <c r="D34" s="14">
        <f t="shared" si="99"/>
        <v>-0.65163027068612112</v>
      </c>
      <c r="E34" s="14">
        <f t="shared" si="99"/>
        <v>-0.72873375865786216</v>
      </c>
      <c r="F34" s="14">
        <f t="shared" si="99"/>
        <v>-1.4824286253014582</v>
      </c>
      <c r="G34" s="14">
        <f t="shared" si="99"/>
        <v>-1.0132243852189884</v>
      </c>
      <c r="H34" s="14">
        <f t="shared" si="99"/>
        <v>-0.50640088074613276</v>
      </c>
      <c r="I34" s="14">
        <f t="shared" si="99"/>
        <v>-0.35869714571090516</v>
      </c>
      <c r="J34" s="14">
        <f t="shared" si="99"/>
        <v>-8.5342412382093086E-2</v>
      </c>
      <c r="K34" s="14">
        <f t="shared" si="99"/>
        <v>0.14798819755536141</v>
      </c>
      <c r="L34" s="14">
        <f t="shared" si="99"/>
        <v>0.41027594444729926</v>
      </c>
      <c r="M34" s="14">
        <f t="shared" si="99"/>
        <v>0.49581285440891043</v>
      </c>
      <c r="N34" s="14">
        <f t="shared" si="99"/>
        <v>0.76134772419439445</v>
      </c>
      <c r="O34" s="14">
        <f t="shared" si="99"/>
        <v>1.0742137447202571</v>
      </c>
      <c r="P34" s="14">
        <f t="shared" si="99"/>
        <v>1.3414414847300848</v>
      </c>
      <c r="Q34" s="14">
        <f t="shared" si="99"/>
        <v>1.4632619002802276</v>
      </c>
      <c r="T34" s="14">
        <f>T32/T33/1000</f>
        <v>-7.937046434977602</v>
      </c>
      <c r="U34" s="14">
        <f t="shared" ref="U34:Y34" si="100">U32/U33/1000</f>
        <v>-12.632098059666648</v>
      </c>
      <c r="V34" s="14">
        <f t="shared" si="100"/>
        <v>-4.2626260854623332</v>
      </c>
      <c r="W34" s="14">
        <f t="shared" si="100"/>
        <v>-3.3521297071985439</v>
      </c>
      <c r="X34" s="14">
        <f t="shared" si="100"/>
        <v>0.96873458402948054</v>
      </c>
      <c r="Y34" s="14">
        <f t="shared" si="100"/>
        <v>4.6402648539249656</v>
      </c>
      <c r="Z34" s="14">
        <f t="shared" ref="Z34" si="101">Z32/Z33/1000</f>
        <v>6.9389418136277401</v>
      </c>
      <c r="AA34" s="14">
        <f t="shared" ref="AA34" si="102">AA32/AA33/1000</f>
        <v>9.5046474534739378</v>
      </c>
      <c r="AB34" s="14">
        <f t="shared" ref="AB34" si="103">AB32/AB33/1000</f>
        <v>12.479619084085993</v>
      </c>
      <c r="AC34" s="14">
        <f t="shared" ref="AC34" si="104">AC32/AC33/1000</f>
        <v>15.868713518462174</v>
      </c>
      <c r="AD34" s="14">
        <f t="shared" ref="AD34" si="105">AD32/AD33/1000</f>
        <v>19.729138719508718</v>
      </c>
      <c r="AE34" s="14">
        <f t="shared" ref="AE34" si="106">AE32/AE33/1000</f>
        <v>23.418756556918868</v>
      </c>
      <c r="AF34" s="14">
        <f t="shared" ref="AF34" si="107">AF32/AF33/1000</f>
        <v>26.834275734914698</v>
      </c>
      <c r="AG34" s="14">
        <f t="shared" ref="AG34" si="108">AG32/AG33/1000</f>
        <v>30.612819701156198</v>
      </c>
    </row>
    <row r="36" spans="1:33" s="40" customFormat="1" x14ac:dyDescent="0.2">
      <c r="A36" s="39" t="s">
        <v>21</v>
      </c>
    </row>
    <row r="37" spans="1:33" s="9" customFormat="1" x14ac:dyDescent="0.2">
      <c r="A37" s="9" t="s">
        <v>30</v>
      </c>
      <c r="E37" s="11"/>
      <c r="F37" s="11">
        <f>F10/B10-1</f>
        <v>0.83980533134368862</v>
      </c>
      <c r="G37" s="11">
        <f>G10/C10-1</f>
        <v>0.75200736387453082</v>
      </c>
      <c r="H37" s="11">
        <f>H10/D10-1</f>
        <v>0.64895564817268547</v>
      </c>
      <c r="I37" s="11">
        <f t="shared" ref="I37:Q37" si="109">I10/E10-1</f>
        <v>0.57058799518551484</v>
      </c>
      <c r="J37" s="11">
        <f t="shared" si="109"/>
        <v>0.5328754398739135</v>
      </c>
      <c r="K37" s="11">
        <f t="shared" si="109"/>
        <v>0.49776028008858875</v>
      </c>
      <c r="L37" s="11">
        <f t="shared" si="109"/>
        <v>0.47448498066840528</v>
      </c>
      <c r="M37" s="11">
        <f t="shared" si="109"/>
        <v>0.40540521468925728</v>
      </c>
      <c r="N37" s="11">
        <f t="shared" si="109"/>
        <v>0.38505829111810153</v>
      </c>
      <c r="O37" s="11">
        <f t="shared" si="109"/>
        <v>0.36519151457230015</v>
      </c>
      <c r="P37" s="11">
        <f t="shared" si="109"/>
        <v>0.35150179514054836</v>
      </c>
      <c r="Q37" s="11">
        <f t="shared" si="109"/>
        <v>0.34671110888291579</v>
      </c>
      <c r="W37" s="11">
        <f>W10/V10-1</f>
        <v>0.57058799518551484</v>
      </c>
      <c r="X37" s="11">
        <f t="shared" ref="X37:AG37" si="110">X10/W10-1</f>
        <v>0.40540521468925728</v>
      </c>
      <c r="Y37" s="11">
        <f t="shared" si="110"/>
        <v>0.34671110888291579</v>
      </c>
      <c r="Z37" s="11">
        <f t="shared" si="110"/>
        <v>0.14707864429742323</v>
      </c>
      <c r="AA37" s="11">
        <f t="shared" si="110"/>
        <v>0.14712213982857847</v>
      </c>
      <c r="AB37" s="11">
        <f t="shared" si="110"/>
        <v>0.14716509525812804</v>
      </c>
      <c r="AC37" s="11">
        <f t="shared" si="110"/>
        <v>0.14301878523946421</v>
      </c>
      <c r="AD37" s="11">
        <f t="shared" si="110"/>
        <v>0.14328153103364705</v>
      </c>
      <c r="AE37" s="11">
        <f t="shared" si="110"/>
        <v>0.10000000000000009</v>
      </c>
      <c r="AF37" s="11">
        <f t="shared" si="110"/>
        <v>0.10000000000000009</v>
      </c>
      <c r="AG37" s="11">
        <f t="shared" si="110"/>
        <v>0.10000000000000031</v>
      </c>
    </row>
    <row r="38" spans="1:33" s="9" customFormat="1" x14ac:dyDescent="0.2">
      <c r="A38" s="9" t="s">
        <v>31</v>
      </c>
      <c r="B38" s="11"/>
      <c r="C38" s="11">
        <f t="shared" ref="C38:H38" si="111">C10/B10-1</f>
        <v>0.19743267991589231</v>
      </c>
      <c r="D38" s="11">
        <f t="shared" si="111"/>
        <v>0.17564256885930751</v>
      </c>
      <c r="E38" s="11">
        <f t="shared" si="111"/>
        <v>0.15089498662940559</v>
      </c>
      <c r="F38" s="11">
        <f t="shared" si="111"/>
        <v>0.13555916060495066</v>
      </c>
      <c r="G38" s="11">
        <f t="shared" si="111"/>
        <v>0.14028959326064316</v>
      </c>
      <c r="H38" s="11">
        <f t="shared" si="111"/>
        <v>0.10649218383743686</v>
      </c>
      <c r="I38" s="11">
        <f t="shared" ref="I38:Q38" si="112">I10/H10-1</f>
        <v>9.6197979443799264E-2</v>
      </c>
      <c r="J38" s="11">
        <f t="shared" si="112"/>
        <v>0.10829240587030009</v>
      </c>
      <c r="K38" s="11">
        <f t="shared" si="112"/>
        <v>0.11416780265240933</v>
      </c>
      <c r="L38" s="11">
        <f t="shared" si="112"/>
        <v>8.9297217975886634E-2</v>
      </c>
      <c r="M38" s="11">
        <f t="shared" si="112"/>
        <v>4.4840996578863423E-2</v>
      </c>
      <c r="N38" s="11">
        <f t="shared" si="112"/>
        <v>9.22469688383043E-2</v>
      </c>
      <c r="O38" s="11">
        <f t="shared" si="112"/>
        <v>9.8186581564628783E-2</v>
      </c>
      <c r="P38" s="11">
        <f t="shared" si="112"/>
        <v>7.837408145423197E-2</v>
      </c>
      <c r="Q38" s="11">
        <f t="shared" si="112"/>
        <v>4.1137334902852984E-2</v>
      </c>
    </row>
    <row r="39" spans="1:33" s="9" customFormat="1" x14ac:dyDescent="0.2">
      <c r="A39" s="9" t="s">
        <v>32</v>
      </c>
      <c r="G39" s="11">
        <f>G11/C11-1</f>
        <v>0.13636363636363624</v>
      </c>
      <c r="H39" s="11">
        <f>H11/D11-1</f>
        <v>4.3478260869565188E-2</v>
      </c>
      <c r="I39" s="11">
        <f t="shared" ref="I39:Q39" si="113">I11/E11-1</f>
        <v>0</v>
      </c>
      <c r="J39" s="11">
        <f t="shared" si="113"/>
        <v>-4.0000000000000036E-2</v>
      </c>
      <c r="K39" s="11">
        <f t="shared" si="113"/>
        <v>-4.0000000000000036E-2</v>
      </c>
      <c r="L39" s="11">
        <f t="shared" si="113"/>
        <v>0</v>
      </c>
      <c r="M39" s="11">
        <f t="shared" si="113"/>
        <v>-4.1666666666666741E-2</v>
      </c>
      <c r="N39" s="11">
        <f t="shared" si="113"/>
        <v>-4.1666666666666741E-2</v>
      </c>
      <c r="O39" s="11">
        <f t="shared" si="113"/>
        <v>-4.1666666666666741E-2</v>
      </c>
      <c r="P39" s="11">
        <f t="shared" si="113"/>
        <v>-4.1666666666666741E-2</v>
      </c>
      <c r="Q39" s="11">
        <f t="shared" si="113"/>
        <v>0</v>
      </c>
    </row>
    <row r="40" spans="1:33" s="9" customFormat="1" x14ac:dyDescent="0.2">
      <c r="A40" s="9" t="s">
        <v>33</v>
      </c>
      <c r="C40" s="16" t="e">
        <f>C11/B11-1</f>
        <v>#DIV/0!</v>
      </c>
      <c r="D40" s="17">
        <f>D11/C11-1</f>
        <v>4.5454545454545192E-2</v>
      </c>
      <c r="E40" s="17">
        <f>E11/D11-1</f>
        <v>4.3478260869565188E-2</v>
      </c>
      <c r="F40" s="17">
        <f>F11/E11-1</f>
        <v>4.1666666666666741E-2</v>
      </c>
      <c r="G40" s="17">
        <f>G11/F11-1</f>
        <v>0</v>
      </c>
      <c r="H40" s="17">
        <f t="shared" ref="H40:Q40" si="114">H11/G11-1</f>
        <v>-4.0000000000000036E-2</v>
      </c>
      <c r="I40" s="17">
        <f t="shared" si="114"/>
        <v>0</v>
      </c>
      <c r="J40" s="17">
        <f t="shared" si="114"/>
        <v>0</v>
      </c>
      <c r="K40" s="17">
        <f t="shared" si="114"/>
        <v>0</v>
      </c>
      <c r="L40" s="17">
        <f t="shared" si="114"/>
        <v>0</v>
      </c>
      <c r="M40" s="17">
        <f t="shared" si="114"/>
        <v>-4.1666666666666741E-2</v>
      </c>
      <c r="N40" s="17">
        <f t="shared" si="114"/>
        <v>0</v>
      </c>
      <c r="O40" s="17">
        <f t="shared" si="114"/>
        <v>0</v>
      </c>
      <c r="P40" s="17">
        <f t="shared" si="114"/>
        <v>0</v>
      </c>
      <c r="Q40" s="17">
        <f t="shared" si="114"/>
        <v>0</v>
      </c>
    </row>
    <row r="41" spans="1:33" s="9" customFormat="1" x14ac:dyDescent="0.2">
      <c r="A41" s="9" t="s">
        <v>29</v>
      </c>
      <c r="J41" s="11">
        <f>J13/F13-1</f>
        <v>3.8352785923754018E-2</v>
      </c>
      <c r="K41" s="11">
        <f t="shared" ref="K41:Q41" si="115">K13/G13-1</f>
        <v>3.9184364464692978E-2</v>
      </c>
      <c r="L41" s="11">
        <f t="shared" si="115"/>
        <v>8.1476000000002546E-3</v>
      </c>
      <c r="M41" s="11">
        <f t="shared" si="115"/>
        <v>8.2432160000000199E-2</v>
      </c>
      <c r="N41" s="11">
        <f t="shared" si="115"/>
        <v>8.2432160000000199E-2</v>
      </c>
      <c r="O41" s="11">
        <f t="shared" si="115"/>
        <v>8.2432159999999977E-2</v>
      </c>
      <c r="P41" s="11">
        <f t="shared" si="115"/>
        <v>8.2432159999999977E-2</v>
      </c>
      <c r="Q41" s="11">
        <f t="shared" si="115"/>
        <v>8.2432159999999977E-2</v>
      </c>
    </row>
    <row r="42" spans="1:33" s="9" customFormat="1" x14ac:dyDescent="0.2">
      <c r="A42" s="9" t="s">
        <v>34</v>
      </c>
      <c r="G42" s="11">
        <f>G13/F13-1</f>
        <v>1.9183773216031375E-2</v>
      </c>
      <c r="H42" s="11">
        <f t="shared" ref="H42:Q42" si="116">H13/G13-1</f>
        <v>5.1401651656946434E-2</v>
      </c>
      <c r="I42" s="11">
        <f t="shared" si="116"/>
        <v>-4.9999999999999933E-2</v>
      </c>
      <c r="J42" s="11">
        <f t="shared" si="116"/>
        <v>2.0000000000000018E-2</v>
      </c>
      <c r="K42" s="11">
        <f t="shared" si="116"/>
        <v>2.0000000000000018E-2</v>
      </c>
      <c r="L42" s="11">
        <f t="shared" si="116"/>
        <v>2.0000000000000018E-2</v>
      </c>
      <c r="M42" s="11">
        <f t="shared" si="116"/>
        <v>2.0000000000000018E-2</v>
      </c>
      <c r="N42" s="11">
        <f t="shared" si="116"/>
        <v>2.0000000000000018E-2</v>
      </c>
      <c r="O42" s="11">
        <f t="shared" si="116"/>
        <v>2.0000000000000018E-2</v>
      </c>
      <c r="P42" s="11">
        <f t="shared" si="116"/>
        <v>2.0000000000000018E-2</v>
      </c>
      <c r="Q42" s="11">
        <f t="shared" si="116"/>
        <v>2.0000000000000018E-2</v>
      </c>
    </row>
    <row r="43" spans="1:33" s="9" customFormat="1" x14ac:dyDescent="0.2">
      <c r="A43" s="18"/>
    </row>
    <row r="44" spans="1:33" s="9" customFormat="1" x14ac:dyDescent="0.2">
      <c r="A44" s="9" t="s">
        <v>27</v>
      </c>
      <c r="D44" s="11">
        <v>0.18</v>
      </c>
      <c r="E44" s="11">
        <v>0.2</v>
      </c>
      <c r="F44" s="11">
        <v>0.22</v>
      </c>
      <c r="G44" s="11">
        <v>0.24</v>
      </c>
      <c r="H44" s="11">
        <v>0.26</v>
      </c>
      <c r="I44" s="17">
        <v>0.27</v>
      </c>
      <c r="J44" s="17">
        <v>0.27</v>
      </c>
      <c r="K44" s="17">
        <v>0.27</v>
      </c>
      <c r="L44" s="17">
        <v>0.28000000000000003</v>
      </c>
      <c r="M44" s="17">
        <v>0.28000000000000003</v>
      </c>
      <c r="N44" s="17">
        <v>0.28000000000000003</v>
      </c>
      <c r="O44" s="17">
        <v>0.28000000000000003</v>
      </c>
      <c r="P44" s="17">
        <v>0.28000000000000003</v>
      </c>
      <c r="Q44" s="17">
        <v>0.28000000000000003</v>
      </c>
      <c r="Z44" s="17">
        <v>0.28000000000000003</v>
      </c>
      <c r="AA44" s="17">
        <v>0.28000000000000003</v>
      </c>
      <c r="AB44" s="17">
        <v>0.28000000000000003</v>
      </c>
      <c r="AC44" s="17">
        <v>0.28000000000000003</v>
      </c>
      <c r="AD44" s="17">
        <v>0.28000000000000003</v>
      </c>
      <c r="AE44" s="17">
        <v>0.28000000000000003</v>
      </c>
      <c r="AF44" s="17">
        <v>0.28000000000000003</v>
      </c>
      <c r="AG44" s="17">
        <v>0.28000000000000003</v>
      </c>
    </row>
    <row r="45" spans="1:33" s="9" customFormat="1" x14ac:dyDescent="0.2">
      <c r="A45" s="9" t="s">
        <v>26</v>
      </c>
      <c r="D45" s="11">
        <v>0.82</v>
      </c>
      <c r="E45" s="11">
        <v>0.8</v>
      </c>
      <c r="F45" s="11">
        <v>0.78</v>
      </c>
      <c r="G45" s="11">
        <v>0.7599999999999999</v>
      </c>
      <c r="H45" s="11">
        <v>0.7400000000000001</v>
      </c>
      <c r="I45" s="17">
        <f>1-I44</f>
        <v>0.73</v>
      </c>
      <c r="J45" s="17">
        <f t="shared" ref="J45:Q45" si="117">1-J44</f>
        <v>0.73</v>
      </c>
      <c r="K45" s="17">
        <f t="shared" si="117"/>
        <v>0.73</v>
      </c>
      <c r="L45" s="17">
        <f t="shared" si="117"/>
        <v>0.72</v>
      </c>
      <c r="M45" s="17">
        <f t="shared" si="117"/>
        <v>0.72</v>
      </c>
      <c r="N45" s="17">
        <f t="shared" si="117"/>
        <v>0.72</v>
      </c>
      <c r="O45" s="17">
        <f t="shared" si="117"/>
        <v>0.72</v>
      </c>
      <c r="P45" s="17">
        <f t="shared" si="117"/>
        <v>0.72</v>
      </c>
      <c r="Q45" s="17">
        <f t="shared" si="117"/>
        <v>0.72</v>
      </c>
      <c r="Z45" s="17">
        <f t="shared" ref="Z45" si="118">1-Z44</f>
        <v>0.72</v>
      </c>
      <c r="AA45" s="17">
        <f t="shared" ref="AA45" si="119">1-AA44</f>
        <v>0.72</v>
      </c>
      <c r="AB45" s="17">
        <f t="shared" ref="AB45" si="120">1-AB44</f>
        <v>0.72</v>
      </c>
      <c r="AC45" s="17">
        <f t="shared" ref="AC45" si="121">1-AC44</f>
        <v>0.72</v>
      </c>
      <c r="AD45" s="17">
        <f t="shared" ref="AD45" si="122">1-AD44</f>
        <v>0.72</v>
      </c>
      <c r="AE45" s="17">
        <f t="shared" ref="AE45" si="123">1-AE44</f>
        <v>0.72</v>
      </c>
      <c r="AF45" s="17">
        <f t="shared" ref="AF45" si="124">1-AF44</f>
        <v>0.72</v>
      </c>
      <c r="AG45" s="17">
        <f t="shared" ref="AG45" si="125">1-AG44</f>
        <v>0.72</v>
      </c>
    </row>
    <row r="46" spans="1:33" s="9" customFormat="1" x14ac:dyDescent="0.2">
      <c r="D46" s="11"/>
      <c r="E46" s="11"/>
      <c r="F46" s="11"/>
      <c r="G46" s="11"/>
      <c r="H46" s="11"/>
    </row>
    <row r="47" spans="1:33" s="9" customFormat="1" x14ac:dyDescent="0.2">
      <c r="A47" s="9" t="s">
        <v>6</v>
      </c>
      <c r="D47" s="10"/>
      <c r="E47" s="10"/>
      <c r="F47" s="11">
        <f>F10/B10-1</f>
        <v>0.83980533134368862</v>
      </c>
      <c r="G47" s="11">
        <f>G10/C10-1</f>
        <v>0.75200736387453082</v>
      </c>
      <c r="H47" s="11">
        <f>H10/D10-1</f>
        <v>0.64895564817268547</v>
      </c>
      <c r="I47" s="11">
        <f t="shared" ref="I47:Q47" si="126">I10/E10-1</f>
        <v>0.57058799518551484</v>
      </c>
      <c r="J47" s="11">
        <f t="shared" si="126"/>
        <v>0.5328754398739135</v>
      </c>
      <c r="K47" s="11">
        <f t="shared" si="126"/>
        <v>0.49776028008858875</v>
      </c>
      <c r="L47" s="11">
        <f t="shared" si="126"/>
        <v>0.47448498066840528</v>
      </c>
      <c r="M47" s="11">
        <f t="shared" si="126"/>
        <v>0.40540521468925728</v>
      </c>
      <c r="N47" s="11">
        <f t="shared" si="126"/>
        <v>0.38505829111810153</v>
      </c>
      <c r="O47" s="11">
        <f t="shared" si="126"/>
        <v>0.36519151457230015</v>
      </c>
      <c r="P47" s="11">
        <f t="shared" si="126"/>
        <v>0.35150179514054836</v>
      </c>
      <c r="Q47" s="11">
        <f t="shared" si="126"/>
        <v>0.34671110888291579</v>
      </c>
    </row>
    <row r="48" spans="1:33" s="9" customFormat="1" x14ac:dyDescent="0.2">
      <c r="A48" s="9" t="s">
        <v>7</v>
      </c>
      <c r="D48" s="10"/>
      <c r="E48" s="10"/>
      <c r="F48" s="11" t="e">
        <f t="shared" ref="F48:H49" si="127">F17/B17</f>
        <v>#DIV/0!</v>
      </c>
      <c r="G48" s="11" t="e">
        <f t="shared" si="127"/>
        <v>#DIV/0!</v>
      </c>
      <c r="H48" s="11">
        <f t="shared" si="127"/>
        <v>2.3818248251383234</v>
      </c>
      <c r="I48" s="11">
        <f t="shared" ref="I48:Q48" si="128">I17/E17</f>
        <v>2.1202937935004451</v>
      </c>
      <c r="J48" s="11">
        <f t="shared" si="128"/>
        <v>1.8812562216634394</v>
      </c>
      <c r="K48" s="11">
        <f t="shared" si="128"/>
        <v>1.6849803150996625</v>
      </c>
      <c r="L48" s="11">
        <f t="shared" si="128"/>
        <v>1.5879069022582828</v>
      </c>
      <c r="M48" s="11">
        <f t="shared" si="128"/>
        <v>1.4574572596777482</v>
      </c>
      <c r="N48" s="11">
        <f t="shared" si="128"/>
        <v>1.436356746344698</v>
      </c>
      <c r="O48" s="11">
        <f t="shared" si="128"/>
        <v>1.4157541632601629</v>
      </c>
      <c r="P48" s="11">
        <f t="shared" si="128"/>
        <v>1.3515017951405484</v>
      </c>
      <c r="Q48" s="11">
        <f t="shared" si="128"/>
        <v>1.3467111088829156</v>
      </c>
      <c r="V48" s="11"/>
      <c r="W48" s="11"/>
      <c r="X48" s="11">
        <f t="shared" ref="X48:Y48" si="129">X17/W17-1</f>
        <v>0.62337372013837355</v>
      </c>
      <c r="Y48" s="11">
        <f t="shared" si="129"/>
        <v>0.38353005340558011</v>
      </c>
      <c r="Z48" s="11">
        <f>Z17/Y17-1</f>
        <v>0.17255659211176644</v>
      </c>
      <c r="AA48" s="11">
        <f t="shared" ref="AA48:AG48" si="130">AA17/Z17-1</f>
        <v>0.14710188182299921</v>
      </c>
      <c r="AB48" s="11">
        <f t="shared" si="130"/>
        <v>0.14714508920968195</v>
      </c>
      <c r="AC48" s="11">
        <f t="shared" si="130"/>
        <v>0.14494984774966468</v>
      </c>
      <c r="AD48" s="11">
        <f t="shared" si="130"/>
        <v>0.14315892557820598</v>
      </c>
      <c r="AE48" s="11">
        <f t="shared" si="130"/>
        <v>0.12019404842852088</v>
      </c>
      <c r="AF48" s="11">
        <f t="shared" si="130"/>
        <v>9.9999999999999867E-2</v>
      </c>
      <c r="AG48" s="11">
        <f t="shared" si="130"/>
        <v>0.10000000000000031</v>
      </c>
    </row>
    <row r="49" spans="1:33" s="9" customFormat="1" x14ac:dyDescent="0.2">
      <c r="A49" s="9" t="s">
        <v>8</v>
      </c>
      <c r="D49" s="10"/>
      <c r="E49" s="10"/>
      <c r="F49" s="11" t="e">
        <f t="shared" si="127"/>
        <v>#DIV/0!</v>
      </c>
      <c r="G49" s="11" t="e">
        <f t="shared" si="127"/>
        <v>#DIV/0!</v>
      </c>
      <c r="H49" s="11">
        <f t="shared" si="127"/>
        <v>1.4880819263997407</v>
      </c>
      <c r="I49" s="11">
        <f t="shared" ref="I49:Q49" si="131">I18/E18</f>
        <v>1.4331615456067823</v>
      </c>
      <c r="J49" s="11">
        <f t="shared" si="131"/>
        <v>1.4346141937281498</v>
      </c>
      <c r="K49" s="11">
        <f t="shared" si="131"/>
        <v>1.4386381637693024</v>
      </c>
      <c r="L49" s="11">
        <f t="shared" si="131"/>
        <v>1.4346340352449347</v>
      </c>
      <c r="M49" s="11">
        <f t="shared" si="131"/>
        <v>1.3861530884606372</v>
      </c>
      <c r="N49" s="11">
        <f t="shared" si="131"/>
        <v>1.3660848898699085</v>
      </c>
      <c r="O49" s="11">
        <f t="shared" si="131"/>
        <v>1.3464902609480218</v>
      </c>
      <c r="P49" s="11">
        <f t="shared" si="131"/>
        <v>1.3515017951405484</v>
      </c>
      <c r="Q49" s="11">
        <f t="shared" si="131"/>
        <v>1.3467111088829158</v>
      </c>
      <c r="V49" s="11"/>
      <c r="W49" s="11"/>
      <c r="X49" s="11">
        <f t="shared" ref="X49:Y49" si="132">X18/W18-1</f>
        <v>0.42196125203369328</v>
      </c>
      <c r="Y49" s="11">
        <f t="shared" si="132"/>
        <v>0.35216108929844236</v>
      </c>
      <c r="Z49" s="11">
        <f>Z18/Y18-1</f>
        <v>0.17255659211176666</v>
      </c>
      <c r="AA49" s="11">
        <f t="shared" ref="AA49:AG49" si="133">AA18/Z18-1</f>
        <v>0.14710188182299921</v>
      </c>
      <c r="AB49" s="11">
        <f t="shared" si="133"/>
        <v>0.14714508920968195</v>
      </c>
      <c r="AC49" s="11">
        <f t="shared" si="133"/>
        <v>0.14494984774966468</v>
      </c>
      <c r="AD49" s="11">
        <f t="shared" si="133"/>
        <v>0.14315892557820598</v>
      </c>
      <c r="AE49" s="11">
        <f t="shared" si="133"/>
        <v>0.12019404842852066</v>
      </c>
      <c r="AF49" s="11">
        <f t="shared" si="133"/>
        <v>9.9999999999999867E-2</v>
      </c>
      <c r="AG49" s="11">
        <f t="shared" si="133"/>
        <v>0.10000000000000031</v>
      </c>
    </row>
    <row r="50" spans="1:33" s="9" customFormat="1" x14ac:dyDescent="0.2">
      <c r="D50" s="10"/>
      <c r="E50" s="10"/>
      <c r="F50" s="11"/>
      <c r="G50" s="11"/>
      <c r="H50" s="11"/>
    </row>
    <row r="51" spans="1:33" s="9" customFormat="1" x14ac:dyDescent="0.2">
      <c r="A51" s="9" t="s">
        <v>22</v>
      </c>
      <c r="B51" s="19"/>
      <c r="C51" s="11">
        <f t="shared" ref="C51:H51" si="134">C25/B25-1</f>
        <v>-3.1579114325593238E-2</v>
      </c>
      <c r="D51" s="11">
        <f t="shared" si="134"/>
        <v>0.10459079221055734</v>
      </c>
      <c r="E51" s="11">
        <f t="shared" si="134"/>
        <v>0.13481013596666824</v>
      </c>
      <c r="F51" s="11">
        <f t="shared" si="134"/>
        <v>0.51529365649702741</v>
      </c>
      <c r="G51" s="11">
        <f t="shared" si="134"/>
        <v>-0.16584032490321021</v>
      </c>
      <c r="H51" s="11">
        <f t="shared" si="134"/>
        <v>-5.9644407690717438E-2</v>
      </c>
      <c r="I51" s="11">
        <f t="shared" ref="I51:Q51" si="135">I25/H25-1</f>
        <v>2.0000000000000018E-2</v>
      </c>
      <c r="J51" s="11">
        <f t="shared" si="135"/>
        <v>2.0000000000000018E-2</v>
      </c>
      <c r="K51" s="11">
        <f t="shared" si="135"/>
        <v>2.0000000000000018E-2</v>
      </c>
      <c r="L51" s="11">
        <f t="shared" si="135"/>
        <v>2.0000000000000018E-2</v>
      </c>
      <c r="M51" s="11">
        <f t="shared" si="135"/>
        <v>2.0000000000000018E-2</v>
      </c>
      <c r="N51" s="11">
        <f t="shared" si="135"/>
        <v>2.0000000000000018E-2</v>
      </c>
      <c r="O51" s="11">
        <f t="shared" si="135"/>
        <v>2.0000000000000018E-2</v>
      </c>
      <c r="P51" s="11">
        <f t="shared" si="135"/>
        <v>2.0000000000000018E-2</v>
      </c>
      <c r="Q51" s="11">
        <f t="shared" si="135"/>
        <v>2.0000000000000018E-2</v>
      </c>
    </row>
    <row r="52" spans="1:33" s="9" customFormat="1" x14ac:dyDescent="0.2">
      <c r="A52" s="9" t="s">
        <v>23</v>
      </c>
      <c r="B52" s="11">
        <f t="shared" ref="B52:H52" si="136">B25/B20</f>
        <v>1.0691175473105881</v>
      </c>
      <c r="C52" s="11">
        <f t="shared" si="136"/>
        <v>0.86464632160305888</v>
      </c>
      <c r="D52" s="11">
        <f t="shared" si="136"/>
        <v>0.81239008407815172</v>
      </c>
      <c r="E52" s="11">
        <f t="shared" si="136"/>
        <v>0.80103616097127006</v>
      </c>
      <c r="F52" s="11">
        <f t="shared" si="136"/>
        <v>1.0689051310174476</v>
      </c>
      <c r="G52" s="11">
        <f t="shared" si="136"/>
        <v>0.78193957225302702</v>
      </c>
      <c r="H52" s="11">
        <f t="shared" si="136"/>
        <v>0.66453361384438936</v>
      </c>
      <c r="I52" s="11">
        <f t="shared" ref="I52:Q52" si="137">I25/I20</f>
        <v>0.61834111979042239</v>
      </c>
      <c r="J52" s="11">
        <f t="shared" si="137"/>
        <v>0.56908081192793136</v>
      </c>
      <c r="K52" s="11">
        <f t="shared" si="137"/>
        <v>0.52098294959217983</v>
      </c>
      <c r="L52" s="11">
        <f t="shared" si="137"/>
        <v>0.4878398657544234</v>
      </c>
      <c r="M52" s="11">
        <f t="shared" si="137"/>
        <v>0.47624151875625015</v>
      </c>
      <c r="N52" s="11">
        <f t="shared" si="137"/>
        <v>0.44474039570741786</v>
      </c>
      <c r="O52" s="11">
        <f t="shared" si="137"/>
        <v>0.4130766221667494</v>
      </c>
      <c r="P52" s="11">
        <f t="shared" si="137"/>
        <v>0.39071613631690078</v>
      </c>
      <c r="Q52" s="11">
        <f t="shared" si="137"/>
        <v>0.38278375549794796</v>
      </c>
    </row>
    <row r="56" spans="1:33" x14ac:dyDescent="0.2">
      <c r="D56" s="7"/>
      <c r="E56" s="7"/>
      <c r="F56" s="7"/>
      <c r="G56" s="7"/>
      <c r="H56" s="7"/>
    </row>
    <row r="66" spans="1:1" x14ac:dyDescent="0.2">
      <c r="A66" s="1"/>
    </row>
    <row r="101" spans="1:1" x14ac:dyDescent="0.2">
      <c r="A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2022-11-17T20:31:09Z</dcterms:created>
  <dcterms:modified xsi:type="dcterms:W3CDTF">2022-11-30T01:20:04Z</dcterms:modified>
</cp:coreProperties>
</file>