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esktop/"/>
    </mc:Choice>
  </mc:AlternateContent>
  <xr:revisionPtr revIDLastSave="0" documentId="13_ncr:1_{08F1CFAF-B1E5-E946-AF0D-D27F78197230}" xr6:coauthVersionLast="47" xr6:coauthVersionMax="47" xr10:uidLastSave="{00000000-0000-0000-0000-000000000000}"/>
  <bookViews>
    <workbookView xWindow="-28040" yWindow="-1460" windowWidth="28040" windowHeight="17440" activeTab="7" xr2:uid="{5A812C0B-E8F7-EB48-972C-06D3E0AF6D61}"/>
  </bookViews>
  <sheets>
    <sheet name="Cover" sheetId="6" r:id="rId1"/>
    <sheet name="Legal Disclosure" sheetId="10" r:id="rId2"/>
    <sheet name="Summary" sheetId="7" r:id="rId3"/>
    <sheet name="Revenue Build" sheetId="4" r:id="rId4"/>
    <sheet name="P&amp;L GAAP" sheetId="1" r:id="rId5"/>
    <sheet name="BS" sheetId="3" state="hidden" r:id="rId6"/>
    <sheet name="CFS" sheetId="2" state="hidden" r:id="rId7"/>
    <sheet name="Multiples" sheetId="9" r:id="rId8"/>
    <sheet name="DCF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7" l="1"/>
  <c r="K20" i="7" s="1"/>
  <c r="L15" i="7"/>
  <c r="M15" i="7"/>
  <c r="N15" i="7"/>
  <c r="O15" i="7"/>
  <c r="P15" i="7"/>
  <c r="P20" i="7" s="1"/>
  <c r="Q15" i="7"/>
  <c r="Q20" i="7" s="1"/>
  <c r="R15" i="7"/>
  <c r="R20" i="7" s="1"/>
  <c r="S15" i="7"/>
  <c r="S20" i="7" s="1"/>
  <c r="T15" i="7"/>
  <c r="U15" i="7"/>
  <c r="K16" i="7"/>
  <c r="L16" i="7"/>
  <c r="M16" i="7"/>
  <c r="M21" i="7" s="1"/>
  <c r="N16" i="7"/>
  <c r="N21" i="7" s="1"/>
  <c r="O16" i="7"/>
  <c r="O21" i="7" s="1"/>
  <c r="P16" i="7"/>
  <c r="P21" i="7" s="1"/>
  <c r="Q16" i="7"/>
  <c r="R16" i="7"/>
  <c r="S16" i="7"/>
  <c r="T16" i="7"/>
  <c r="U16" i="7"/>
  <c r="U21" i="7" s="1"/>
  <c r="K17" i="7"/>
  <c r="K22" i="7" s="1"/>
  <c r="L17" i="7"/>
  <c r="L22" i="7" s="1"/>
  <c r="M17" i="7"/>
  <c r="M22" i="7" s="1"/>
  <c r="N17" i="7"/>
  <c r="O17" i="7"/>
  <c r="P17" i="7"/>
  <c r="Q17" i="7"/>
  <c r="R17" i="7"/>
  <c r="R22" i="7" s="1"/>
  <c r="S17" i="7"/>
  <c r="S22" i="7" s="1"/>
  <c r="T17" i="7"/>
  <c r="T22" i="7" s="1"/>
  <c r="U17" i="7"/>
  <c r="U22" i="7" s="1"/>
  <c r="K18" i="7"/>
  <c r="L18" i="7"/>
  <c r="M18" i="7"/>
  <c r="N18" i="7"/>
  <c r="O18" i="7"/>
  <c r="O23" i="7" s="1"/>
  <c r="P18" i="7"/>
  <c r="P23" i="7" s="1"/>
  <c r="Q18" i="7"/>
  <c r="Q23" i="7" s="1"/>
  <c r="R18" i="7"/>
  <c r="R23" i="7" s="1"/>
  <c r="S18" i="7"/>
  <c r="T18" i="7"/>
  <c r="U18" i="7"/>
  <c r="L20" i="7"/>
  <c r="M20" i="7"/>
  <c r="N20" i="7"/>
  <c r="O20" i="7"/>
  <c r="T20" i="7"/>
  <c r="K21" i="7"/>
  <c r="L21" i="7"/>
  <c r="Q21" i="7"/>
  <c r="R21" i="7"/>
  <c r="S21" i="7"/>
  <c r="T21" i="7"/>
  <c r="N22" i="7"/>
  <c r="O22" i="7"/>
  <c r="P22" i="7"/>
  <c r="Q22" i="7"/>
  <c r="K23" i="7"/>
  <c r="L23" i="7"/>
  <c r="M23" i="7"/>
  <c r="N23" i="7"/>
  <c r="S23" i="7"/>
  <c r="T23" i="7"/>
  <c r="U23" i="7"/>
  <c r="K25" i="7"/>
  <c r="L25" i="7"/>
  <c r="L29" i="7" s="1"/>
  <c r="M25" i="7"/>
  <c r="N25" i="7"/>
  <c r="O25" i="7"/>
  <c r="P25" i="7"/>
  <c r="Q25" i="7"/>
  <c r="U29" i="7" s="1"/>
  <c r="R25" i="7"/>
  <c r="R29" i="7" s="1"/>
  <c r="S25" i="7"/>
  <c r="T25" i="7"/>
  <c r="T29" i="7" s="1"/>
  <c r="U25" i="7"/>
  <c r="K26" i="7"/>
  <c r="L26" i="7"/>
  <c r="M26" i="7"/>
  <c r="N26" i="7"/>
  <c r="R30" i="7" s="1"/>
  <c r="O26" i="7"/>
  <c r="O30" i="7" s="1"/>
  <c r="P26" i="7"/>
  <c r="Q26" i="7"/>
  <c r="Q30" i="7" s="1"/>
  <c r="R26" i="7"/>
  <c r="S26" i="7"/>
  <c r="T26" i="7"/>
  <c r="U26" i="7"/>
  <c r="K27" i="7"/>
  <c r="O31" i="7" s="1"/>
  <c r="L27" i="7"/>
  <c r="L31" i="7" s="1"/>
  <c r="M27" i="7"/>
  <c r="N27" i="7"/>
  <c r="N31" i="7" s="1"/>
  <c r="O27" i="7"/>
  <c r="P27" i="7"/>
  <c r="Q27" i="7"/>
  <c r="R27" i="7"/>
  <c r="S27" i="7"/>
  <c r="T27" i="7"/>
  <c r="T31" i="7" s="1"/>
  <c r="U27" i="7"/>
  <c r="K29" i="7"/>
  <c r="M29" i="7"/>
  <c r="N29" i="7"/>
  <c r="O29" i="7"/>
  <c r="P29" i="7"/>
  <c r="Q29" i="7"/>
  <c r="S29" i="7"/>
  <c r="K30" i="7"/>
  <c r="L30" i="7"/>
  <c r="M30" i="7"/>
  <c r="N30" i="7"/>
  <c r="P30" i="7"/>
  <c r="T30" i="7"/>
  <c r="U30" i="7"/>
  <c r="K31" i="7"/>
  <c r="M31" i="7"/>
  <c r="Q31" i="7"/>
  <c r="R31" i="7"/>
  <c r="S31" i="7"/>
  <c r="U31" i="7"/>
  <c r="K33" i="7"/>
  <c r="L33" i="7"/>
  <c r="M33" i="7"/>
  <c r="N33" i="7"/>
  <c r="O33" i="7"/>
  <c r="P33" i="7"/>
  <c r="Q33" i="7"/>
  <c r="R33" i="7"/>
  <c r="S33" i="7"/>
  <c r="T33" i="7"/>
  <c r="U33" i="7"/>
  <c r="K34" i="7"/>
  <c r="L34" i="7"/>
  <c r="M34" i="7"/>
  <c r="N34" i="7"/>
  <c r="O34" i="7"/>
  <c r="P34" i="7"/>
  <c r="Q34" i="7"/>
  <c r="R34" i="7"/>
  <c r="S34" i="7"/>
  <c r="T34" i="7"/>
  <c r="U34" i="7"/>
  <c r="K35" i="7"/>
  <c r="L35" i="7"/>
  <c r="M35" i="7"/>
  <c r="N35" i="7"/>
  <c r="O35" i="7"/>
  <c r="P35" i="7"/>
  <c r="Q35" i="7"/>
  <c r="R35" i="7"/>
  <c r="S35" i="7"/>
  <c r="T35" i="7"/>
  <c r="U35" i="7"/>
  <c r="K37" i="7"/>
  <c r="L37" i="7"/>
  <c r="M37" i="7"/>
  <c r="M39" i="7" s="1"/>
  <c r="N37" i="7"/>
  <c r="N39" i="7" s="1"/>
  <c r="O37" i="7"/>
  <c r="O39" i="7" s="1"/>
  <c r="P37" i="7"/>
  <c r="P39" i="7" s="1"/>
  <c r="Q37" i="7"/>
  <c r="Q39" i="7" s="1"/>
  <c r="R37" i="7"/>
  <c r="S37" i="7"/>
  <c r="T37" i="7"/>
  <c r="U37" i="7"/>
  <c r="U39" i="7" s="1"/>
  <c r="K39" i="7"/>
  <c r="L39" i="7"/>
  <c r="T39" i="7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D43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D42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D40" i="9"/>
  <c r="N10" i="2"/>
  <c r="O10" i="2"/>
  <c r="M10" i="2"/>
  <c r="E11" i="2"/>
  <c r="F11" i="2"/>
  <c r="G11" i="2"/>
  <c r="H11" i="2"/>
  <c r="I11" i="2"/>
  <c r="J11" i="2"/>
  <c r="K11" i="2"/>
  <c r="L11" i="2"/>
  <c r="D11" i="2"/>
  <c r="K27" i="2"/>
  <c r="J27" i="2"/>
  <c r="I27" i="2"/>
  <c r="H27" i="2"/>
  <c r="G27" i="2"/>
  <c r="F27" i="2"/>
  <c r="E27" i="2"/>
  <c r="D27" i="2"/>
  <c r="V8" i="2"/>
  <c r="W8" i="2"/>
  <c r="N8" i="2"/>
  <c r="O8" i="2"/>
  <c r="P8" i="2"/>
  <c r="Q8" i="2"/>
  <c r="R8" i="2"/>
  <c r="S8" i="2"/>
  <c r="T8" i="2"/>
  <c r="U8" i="2"/>
  <c r="M8" i="2"/>
  <c r="W23" i="1"/>
  <c r="R23" i="1"/>
  <c r="S23" i="1"/>
  <c r="T23" i="1"/>
  <c r="U23" i="1"/>
  <c r="V23" i="1"/>
  <c r="O23" i="1"/>
  <c r="P23" i="1"/>
  <c r="Q23" i="1"/>
  <c r="N23" i="1"/>
  <c r="M23" i="1"/>
  <c r="O24" i="1"/>
  <c r="P24" i="1"/>
  <c r="Q24" i="1"/>
  <c r="R24" i="1"/>
  <c r="S24" i="1"/>
  <c r="T24" i="1"/>
  <c r="AB29" i="1"/>
  <c r="AA29" i="1"/>
  <c r="AE32" i="1"/>
  <c r="AD32" i="1"/>
  <c r="AB32" i="1"/>
  <c r="AA32" i="1"/>
  <c r="AB35" i="1"/>
  <c r="AA35" i="1"/>
  <c r="AE38" i="1"/>
  <c r="AB38" i="1"/>
  <c r="AA38" i="1"/>
  <c r="AB41" i="1"/>
  <c r="AA41" i="1"/>
  <c r="AB44" i="1"/>
  <c r="AA45" i="1"/>
  <c r="AB45" i="1"/>
  <c r="O77" i="1"/>
  <c r="P77" i="1"/>
  <c r="Q77" i="1"/>
  <c r="R77" i="1"/>
  <c r="S77" i="1"/>
  <c r="S49" i="9" s="1"/>
  <c r="T77" i="1"/>
  <c r="T49" i="9" s="1"/>
  <c r="U77" i="1"/>
  <c r="U49" i="9" s="1"/>
  <c r="V77" i="1"/>
  <c r="W77" i="1" s="1"/>
  <c r="W49" i="9" s="1"/>
  <c r="N77" i="1"/>
  <c r="T74" i="1"/>
  <c r="U74" i="1"/>
  <c r="V74" i="1" s="1"/>
  <c r="S74" i="1"/>
  <c r="M77" i="1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D49" i="9"/>
  <c r="D46" i="9"/>
  <c r="S39" i="7" l="1"/>
  <c r="R39" i="7"/>
  <c r="U20" i="7"/>
  <c r="P31" i="7"/>
  <c r="S30" i="7"/>
  <c r="V49" i="9"/>
  <c r="W74" i="1"/>
  <c r="W46" i="9" s="1"/>
  <c r="V46" i="9"/>
  <c r="U46" i="9"/>
  <c r="E86" i="1" l="1"/>
  <c r="F86" i="1"/>
  <c r="G86" i="1"/>
  <c r="H86" i="1"/>
  <c r="I86" i="1"/>
  <c r="J86" i="1"/>
  <c r="K86" i="1"/>
  <c r="M16" i="3"/>
  <c r="M14" i="3"/>
  <c r="Z44" i="4"/>
  <c r="Y44" i="4"/>
  <c r="AC40" i="4"/>
  <c r="AB40" i="4"/>
  <c r="AA40" i="4"/>
  <c r="AC36" i="4"/>
  <c r="AB36" i="4"/>
  <c r="AA36" i="4"/>
  <c r="AC32" i="4"/>
  <c r="AB32" i="4"/>
  <c r="AA32" i="4"/>
  <c r="AC28" i="4"/>
  <c r="AB28" i="4"/>
  <c r="AA28" i="4"/>
  <c r="Z8" i="4"/>
  <c r="Y8" i="4"/>
  <c r="AC18" i="4"/>
  <c r="AB18" i="4"/>
  <c r="AA18" i="4"/>
  <c r="AA14" i="4"/>
  <c r="Y14" i="4"/>
  <c r="E25" i="9"/>
  <c r="L25" i="9"/>
  <c r="C19" i="9"/>
  <c r="B19" i="9"/>
  <c r="C9" i="9"/>
  <c r="B9" i="9"/>
  <c r="P7" i="9"/>
  <c r="T7" i="9" s="1"/>
  <c r="O7" i="9"/>
  <c r="S7" i="9" s="1"/>
  <c r="W7" i="9" s="1"/>
  <c r="N7" i="9"/>
  <c r="R7" i="9" s="1"/>
  <c r="V7" i="9" s="1"/>
  <c r="M7" i="9"/>
  <c r="Q7" i="9" s="1"/>
  <c r="U7" i="9" s="1"/>
  <c r="M78" i="1"/>
  <c r="M100" i="1" s="1"/>
  <c r="N78" i="1"/>
  <c r="N100" i="1" s="1"/>
  <c r="O78" i="1"/>
  <c r="O100" i="1" s="1"/>
  <c r="P78" i="1"/>
  <c r="P100" i="1" s="1"/>
  <c r="Q78" i="1"/>
  <c r="Q100" i="1" s="1"/>
  <c r="R78" i="1"/>
  <c r="R100" i="1" s="1"/>
  <c r="S78" i="1"/>
  <c r="S100" i="1" s="1"/>
  <c r="T78" i="1"/>
  <c r="T100" i="1" s="1"/>
  <c r="U78" i="1"/>
  <c r="U100" i="1" s="1"/>
  <c r="V78" i="1"/>
  <c r="V100" i="1" s="1"/>
  <c r="W78" i="1"/>
  <c r="W100" i="1" s="1"/>
  <c r="M75" i="1"/>
  <c r="M101" i="1" s="1"/>
  <c r="N75" i="1"/>
  <c r="N101" i="1" s="1"/>
  <c r="O75" i="1"/>
  <c r="O101" i="1" s="1"/>
  <c r="P75" i="1"/>
  <c r="P101" i="1" s="1"/>
  <c r="Q75" i="1"/>
  <c r="Q101" i="1" s="1"/>
  <c r="R75" i="1"/>
  <c r="R101" i="1" s="1"/>
  <c r="S75" i="1"/>
  <c r="S101" i="1" s="1"/>
  <c r="T75" i="1"/>
  <c r="T101" i="1" s="1"/>
  <c r="U75" i="1"/>
  <c r="U101" i="1" s="1"/>
  <c r="V75" i="1"/>
  <c r="V101" i="1" s="1"/>
  <c r="W75" i="1"/>
  <c r="W101" i="1" s="1"/>
  <c r="O92" i="1"/>
  <c r="P92" i="1"/>
  <c r="Q92" i="1"/>
  <c r="R92" i="1"/>
  <c r="S92" i="1"/>
  <c r="T92" i="1"/>
  <c r="U92" i="1"/>
  <c r="V92" i="1"/>
  <c r="W92" i="1"/>
  <c r="M80" i="1"/>
  <c r="N80" i="1"/>
  <c r="O80" i="1"/>
  <c r="P80" i="1"/>
  <c r="Q80" i="1"/>
  <c r="R80" i="1"/>
  <c r="S80" i="1"/>
  <c r="T80" i="1"/>
  <c r="U80" i="1"/>
  <c r="V80" i="1"/>
  <c r="W80" i="1"/>
  <c r="M83" i="1"/>
  <c r="N83" i="1"/>
  <c r="O83" i="1"/>
  <c r="P83" i="1"/>
  <c r="Q83" i="1"/>
  <c r="R83" i="1"/>
  <c r="S83" i="1"/>
  <c r="T83" i="1"/>
  <c r="U83" i="1"/>
  <c r="V83" i="1"/>
  <c r="W83" i="1"/>
  <c r="M16" i="4"/>
  <c r="N16" i="4"/>
  <c r="Q16" i="4"/>
  <c r="R16" i="4"/>
  <c r="U16" i="4"/>
  <c r="L18" i="4"/>
  <c r="M18" i="4"/>
  <c r="N18" i="4"/>
  <c r="P18" i="4"/>
  <c r="T18" i="4" s="1"/>
  <c r="Q18" i="4"/>
  <c r="R18" i="4"/>
  <c r="L37" i="4"/>
  <c r="K37" i="4"/>
  <c r="N23" i="4"/>
  <c r="L36" i="4"/>
  <c r="P36" i="4" s="1"/>
  <c r="M36" i="4"/>
  <c r="N36" i="4"/>
  <c r="Q36" i="4"/>
  <c r="U36" i="4" s="1"/>
  <c r="W11" i="1" s="1"/>
  <c r="R36" i="4"/>
  <c r="T11" i="1" s="1"/>
  <c r="L32" i="4"/>
  <c r="N10" i="1" s="1"/>
  <c r="M32" i="4"/>
  <c r="O10" i="1" s="1"/>
  <c r="N32" i="4"/>
  <c r="P10" i="1" s="1"/>
  <c r="L28" i="4"/>
  <c r="P28" i="4" s="1"/>
  <c r="M28" i="4"/>
  <c r="Q28" i="4" s="1"/>
  <c r="U28" i="4" s="1"/>
  <c r="N28" i="4"/>
  <c r="R28" i="4" s="1"/>
  <c r="K36" i="4"/>
  <c r="M11" i="1" s="1"/>
  <c r="K32" i="4"/>
  <c r="O32" i="4" s="1"/>
  <c r="S32" i="4" s="1"/>
  <c r="K28" i="4"/>
  <c r="O28" i="4" s="1"/>
  <c r="S28" i="4" s="1"/>
  <c r="K18" i="4"/>
  <c r="K49" i="4" s="1"/>
  <c r="L48" i="4"/>
  <c r="M48" i="4"/>
  <c r="N48" i="4"/>
  <c r="Q48" i="4"/>
  <c r="R48" i="4"/>
  <c r="U48" i="4"/>
  <c r="L49" i="4"/>
  <c r="M49" i="4"/>
  <c r="N49" i="4"/>
  <c r="N22" i="4"/>
  <c r="P9" i="1" s="1"/>
  <c r="L14" i="4"/>
  <c r="L22" i="4" s="1"/>
  <c r="N9" i="1" s="1"/>
  <c r="M14" i="4"/>
  <c r="Q14" i="4" s="1"/>
  <c r="U14" i="4" s="1"/>
  <c r="N14" i="4"/>
  <c r="R14" i="4"/>
  <c r="K14" i="4"/>
  <c r="O14" i="4" s="1"/>
  <c r="O11" i="1"/>
  <c r="P11" i="1"/>
  <c r="L75" i="1"/>
  <c r="L101" i="1" s="1"/>
  <c r="K75" i="1"/>
  <c r="K101" i="1" s="1"/>
  <c r="J75" i="1"/>
  <c r="J101" i="1" s="1"/>
  <c r="I75" i="1"/>
  <c r="I101" i="1" s="1"/>
  <c r="H75" i="1"/>
  <c r="H101" i="1" s="1"/>
  <c r="I78" i="1"/>
  <c r="I100" i="1" s="1"/>
  <c r="J78" i="1"/>
  <c r="J100" i="1" s="1"/>
  <c r="K78" i="1"/>
  <c r="K100" i="1" s="1"/>
  <c r="L78" i="1"/>
  <c r="L100" i="1" s="1"/>
  <c r="H78" i="1"/>
  <c r="H100" i="1" s="1"/>
  <c r="M41" i="7"/>
  <c r="N41" i="7"/>
  <c r="O41" i="7"/>
  <c r="P41" i="7"/>
  <c r="Q41" i="7"/>
  <c r="R41" i="7"/>
  <c r="S41" i="7"/>
  <c r="T41" i="7"/>
  <c r="U41" i="7"/>
  <c r="L42" i="7"/>
  <c r="M42" i="7"/>
  <c r="N42" i="7"/>
  <c r="O42" i="7"/>
  <c r="P42" i="7"/>
  <c r="Q42" i="7"/>
  <c r="R42" i="7"/>
  <c r="S42" i="7"/>
  <c r="T42" i="7"/>
  <c r="U42" i="7"/>
  <c r="K41" i="7"/>
  <c r="L41" i="7"/>
  <c r="K42" i="7"/>
  <c r="E83" i="1"/>
  <c r="F83" i="1"/>
  <c r="G83" i="1"/>
  <c r="H83" i="1"/>
  <c r="I83" i="1"/>
  <c r="J83" i="1"/>
  <c r="K83" i="1"/>
  <c r="L83" i="1"/>
  <c r="E80" i="1"/>
  <c r="F80" i="1"/>
  <c r="G80" i="1"/>
  <c r="H80" i="1"/>
  <c r="I80" i="1"/>
  <c r="J80" i="1"/>
  <c r="K80" i="1"/>
  <c r="L80" i="1"/>
  <c r="L56" i="1"/>
  <c r="L63" i="1" s="1"/>
  <c r="L67" i="1" s="1"/>
  <c r="J37" i="7" s="1"/>
  <c r="K56" i="1"/>
  <c r="K59" i="1" s="1"/>
  <c r="J56" i="1"/>
  <c r="J59" i="1" s="1"/>
  <c r="I56" i="1"/>
  <c r="I59" i="1" s="1"/>
  <c r="H56" i="1"/>
  <c r="H59" i="1" s="1"/>
  <c r="G56" i="1"/>
  <c r="G59" i="1" s="1"/>
  <c r="F56" i="1"/>
  <c r="F63" i="1" s="1"/>
  <c r="F67" i="1" s="1"/>
  <c r="D37" i="7" s="1"/>
  <c r="E56" i="1"/>
  <c r="E63" i="1" s="1"/>
  <c r="E67" i="1" s="1"/>
  <c r="C37" i="7" s="1"/>
  <c r="C34" i="7"/>
  <c r="D34" i="7"/>
  <c r="E34" i="7"/>
  <c r="F34" i="7"/>
  <c r="G34" i="7"/>
  <c r="H34" i="7"/>
  <c r="I34" i="7"/>
  <c r="J34" i="7"/>
  <c r="B34" i="7"/>
  <c r="C26" i="7"/>
  <c r="D26" i="7"/>
  <c r="E26" i="7"/>
  <c r="F26" i="7"/>
  <c r="G26" i="7"/>
  <c r="H26" i="7"/>
  <c r="I26" i="7"/>
  <c r="B26" i="7"/>
  <c r="C16" i="7"/>
  <c r="D16" i="7"/>
  <c r="F16" i="7"/>
  <c r="J21" i="7" s="1"/>
  <c r="G16" i="7"/>
  <c r="H16" i="7"/>
  <c r="I16" i="7"/>
  <c r="J16" i="7"/>
  <c r="C17" i="7"/>
  <c r="D17" i="7"/>
  <c r="E17" i="7"/>
  <c r="F17" i="7"/>
  <c r="F22" i="7" s="1"/>
  <c r="G17" i="7"/>
  <c r="H17" i="7"/>
  <c r="I17" i="7"/>
  <c r="J17" i="7"/>
  <c r="C18" i="7"/>
  <c r="D18" i="7"/>
  <c r="E18" i="7"/>
  <c r="F18" i="7"/>
  <c r="J23" i="7" s="1"/>
  <c r="G18" i="7"/>
  <c r="H18" i="7"/>
  <c r="I18" i="7"/>
  <c r="J18" i="7"/>
  <c r="B18" i="7"/>
  <c r="B17" i="7"/>
  <c r="B16" i="7"/>
  <c r="C15" i="7"/>
  <c r="D15" i="7"/>
  <c r="F15" i="7"/>
  <c r="G15" i="7"/>
  <c r="H15" i="7"/>
  <c r="I15" i="7"/>
  <c r="J15" i="7"/>
  <c r="C42" i="7"/>
  <c r="D42" i="7"/>
  <c r="E42" i="7"/>
  <c r="F42" i="7"/>
  <c r="G42" i="7"/>
  <c r="H42" i="7"/>
  <c r="I42" i="7"/>
  <c r="J42" i="7"/>
  <c r="C41" i="7"/>
  <c r="D41" i="7"/>
  <c r="E41" i="7"/>
  <c r="F41" i="7"/>
  <c r="G41" i="7"/>
  <c r="H41" i="7"/>
  <c r="I41" i="7"/>
  <c r="J41" i="7"/>
  <c r="B41" i="7"/>
  <c r="B42" i="7"/>
  <c r="B15" i="7"/>
  <c r="C92" i="1"/>
  <c r="D92" i="1"/>
  <c r="E92" i="1"/>
  <c r="F92" i="1"/>
  <c r="G92" i="1"/>
  <c r="H92" i="1"/>
  <c r="I92" i="1"/>
  <c r="J92" i="1"/>
  <c r="K92" i="1"/>
  <c r="L92" i="1"/>
  <c r="B92" i="1"/>
  <c r="G47" i="4"/>
  <c r="H47" i="4"/>
  <c r="J47" i="4"/>
  <c r="G48" i="4"/>
  <c r="H48" i="4"/>
  <c r="J48" i="4"/>
  <c r="G49" i="4"/>
  <c r="H49" i="4"/>
  <c r="I49" i="4"/>
  <c r="J49" i="4"/>
  <c r="F47" i="4"/>
  <c r="F48" i="4"/>
  <c r="F49" i="4"/>
  <c r="L27" i="9" l="1"/>
  <c r="L28" i="9" s="1"/>
  <c r="E27" i="9"/>
  <c r="E28" i="9" s="1"/>
  <c r="P14" i="4"/>
  <c r="P22" i="4" s="1"/>
  <c r="AB22" i="4" s="1"/>
  <c r="AA22" i="4"/>
  <c r="F25" i="9"/>
  <c r="M81" i="1"/>
  <c r="T97" i="1"/>
  <c r="M97" i="1"/>
  <c r="V84" i="1"/>
  <c r="T84" i="1"/>
  <c r="N84" i="1"/>
  <c r="M84" i="1"/>
  <c r="O84" i="1"/>
  <c r="W81" i="1"/>
  <c r="R98" i="1"/>
  <c r="V81" i="1"/>
  <c r="Q84" i="1"/>
  <c r="Q81" i="1"/>
  <c r="P84" i="1"/>
  <c r="Q98" i="1"/>
  <c r="O81" i="1"/>
  <c r="N81" i="1"/>
  <c r="U81" i="1"/>
  <c r="E61" i="1"/>
  <c r="W84" i="1"/>
  <c r="S98" i="1"/>
  <c r="U97" i="1"/>
  <c r="S84" i="1"/>
  <c r="P81" i="1"/>
  <c r="W98" i="1"/>
  <c r="O98" i="1"/>
  <c r="R97" i="1"/>
  <c r="U84" i="1"/>
  <c r="T81" i="1"/>
  <c r="V98" i="1"/>
  <c r="N98" i="1"/>
  <c r="Q97" i="1"/>
  <c r="U98" i="1"/>
  <c r="M98" i="1"/>
  <c r="P97" i="1"/>
  <c r="S97" i="1"/>
  <c r="K61" i="1"/>
  <c r="R81" i="1"/>
  <c r="T98" i="1"/>
  <c r="W97" i="1"/>
  <c r="O97" i="1"/>
  <c r="P98" i="1"/>
  <c r="L61" i="1"/>
  <c r="S81" i="1"/>
  <c r="G61" i="1"/>
  <c r="R84" i="1"/>
  <c r="V97" i="1"/>
  <c r="N97" i="1"/>
  <c r="O18" i="4"/>
  <c r="S14" i="4"/>
  <c r="O48" i="4"/>
  <c r="O22" i="4"/>
  <c r="K22" i="4"/>
  <c r="K48" i="4"/>
  <c r="T49" i="4"/>
  <c r="U22" i="4"/>
  <c r="R49" i="4"/>
  <c r="Q49" i="4"/>
  <c r="P49" i="4"/>
  <c r="U18" i="4"/>
  <c r="R22" i="4"/>
  <c r="L23" i="4"/>
  <c r="R32" i="4"/>
  <c r="M40" i="4"/>
  <c r="Q32" i="4"/>
  <c r="P32" i="4"/>
  <c r="T32" i="4" s="1"/>
  <c r="V10" i="1" s="1"/>
  <c r="T36" i="4"/>
  <c r="R11" i="1"/>
  <c r="N11" i="1"/>
  <c r="N13" i="1" s="1"/>
  <c r="N9" i="9" s="1"/>
  <c r="O36" i="4"/>
  <c r="R40" i="4"/>
  <c r="R44" i="4" s="1"/>
  <c r="R20" i="4" s="1"/>
  <c r="S11" i="1"/>
  <c r="Q10" i="1"/>
  <c r="T10" i="1"/>
  <c r="P13" i="1"/>
  <c r="P9" i="9" s="1"/>
  <c r="S10" i="1"/>
  <c r="Q40" i="4"/>
  <c r="N40" i="4"/>
  <c r="R41" i="4" s="1"/>
  <c r="M44" i="4"/>
  <c r="M20" i="4" s="1"/>
  <c r="M50" i="4"/>
  <c r="M41" i="4"/>
  <c r="P40" i="4"/>
  <c r="T28" i="4"/>
  <c r="M10" i="1"/>
  <c r="Q22" i="4"/>
  <c r="M22" i="4"/>
  <c r="F61" i="1"/>
  <c r="I61" i="1"/>
  <c r="H61" i="1"/>
  <c r="J61" i="1"/>
  <c r="L97" i="1"/>
  <c r="K98" i="1"/>
  <c r="J97" i="1"/>
  <c r="K97" i="1"/>
  <c r="L98" i="1"/>
  <c r="J81" i="1"/>
  <c r="J84" i="1"/>
  <c r="K81" i="1"/>
  <c r="J98" i="1"/>
  <c r="L81" i="1"/>
  <c r="G63" i="1"/>
  <c r="G67" i="1" s="1"/>
  <c r="H63" i="1"/>
  <c r="H67" i="1" s="1"/>
  <c r="K84" i="1"/>
  <c r="L84" i="1"/>
  <c r="I63" i="1"/>
  <c r="I67" i="1" s="1"/>
  <c r="J63" i="1"/>
  <c r="J67" i="1" s="1"/>
  <c r="J25" i="9" s="1"/>
  <c r="K63" i="1"/>
  <c r="K67" i="1" s="1"/>
  <c r="K25" i="9" s="1"/>
  <c r="L59" i="1"/>
  <c r="F30" i="7"/>
  <c r="I30" i="7"/>
  <c r="H30" i="7"/>
  <c r="G30" i="7"/>
  <c r="H20" i="7"/>
  <c r="G23" i="7"/>
  <c r="G21" i="7"/>
  <c r="G20" i="7"/>
  <c r="F23" i="7"/>
  <c r="J22" i="7"/>
  <c r="J20" i="7"/>
  <c r="I23" i="7"/>
  <c r="I22" i="7"/>
  <c r="F21" i="7"/>
  <c r="H23" i="7"/>
  <c r="H22" i="7"/>
  <c r="H21" i="7"/>
  <c r="G22" i="7"/>
  <c r="F20" i="7"/>
  <c r="J27" i="9" l="1"/>
  <c r="J28" i="9" s="1"/>
  <c r="K27" i="9"/>
  <c r="K28" i="9" s="1"/>
  <c r="F27" i="9"/>
  <c r="F28" i="9" s="1"/>
  <c r="T14" i="4"/>
  <c r="P48" i="4"/>
  <c r="AB14" i="4"/>
  <c r="E37" i="7"/>
  <c r="G25" i="9"/>
  <c r="G37" i="7"/>
  <c r="I25" i="9"/>
  <c r="D35" i="9" s="1"/>
  <c r="D37" i="9" s="1"/>
  <c r="D38" i="9" s="1"/>
  <c r="L96" i="1"/>
  <c r="H25" i="9"/>
  <c r="N18" i="1"/>
  <c r="N22" i="1" s="1"/>
  <c r="N72" i="1"/>
  <c r="P18" i="1"/>
  <c r="P22" i="1" s="1"/>
  <c r="P14" i="9" s="1"/>
  <c r="P72" i="1"/>
  <c r="O49" i="4"/>
  <c r="S18" i="4"/>
  <c r="M9" i="1"/>
  <c r="M13" i="1" s="1"/>
  <c r="M9" i="9" s="1"/>
  <c r="K23" i="4"/>
  <c r="Q9" i="1"/>
  <c r="O23" i="4"/>
  <c r="S48" i="4"/>
  <c r="O9" i="1"/>
  <c r="O13" i="1" s="1"/>
  <c r="M23" i="4"/>
  <c r="W9" i="1"/>
  <c r="U23" i="4"/>
  <c r="S9" i="1"/>
  <c r="S13" i="1" s="1"/>
  <c r="S9" i="9" s="1"/>
  <c r="Q23" i="4"/>
  <c r="Q44" i="4"/>
  <c r="Q20" i="4" s="1"/>
  <c r="T9" i="1"/>
  <c r="T13" i="1" s="1"/>
  <c r="R23" i="4"/>
  <c r="U49" i="4"/>
  <c r="R9" i="1"/>
  <c r="P23" i="4"/>
  <c r="R50" i="4"/>
  <c r="T40" i="4"/>
  <c r="R10" i="1"/>
  <c r="U32" i="4"/>
  <c r="Q34" i="4"/>
  <c r="P28" i="1"/>
  <c r="M47" i="4"/>
  <c r="M38" i="4"/>
  <c r="M30" i="4"/>
  <c r="M24" i="4"/>
  <c r="Q8" i="4"/>
  <c r="Q24" i="4"/>
  <c r="Q38" i="4"/>
  <c r="Q30" i="4"/>
  <c r="R34" i="4"/>
  <c r="R8" i="4"/>
  <c r="R24" i="4"/>
  <c r="R38" i="4"/>
  <c r="R30" i="4"/>
  <c r="P37" i="1"/>
  <c r="M34" i="4"/>
  <c r="V11" i="1"/>
  <c r="O40" i="4"/>
  <c r="O44" i="4" s="1"/>
  <c r="O16" i="4" s="1"/>
  <c r="S36" i="4"/>
  <c r="Q11" i="1"/>
  <c r="M42" i="4"/>
  <c r="N37" i="1"/>
  <c r="N31" i="1"/>
  <c r="N28" i="1"/>
  <c r="P31" i="1"/>
  <c r="Q47" i="4"/>
  <c r="Q42" i="4"/>
  <c r="Q50" i="4"/>
  <c r="M8" i="4"/>
  <c r="Q41" i="4"/>
  <c r="R42" i="4"/>
  <c r="N44" i="4"/>
  <c r="N20" i="4" s="1"/>
  <c r="N41" i="4"/>
  <c r="N50" i="4"/>
  <c r="P44" i="4"/>
  <c r="H37" i="7"/>
  <c r="H39" i="7" s="1"/>
  <c r="J96" i="1"/>
  <c r="I37" i="7"/>
  <c r="I39" i="7" s="1"/>
  <c r="K96" i="1"/>
  <c r="F37" i="7"/>
  <c r="J39" i="7" s="1"/>
  <c r="H27" i="9" l="1"/>
  <c r="H28" i="9" s="1"/>
  <c r="G30" i="9"/>
  <c r="G32" i="9" s="1"/>
  <c r="G33" i="9" s="1"/>
  <c r="I27" i="9"/>
  <c r="I28" i="9" s="1"/>
  <c r="H30" i="9"/>
  <c r="H32" i="9" s="1"/>
  <c r="H33" i="9" s="1"/>
  <c r="G27" i="9"/>
  <c r="G28" i="9" s="1"/>
  <c r="F30" i="9"/>
  <c r="F32" i="9" s="1"/>
  <c r="F33" i="9" s="1"/>
  <c r="E30" i="9"/>
  <c r="E32" i="9" s="1"/>
  <c r="E33" i="9" s="1"/>
  <c r="D30" i="9"/>
  <c r="D32" i="9" s="1"/>
  <c r="D33" i="9" s="1"/>
  <c r="N14" i="9"/>
  <c r="N24" i="1"/>
  <c r="N92" i="1" s="1"/>
  <c r="P20" i="4"/>
  <c r="AB44" i="4"/>
  <c r="P16" i="4"/>
  <c r="AC14" i="4"/>
  <c r="T48" i="4"/>
  <c r="T22" i="4"/>
  <c r="T28" i="1"/>
  <c r="T9" i="9"/>
  <c r="O37" i="1"/>
  <c r="O9" i="9"/>
  <c r="O31" i="1"/>
  <c r="O28" i="1"/>
  <c r="O15" i="1"/>
  <c r="R13" i="1"/>
  <c r="R31" i="1" s="1"/>
  <c r="P15" i="1"/>
  <c r="N34" i="1"/>
  <c r="N40" i="1" s="1"/>
  <c r="N41" i="1" s="1"/>
  <c r="N93" i="1" s="1"/>
  <c r="T18" i="1"/>
  <c r="T22" i="1" s="1"/>
  <c r="T14" i="9" s="1"/>
  <c r="S90" i="1"/>
  <c r="S72" i="1"/>
  <c r="T14" i="1"/>
  <c r="T90" i="1"/>
  <c r="T72" i="1"/>
  <c r="T37" i="1"/>
  <c r="O18" i="1"/>
  <c r="O22" i="1" s="1"/>
  <c r="O14" i="9" s="1"/>
  <c r="O72" i="1"/>
  <c r="Q13" i="1"/>
  <c r="S49" i="4"/>
  <c r="S22" i="4"/>
  <c r="M18" i="1"/>
  <c r="M22" i="1" s="1"/>
  <c r="M72" i="1"/>
  <c r="N15" i="1"/>
  <c r="M28" i="1"/>
  <c r="M37" i="1"/>
  <c r="AC37" i="1" s="1"/>
  <c r="AC38" i="1" s="1"/>
  <c r="M31" i="1"/>
  <c r="P34" i="1"/>
  <c r="P35" i="1" s="1"/>
  <c r="T31" i="1"/>
  <c r="O38" i="4"/>
  <c r="O20" i="4"/>
  <c r="R10" i="4"/>
  <c r="T41" i="4"/>
  <c r="Q9" i="4"/>
  <c r="T50" i="4"/>
  <c r="N38" i="4"/>
  <c r="N24" i="4"/>
  <c r="N34" i="4"/>
  <c r="N30" i="4"/>
  <c r="S14" i="1"/>
  <c r="M9" i="4"/>
  <c r="W10" i="1"/>
  <c r="W13" i="1" s="1"/>
  <c r="W9" i="9" s="1"/>
  <c r="U40" i="4"/>
  <c r="P34" i="4"/>
  <c r="P24" i="4"/>
  <c r="P30" i="4"/>
  <c r="P38" i="4"/>
  <c r="U11" i="1"/>
  <c r="AE11" i="1" s="1"/>
  <c r="S40" i="4"/>
  <c r="U10" i="1"/>
  <c r="O8" i="4"/>
  <c r="O34" i="4"/>
  <c r="O24" i="4"/>
  <c r="O30" i="4"/>
  <c r="O42" i="4"/>
  <c r="N47" i="4"/>
  <c r="N42" i="4"/>
  <c r="R47" i="4"/>
  <c r="N8" i="4"/>
  <c r="S18" i="1"/>
  <c r="S22" i="1" s="1"/>
  <c r="S14" i="9" s="1"/>
  <c r="S31" i="1"/>
  <c r="S37" i="1"/>
  <c r="T15" i="1"/>
  <c r="S28" i="1"/>
  <c r="P42" i="4"/>
  <c r="P8" i="4"/>
  <c r="N14" i="7"/>
  <c r="R14" i="7" s="1"/>
  <c r="M14" i="7"/>
  <c r="Q14" i="7" s="1"/>
  <c r="U14" i="7" s="1"/>
  <c r="L14" i="7"/>
  <c r="P14" i="7" s="1"/>
  <c r="T14" i="7" s="1"/>
  <c r="K14" i="7"/>
  <c r="O14" i="7" s="1"/>
  <c r="S14" i="7" s="1"/>
  <c r="J37" i="4"/>
  <c r="I37" i="4"/>
  <c r="H37" i="4"/>
  <c r="G37" i="4"/>
  <c r="F37" i="4"/>
  <c r="J33" i="4"/>
  <c r="H33" i="4"/>
  <c r="G33" i="4"/>
  <c r="F33" i="4"/>
  <c r="J29" i="4"/>
  <c r="H29" i="4"/>
  <c r="G29" i="4"/>
  <c r="F29" i="4"/>
  <c r="J19" i="4"/>
  <c r="H19" i="4"/>
  <c r="G19" i="4"/>
  <c r="F19" i="4"/>
  <c r="L15" i="2"/>
  <c r="C11" i="3"/>
  <c r="D11" i="3"/>
  <c r="E11" i="3"/>
  <c r="F11" i="3"/>
  <c r="G11" i="3"/>
  <c r="H11" i="3"/>
  <c r="I11" i="3"/>
  <c r="J11" i="3"/>
  <c r="K11" i="3"/>
  <c r="L11" i="3"/>
  <c r="AE71" i="1"/>
  <c r="AD71" i="1"/>
  <c r="AC71" i="1"/>
  <c r="AB71" i="1"/>
  <c r="AE69" i="1"/>
  <c r="AD69" i="1"/>
  <c r="AC69" i="1"/>
  <c r="AB69" i="1"/>
  <c r="AA69" i="1"/>
  <c r="AB67" i="1"/>
  <c r="AE65" i="1"/>
  <c r="AD65" i="1"/>
  <c r="AC65" i="1"/>
  <c r="AB65" i="1"/>
  <c r="AA65" i="1"/>
  <c r="AB63" i="1"/>
  <c r="AB61" i="1"/>
  <c r="AB58" i="1"/>
  <c r="AA58" i="1"/>
  <c r="AB56" i="1"/>
  <c r="AE54" i="1"/>
  <c r="AD54" i="1"/>
  <c r="AC54" i="1"/>
  <c r="AB54" i="1"/>
  <c r="AA54" i="1"/>
  <c r="AE53" i="1"/>
  <c r="AD53" i="1"/>
  <c r="AC53" i="1"/>
  <c r="AB53" i="1"/>
  <c r="AA53" i="1"/>
  <c r="AB51" i="1"/>
  <c r="AE49" i="1"/>
  <c r="AD49" i="1"/>
  <c r="AC49" i="1"/>
  <c r="AB49" i="1"/>
  <c r="AA49" i="1"/>
  <c r="AE48" i="1"/>
  <c r="AD48" i="1"/>
  <c r="AC48" i="1"/>
  <c r="AB48" i="1"/>
  <c r="AA48" i="1"/>
  <c r="AE47" i="1"/>
  <c r="AD47" i="1"/>
  <c r="AC47" i="1"/>
  <c r="AB47" i="1"/>
  <c r="AA47" i="1"/>
  <c r="AB40" i="1"/>
  <c r="AA40" i="1"/>
  <c r="AB37" i="1"/>
  <c r="AA37" i="1"/>
  <c r="AB31" i="1"/>
  <c r="AA31" i="1"/>
  <c r="AB28" i="1"/>
  <c r="AA28" i="1"/>
  <c r="AE26" i="1"/>
  <c r="AD26" i="1"/>
  <c r="AC26" i="1"/>
  <c r="AB26" i="1"/>
  <c r="AA26" i="1"/>
  <c r="AB18" i="1"/>
  <c r="AA18" i="1"/>
  <c r="AD11" i="1"/>
  <c r="AD10" i="1"/>
  <c r="AD9" i="1"/>
  <c r="C43" i="1"/>
  <c r="B43" i="1"/>
  <c r="C34" i="1"/>
  <c r="D34" i="1"/>
  <c r="E34" i="1"/>
  <c r="F34" i="1"/>
  <c r="G34" i="1"/>
  <c r="H34" i="1"/>
  <c r="I34" i="1"/>
  <c r="J34" i="1"/>
  <c r="K34" i="1"/>
  <c r="L34" i="1"/>
  <c r="L40" i="1" s="1"/>
  <c r="B34" i="1"/>
  <c r="D10" i="1"/>
  <c r="E10" i="1"/>
  <c r="F10" i="1"/>
  <c r="H10" i="1"/>
  <c r="D11" i="1"/>
  <c r="E11" i="1"/>
  <c r="F11" i="1"/>
  <c r="H11" i="1"/>
  <c r="I10" i="1"/>
  <c r="J10" i="1"/>
  <c r="I11" i="1"/>
  <c r="J11" i="1"/>
  <c r="B13" i="1"/>
  <c r="B19" i="1" s="1"/>
  <c r="C13" i="1"/>
  <c r="C41" i="1" s="1"/>
  <c r="C93" i="1" s="1"/>
  <c r="L10" i="1"/>
  <c r="AC10" i="1" s="1"/>
  <c r="L11" i="1"/>
  <c r="AC11" i="1" s="1"/>
  <c r="G15" i="4"/>
  <c r="H15" i="4"/>
  <c r="J15" i="4"/>
  <c r="F15" i="4"/>
  <c r="I36" i="4"/>
  <c r="K11" i="1" s="1"/>
  <c r="I32" i="4"/>
  <c r="I28" i="4"/>
  <c r="I18" i="4"/>
  <c r="I19" i="4" s="1"/>
  <c r="I14" i="4"/>
  <c r="E36" i="4"/>
  <c r="G11" i="1" s="1"/>
  <c r="E32" i="4"/>
  <c r="E28" i="4"/>
  <c r="G10" i="1" s="1"/>
  <c r="E18" i="4"/>
  <c r="Z40" i="4"/>
  <c r="Y40" i="4"/>
  <c r="B40" i="4"/>
  <c r="C40" i="4"/>
  <c r="B22" i="4"/>
  <c r="D9" i="1" s="1"/>
  <c r="C22" i="4"/>
  <c r="E9" i="1" s="1"/>
  <c r="G40" i="4"/>
  <c r="G50" i="4" s="1"/>
  <c r="F40" i="4"/>
  <c r="F50" i="4" s="1"/>
  <c r="D40" i="4"/>
  <c r="D22" i="4"/>
  <c r="F9" i="1" s="1"/>
  <c r="G22" i="4"/>
  <c r="I9" i="1" s="1"/>
  <c r="H22" i="4"/>
  <c r="F22" i="4"/>
  <c r="H9" i="1" s="1"/>
  <c r="J22" i="4"/>
  <c r="L9" i="1" s="1"/>
  <c r="AC9" i="1" s="1"/>
  <c r="H40" i="4"/>
  <c r="J40" i="4"/>
  <c r="J50" i="4" s="1"/>
  <c r="K40" i="4"/>
  <c r="L40" i="4"/>
  <c r="N6" i="4"/>
  <c r="R6" i="4" s="1"/>
  <c r="M6" i="4"/>
  <c r="Q6" i="4" s="1"/>
  <c r="U6" i="4" s="1"/>
  <c r="L6" i="4"/>
  <c r="P6" i="4" s="1"/>
  <c r="T6" i="4" s="1"/>
  <c r="K6" i="4"/>
  <c r="O6" i="4" s="1"/>
  <c r="S6" i="4" s="1"/>
  <c r="P7" i="2"/>
  <c r="T7" i="2" s="1"/>
  <c r="O7" i="2"/>
  <c r="S7" i="2" s="1"/>
  <c r="W7" i="2" s="1"/>
  <c r="N7" i="2"/>
  <c r="R7" i="2" s="1"/>
  <c r="V7" i="2" s="1"/>
  <c r="M7" i="2"/>
  <c r="Q7" i="2" s="1"/>
  <c r="U7" i="2" s="1"/>
  <c r="P7" i="1"/>
  <c r="T7" i="1" s="1"/>
  <c r="O7" i="1"/>
  <c r="S7" i="1" s="1"/>
  <c r="W7" i="1" s="1"/>
  <c r="N7" i="1"/>
  <c r="R7" i="1" s="1"/>
  <c r="V7" i="1" s="1"/>
  <c r="M7" i="1"/>
  <c r="Q7" i="1" s="1"/>
  <c r="U7" i="1" s="1"/>
  <c r="N7" i="3"/>
  <c r="R7" i="3" s="1"/>
  <c r="V7" i="3" s="1"/>
  <c r="O7" i="3"/>
  <c r="S7" i="3" s="1"/>
  <c r="W7" i="3" s="1"/>
  <c r="P7" i="3"/>
  <c r="T7" i="3" s="1"/>
  <c r="M7" i="3"/>
  <c r="Q7" i="3" s="1"/>
  <c r="U7" i="3" s="1"/>
  <c r="L86" i="1" l="1"/>
  <c r="L27" i="2"/>
  <c r="O34" i="1"/>
  <c r="O40" i="1" s="1"/>
  <c r="O41" i="1" s="1"/>
  <c r="O93" i="1" s="1"/>
  <c r="AC31" i="1"/>
  <c r="AC32" i="1" s="1"/>
  <c r="M14" i="9"/>
  <c r="M24" i="1"/>
  <c r="M92" i="1" s="1"/>
  <c r="T34" i="1"/>
  <c r="T35" i="1" s="1"/>
  <c r="AC22" i="4"/>
  <c r="V9" i="1"/>
  <c r="V13" i="1" s="1"/>
  <c r="V9" i="9" s="1"/>
  <c r="T23" i="4"/>
  <c r="AB8" i="4"/>
  <c r="T44" i="4"/>
  <c r="R37" i="1"/>
  <c r="R9" i="9"/>
  <c r="Q90" i="1"/>
  <c r="Q9" i="9"/>
  <c r="R18" i="1"/>
  <c r="R22" i="1" s="1"/>
  <c r="R14" i="9" s="1"/>
  <c r="R90" i="1"/>
  <c r="S15" i="1"/>
  <c r="R14" i="1"/>
  <c r="R28" i="1"/>
  <c r="R34" i="1" s="1"/>
  <c r="R72" i="1"/>
  <c r="N35" i="1"/>
  <c r="P40" i="1"/>
  <c r="P41" i="1" s="1"/>
  <c r="P93" i="1" s="1"/>
  <c r="T40" i="1"/>
  <c r="T41" i="1" s="1"/>
  <c r="T93" i="1" s="1"/>
  <c r="AD13" i="1"/>
  <c r="Q18" i="1"/>
  <c r="Q22" i="1" s="1"/>
  <c r="Q72" i="1"/>
  <c r="N43" i="1"/>
  <c r="V90" i="1"/>
  <c r="Q15" i="1"/>
  <c r="Q28" i="1"/>
  <c r="M34" i="1"/>
  <c r="M35" i="1" s="1"/>
  <c r="Q31" i="1"/>
  <c r="AD31" i="1" s="1"/>
  <c r="R15" i="1"/>
  <c r="W14" i="1"/>
  <c r="W72" i="1"/>
  <c r="W90" i="1"/>
  <c r="Q14" i="1"/>
  <c r="AE10" i="1"/>
  <c r="Q37" i="1"/>
  <c r="AC18" i="1"/>
  <c r="AC28" i="1"/>
  <c r="AC29" i="1" s="1"/>
  <c r="U9" i="1"/>
  <c r="S23" i="4"/>
  <c r="V28" i="1"/>
  <c r="U44" i="4"/>
  <c r="U20" i="4" s="1"/>
  <c r="U41" i="4"/>
  <c r="U50" i="4"/>
  <c r="W18" i="1"/>
  <c r="W22" i="1" s="1"/>
  <c r="W14" i="9" s="1"/>
  <c r="W37" i="1"/>
  <c r="W31" i="1"/>
  <c r="W28" i="1"/>
  <c r="S41" i="4"/>
  <c r="S44" i="4"/>
  <c r="S50" i="4"/>
  <c r="S34" i="1"/>
  <c r="O35" i="1"/>
  <c r="R9" i="4"/>
  <c r="O10" i="4"/>
  <c r="N10" i="4"/>
  <c r="N9" i="4"/>
  <c r="P10" i="4"/>
  <c r="Q10" i="4"/>
  <c r="L41" i="4"/>
  <c r="L50" i="4"/>
  <c r="L44" i="4"/>
  <c r="P50" i="4"/>
  <c r="P41" i="4"/>
  <c r="K41" i="4"/>
  <c r="O41" i="4"/>
  <c r="K50" i="4"/>
  <c r="O50" i="4"/>
  <c r="K44" i="4"/>
  <c r="J26" i="7"/>
  <c r="J30" i="7" s="1"/>
  <c r="H50" i="4"/>
  <c r="J41" i="4"/>
  <c r="G41" i="4"/>
  <c r="I33" i="4"/>
  <c r="F41" i="4"/>
  <c r="G42" i="4"/>
  <c r="F42" i="4"/>
  <c r="J23" i="4"/>
  <c r="J9" i="1"/>
  <c r="J13" i="1" s="1"/>
  <c r="F23" i="4"/>
  <c r="G23" i="4"/>
  <c r="I29" i="4"/>
  <c r="H23" i="4"/>
  <c r="G24" i="4"/>
  <c r="H41" i="4"/>
  <c r="AA34" i="1"/>
  <c r="AA11" i="1"/>
  <c r="AB34" i="1"/>
  <c r="AA10" i="1"/>
  <c r="AB11" i="1"/>
  <c r="K10" i="1"/>
  <c r="AB10" i="1" s="1"/>
  <c r="I22" i="4"/>
  <c r="B35" i="1"/>
  <c r="C35" i="1"/>
  <c r="B45" i="1"/>
  <c r="B94" i="1" s="1"/>
  <c r="C45" i="1"/>
  <c r="C94" i="1" s="1"/>
  <c r="B29" i="1"/>
  <c r="B38" i="1"/>
  <c r="C29" i="1"/>
  <c r="C38" i="1"/>
  <c r="B32" i="1"/>
  <c r="C32" i="1"/>
  <c r="B41" i="1"/>
  <c r="B93" i="1" s="1"/>
  <c r="F13" i="1"/>
  <c r="F9" i="9" s="1"/>
  <c r="C15" i="1"/>
  <c r="E13" i="1"/>
  <c r="D13" i="1"/>
  <c r="D9" i="9" s="1"/>
  <c r="C19" i="1"/>
  <c r="H13" i="1"/>
  <c r="I13" i="1"/>
  <c r="L13" i="1"/>
  <c r="J44" i="4"/>
  <c r="E40" i="4"/>
  <c r="D44" i="4"/>
  <c r="H44" i="4"/>
  <c r="H42" i="4" s="1"/>
  <c r="G44" i="4"/>
  <c r="I40" i="4"/>
  <c r="F44" i="4"/>
  <c r="C44" i="4"/>
  <c r="C42" i="4" s="1"/>
  <c r="B44" i="4"/>
  <c r="N19" i="9" l="1"/>
  <c r="N21" i="9" s="1"/>
  <c r="N22" i="9" s="1"/>
  <c r="N23" i="9" s="1"/>
  <c r="N86" i="1"/>
  <c r="W15" i="1"/>
  <c r="V14" i="1"/>
  <c r="T20" i="4"/>
  <c r="AC44" i="4"/>
  <c r="T47" i="4"/>
  <c r="T8" i="4"/>
  <c r="T42" i="4"/>
  <c r="T34" i="4"/>
  <c r="T16" i="4"/>
  <c r="T38" i="4"/>
  <c r="T30" i="4"/>
  <c r="V37" i="1"/>
  <c r="AD37" i="1"/>
  <c r="AD38" i="1" s="1"/>
  <c r="L20" i="4"/>
  <c r="L16" i="4"/>
  <c r="AA44" i="4"/>
  <c r="V31" i="1"/>
  <c r="V34" i="1" s="1"/>
  <c r="V72" i="1"/>
  <c r="AE9" i="1"/>
  <c r="V18" i="1"/>
  <c r="V22" i="1" s="1"/>
  <c r="V14" i="9" s="1"/>
  <c r="T24" i="4"/>
  <c r="P90" i="1"/>
  <c r="L9" i="9"/>
  <c r="AD22" i="1"/>
  <c r="Q14" i="9"/>
  <c r="M90" i="1"/>
  <c r="I9" i="9"/>
  <c r="N90" i="1"/>
  <c r="J9" i="9"/>
  <c r="H72" i="1"/>
  <c r="H9" i="9"/>
  <c r="E72" i="1"/>
  <c r="E9" i="9"/>
  <c r="R40" i="1"/>
  <c r="R41" i="1" s="1"/>
  <c r="R93" i="1" s="1"/>
  <c r="R35" i="1"/>
  <c r="P43" i="1"/>
  <c r="P86" i="1" s="1"/>
  <c r="AD28" i="1"/>
  <c r="AD29" i="1" s="1"/>
  <c r="U13" i="1"/>
  <c r="AC34" i="1"/>
  <c r="AC35" i="1" s="1"/>
  <c r="T43" i="1"/>
  <c r="O43" i="1"/>
  <c r="Q34" i="1"/>
  <c r="AD34" i="1" s="1"/>
  <c r="AD35" i="1" s="1"/>
  <c r="N51" i="1"/>
  <c r="N56" i="1" s="1"/>
  <c r="N45" i="1"/>
  <c r="N94" i="1" s="1"/>
  <c r="M40" i="1"/>
  <c r="M41" i="1" s="1"/>
  <c r="M93" i="1" s="1"/>
  <c r="S40" i="1"/>
  <c r="AD18" i="1"/>
  <c r="S20" i="4"/>
  <c r="S16" i="4"/>
  <c r="K20" i="4"/>
  <c r="K16" i="4"/>
  <c r="U42" i="4"/>
  <c r="S35" i="1"/>
  <c r="U8" i="4"/>
  <c r="U24" i="4"/>
  <c r="U30" i="4"/>
  <c r="U38" i="4"/>
  <c r="U47" i="4"/>
  <c r="U34" i="4"/>
  <c r="W34" i="1"/>
  <c r="L34" i="4"/>
  <c r="L24" i="4"/>
  <c r="L30" i="4"/>
  <c r="L38" i="4"/>
  <c r="K42" i="4"/>
  <c r="K34" i="4"/>
  <c r="K30" i="4"/>
  <c r="K24" i="4"/>
  <c r="K38" i="4"/>
  <c r="S30" i="4"/>
  <c r="S24" i="4"/>
  <c r="S34" i="4"/>
  <c r="S47" i="4"/>
  <c r="S38" i="4"/>
  <c r="S42" i="4"/>
  <c r="S8" i="4"/>
  <c r="L47" i="4"/>
  <c r="L8" i="4"/>
  <c r="AA8" i="4" s="1"/>
  <c r="P47" i="4"/>
  <c r="L42" i="4"/>
  <c r="O47" i="4"/>
  <c r="K8" i="4"/>
  <c r="K47" i="4"/>
  <c r="I72" i="1"/>
  <c r="M14" i="1"/>
  <c r="L72" i="1"/>
  <c r="P14" i="1"/>
  <c r="M15" i="1"/>
  <c r="J72" i="1"/>
  <c r="N14" i="1"/>
  <c r="F90" i="1"/>
  <c r="F72" i="1"/>
  <c r="AC13" i="1"/>
  <c r="L90" i="1"/>
  <c r="I90" i="1"/>
  <c r="H90" i="1"/>
  <c r="J35" i="1"/>
  <c r="J90" i="1"/>
  <c r="I50" i="4"/>
  <c r="K9" i="1"/>
  <c r="AB9" i="1" s="1"/>
  <c r="H24" i="4"/>
  <c r="J30" i="4"/>
  <c r="J20" i="4"/>
  <c r="J16" i="4"/>
  <c r="J34" i="4"/>
  <c r="J38" i="4"/>
  <c r="J42" i="4"/>
  <c r="J24" i="4"/>
  <c r="H30" i="4"/>
  <c r="H34" i="4"/>
  <c r="H38" i="4"/>
  <c r="H20" i="4"/>
  <c r="H16" i="4"/>
  <c r="D34" i="4"/>
  <c r="D38" i="4"/>
  <c r="D20" i="4"/>
  <c r="D16" i="4"/>
  <c r="D42" i="4"/>
  <c r="D30" i="4"/>
  <c r="B30" i="4"/>
  <c r="B34" i="4"/>
  <c r="B16" i="4"/>
  <c r="B38" i="4"/>
  <c r="B20" i="4"/>
  <c r="B42" i="4"/>
  <c r="D24" i="4"/>
  <c r="C34" i="4"/>
  <c r="C16" i="4"/>
  <c r="C38" i="4"/>
  <c r="C20" i="4"/>
  <c r="C24" i="4"/>
  <c r="C30" i="4"/>
  <c r="F38" i="4"/>
  <c r="F20" i="4"/>
  <c r="F30" i="4"/>
  <c r="F16" i="4"/>
  <c r="F34" i="4"/>
  <c r="I44" i="4"/>
  <c r="I41" i="4"/>
  <c r="I42" i="4"/>
  <c r="B24" i="4"/>
  <c r="G30" i="4"/>
  <c r="G34" i="4"/>
  <c r="G16" i="4"/>
  <c r="G38" i="4"/>
  <c r="G20" i="4"/>
  <c r="F24" i="4"/>
  <c r="F8" i="4"/>
  <c r="C8" i="4"/>
  <c r="G8" i="4"/>
  <c r="H8" i="4"/>
  <c r="D8" i="4"/>
  <c r="B8" i="4"/>
  <c r="J8" i="4"/>
  <c r="E22" i="1"/>
  <c r="E14" i="9" s="1"/>
  <c r="E32" i="1"/>
  <c r="E38" i="1"/>
  <c r="E29" i="1"/>
  <c r="E41" i="1"/>
  <c r="I35" i="1"/>
  <c r="I29" i="1"/>
  <c r="I41" i="1"/>
  <c r="I32" i="1"/>
  <c r="I38" i="1"/>
  <c r="H29" i="1"/>
  <c r="H35" i="1"/>
  <c r="H38" i="1"/>
  <c r="H41" i="1"/>
  <c r="H32" i="1"/>
  <c r="E35" i="1"/>
  <c r="L41" i="1"/>
  <c r="L32" i="1"/>
  <c r="L38" i="1"/>
  <c r="L29" i="1"/>
  <c r="L35" i="1"/>
  <c r="J41" i="1"/>
  <c r="J32" i="1"/>
  <c r="J29" i="1"/>
  <c r="J38" i="1"/>
  <c r="F38" i="1"/>
  <c r="F32" i="1"/>
  <c r="F29" i="1"/>
  <c r="F41" i="1"/>
  <c r="F14" i="1"/>
  <c r="D22" i="1"/>
  <c r="D41" i="1"/>
  <c r="D32" i="1"/>
  <c r="D38" i="1"/>
  <c r="D29" i="1"/>
  <c r="D35" i="1"/>
  <c r="F35" i="1"/>
  <c r="L19" i="1"/>
  <c r="L22" i="1"/>
  <c r="I19" i="1"/>
  <c r="I22" i="1"/>
  <c r="I14" i="9" s="1"/>
  <c r="J19" i="1"/>
  <c r="J22" i="1"/>
  <c r="J14" i="9" s="1"/>
  <c r="F19" i="1"/>
  <c r="F22" i="1"/>
  <c r="F14" i="9" s="1"/>
  <c r="H19" i="1"/>
  <c r="H22" i="1"/>
  <c r="F15" i="1"/>
  <c r="E15" i="1"/>
  <c r="E19" i="1"/>
  <c r="D15" i="1"/>
  <c r="D19" i="1"/>
  <c r="I14" i="1"/>
  <c r="I15" i="1"/>
  <c r="J15" i="1"/>
  <c r="J14" i="1"/>
  <c r="H14" i="1"/>
  <c r="L14" i="1"/>
  <c r="T19" i="9" l="1"/>
  <c r="T21" i="9" s="1"/>
  <c r="T22" i="9" s="1"/>
  <c r="T23" i="9" s="1"/>
  <c r="T86" i="1"/>
  <c r="O19" i="9"/>
  <c r="O21" i="9" s="1"/>
  <c r="O22" i="9" s="1"/>
  <c r="O23" i="9" s="1"/>
  <c r="O86" i="1"/>
  <c r="V40" i="1"/>
  <c r="V41" i="1" s="1"/>
  <c r="V93" i="1" s="1"/>
  <c r="AC8" i="4"/>
  <c r="T9" i="4"/>
  <c r="R43" i="1"/>
  <c r="R44" i="1" s="1"/>
  <c r="F25" i="7"/>
  <c r="H14" i="9"/>
  <c r="B25" i="7"/>
  <c r="D14" i="9"/>
  <c r="P45" i="1"/>
  <c r="P94" i="1" s="1"/>
  <c r="P19" i="9"/>
  <c r="P21" i="9" s="1"/>
  <c r="P22" i="9" s="1"/>
  <c r="P23" i="9" s="1"/>
  <c r="J25" i="7"/>
  <c r="J29" i="7" s="1"/>
  <c r="L14" i="9"/>
  <c r="U90" i="1"/>
  <c r="U9" i="9"/>
  <c r="M43" i="1"/>
  <c r="U72" i="1"/>
  <c r="U14" i="1"/>
  <c r="U37" i="1"/>
  <c r="AE37" i="1" s="1"/>
  <c r="U31" i="1"/>
  <c r="AE31" i="1" s="1"/>
  <c r="U15" i="1"/>
  <c r="AC40" i="1"/>
  <c r="AC41" i="1" s="1"/>
  <c r="U28" i="1"/>
  <c r="AE13" i="1"/>
  <c r="AE14" i="1" s="1"/>
  <c r="V35" i="1"/>
  <c r="V15" i="1"/>
  <c r="P51" i="1"/>
  <c r="P56" i="1" s="1"/>
  <c r="P58" i="1" s="1"/>
  <c r="U18" i="1"/>
  <c r="AE18" i="1" s="1"/>
  <c r="T45" i="1"/>
  <c r="T94" i="1" s="1"/>
  <c r="T51" i="1"/>
  <c r="T56" i="1" s="1"/>
  <c r="T44" i="1"/>
  <c r="Q40" i="1"/>
  <c r="Q35" i="1"/>
  <c r="S41" i="1"/>
  <c r="S93" i="1" s="1"/>
  <c r="S43" i="1"/>
  <c r="O45" i="1"/>
  <c r="O94" i="1" s="1"/>
  <c r="O51" i="1"/>
  <c r="O56" i="1" s="1"/>
  <c r="N58" i="1"/>
  <c r="N63" i="1" s="1"/>
  <c r="N67" i="1" s="1"/>
  <c r="AD14" i="1"/>
  <c r="W35" i="1"/>
  <c r="W40" i="1"/>
  <c r="U9" i="4"/>
  <c r="U10" i="4"/>
  <c r="T10" i="4"/>
  <c r="S9" i="4"/>
  <c r="S10" i="4"/>
  <c r="L9" i="4"/>
  <c r="M10" i="4"/>
  <c r="P9" i="4"/>
  <c r="K9" i="4"/>
  <c r="O9" i="4"/>
  <c r="L10" i="4"/>
  <c r="K10" i="4"/>
  <c r="F29" i="7"/>
  <c r="I43" i="1"/>
  <c r="G25" i="7"/>
  <c r="E93" i="1"/>
  <c r="C33" i="7"/>
  <c r="L93" i="1"/>
  <c r="J33" i="7"/>
  <c r="D93" i="1"/>
  <c r="B33" i="7"/>
  <c r="E43" i="1"/>
  <c r="E19" i="9" s="1"/>
  <c r="E21" i="9" s="1"/>
  <c r="E22" i="9" s="1"/>
  <c r="E23" i="9" s="1"/>
  <c r="C25" i="7"/>
  <c r="F43" i="1"/>
  <c r="D25" i="7"/>
  <c r="I93" i="1"/>
  <c r="G33" i="7"/>
  <c r="J93" i="1"/>
  <c r="H33" i="7"/>
  <c r="J43" i="1"/>
  <c r="J19" i="9" s="1"/>
  <c r="J21" i="9" s="1"/>
  <c r="J22" i="9" s="1"/>
  <c r="J23" i="9" s="1"/>
  <c r="H25" i="7"/>
  <c r="F93" i="1"/>
  <c r="D33" i="7"/>
  <c r="H93" i="1"/>
  <c r="F33" i="7"/>
  <c r="K13" i="1"/>
  <c r="K9" i="9" s="1"/>
  <c r="D10" i="4"/>
  <c r="I34" i="4"/>
  <c r="I38" i="4"/>
  <c r="I30" i="4"/>
  <c r="I20" i="4"/>
  <c r="I16" i="4"/>
  <c r="I8" i="4"/>
  <c r="J10" i="4" s="1"/>
  <c r="I24" i="4"/>
  <c r="H43" i="1"/>
  <c r="D43" i="1"/>
  <c r="L43" i="1"/>
  <c r="AC22" i="1"/>
  <c r="J9" i="4"/>
  <c r="G9" i="4"/>
  <c r="G10" i="4"/>
  <c r="C10" i="4"/>
  <c r="I10" i="4"/>
  <c r="H10" i="4"/>
  <c r="H9" i="4"/>
  <c r="F9" i="4"/>
  <c r="V43" i="1" l="1"/>
  <c r="V45" i="1" s="1"/>
  <c r="V94" i="1" s="1"/>
  <c r="R45" i="1"/>
  <c r="R94" i="1" s="1"/>
  <c r="S19" i="9"/>
  <c r="S21" i="9" s="1"/>
  <c r="S22" i="9" s="1"/>
  <c r="S23" i="9" s="1"/>
  <c r="S86" i="1"/>
  <c r="M19" i="9"/>
  <c r="M21" i="9" s="1"/>
  <c r="M22" i="9" s="1"/>
  <c r="M23" i="9" s="1"/>
  <c r="M86" i="1"/>
  <c r="M51" i="1"/>
  <c r="AC51" i="1" s="1"/>
  <c r="M45" i="1"/>
  <c r="M94" i="1" s="1"/>
  <c r="R51" i="1"/>
  <c r="R56" i="1" s="1"/>
  <c r="R58" i="1" s="1"/>
  <c r="R63" i="1" s="1"/>
  <c r="R67" i="1" s="1"/>
  <c r="V19" i="9"/>
  <c r="V21" i="9" s="1"/>
  <c r="V22" i="9" s="1"/>
  <c r="V23" i="9" s="1"/>
  <c r="R19" i="9"/>
  <c r="R21" i="9" s="1"/>
  <c r="R22" i="9" s="1"/>
  <c r="R23" i="9" s="1"/>
  <c r="R86" i="1"/>
  <c r="F27" i="7"/>
  <c r="H19" i="9"/>
  <c r="H21" i="9" s="1"/>
  <c r="H22" i="9" s="1"/>
  <c r="H23" i="9" s="1"/>
  <c r="G27" i="7"/>
  <c r="I19" i="9"/>
  <c r="I21" i="9" s="1"/>
  <c r="I22" i="9" s="1"/>
  <c r="I23" i="9" s="1"/>
  <c r="D27" i="7"/>
  <c r="F19" i="9"/>
  <c r="F21" i="9" s="1"/>
  <c r="F22" i="9" s="1"/>
  <c r="F23" i="9" s="1"/>
  <c r="N96" i="1"/>
  <c r="N25" i="9"/>
  <c r="U34" i="1"/>
  <c r="U40" i="1" s="1"/>
  <c r="P44" i="1"/>
  <c r="L19" i="9"/>
  <c r="L21" i="9" s="1"/>
  <c r="L22" i="9" s="1"/>
  <c r="L23" i="9" s="1"/>
  <c r="D86" i="1"/>
  <c r="D19" i="9"/>
  <c r="D21" i="9" s="1"/>
  <c r="D22" i="9" s="1"/>
  <c r="D23" i="9" s="1"/>
  <c r="U22" i="1"/>
  <c r="AE28" i="1"/>
  <c r="AE29" i="1" s="1"/>
  <c r="P61" i="1"/>
  <c r="P63" i="1"/>
  <c r="P67" i="1" s="1"/>
  <c r="N61" i="1"/>
  <c r="M44" i="1"/>
  <c r="T58" i="1"/>
  <c r="T63" i="1" s="1"/>
  <c r="T67" i="1" s="1"/>
  <c r="T25" i="9" s="1"/>
  <c r="H27" i="7"/>
  <c r="H31" i="7" s="1"/>
  <c r="N44" i="1"/>
  <c r="O14" i="1"/>
  <c r="O90" i="1"/>
  <c r="W41" i="1"/>
  <c r="W93" i="1" s="1"/>
  <c r="W43" i="1"/>
  <c r="S44" i="1"/>
  <c r="S51" i="1"/>
  <c r="S56" i="1" s="1"/>
  <c r="S45" i="1"/>
  <c r="S94" i="1" s="1"/>
  <c r="O58" i="1"/>
  <c r="O61" i="1" s="1"/>
  <c r="Q41" i="1"/>
  <c r="Q93" i="1" s="1"/>
  <c r="Q43" i="1"/>
  <c r="AD40" i="1"/>
  <c r="AD41" i="1" s="1"/>
  <c r="AE34" i="1"/>
  <c r="AE35" i="1" s="1"/>
  <c r="K15" i="1"/>
  <c r="K72" i="1"/>
  <c r="K22" i="1"/>
  <c r="AB13" i="1"/>
  <c r="I45" i="1"/>
  <c r="G35" i="7" s="1"/>
  <c r="I44" i="1"/>
  <c r="J45" i="1"/>
  <c r="J94" i="1" s="1"/>
  <c r="J44" i="1"/>
  <c r="B27" i="7"/>
  <c r="F31" i="7" s="1"/>
  <c r="D51" i="1"/>
  <c r="G29" i="7"/>
  <c r="F45" i="1"/>
  <c r="D35" i="7" s="1"/>
  <c r="F44" i="1"/>
  <c r="I94" i="1"/>
  <c r="K19" i="1"/>
  <c r="AC43" i="1"/>
  <c r="J27" i="7"/>
  <c r="J31" i="7" s="1"/>
  <c r="E45" i="1"/>
  <c r="C27" i="7"/>
  <c r="H29" i="7"/>
  <c r="L15" i="1"/>
  <c r="K29" i="1"/>
  <c r="K32" i="1"/>
  <c r="K38" i="1"/>
  <c r="K41" i="1"/>
  <c r="K35" i="1"/>
  <c r="H45" i="1"/>
  <c r="L45" i="1"/>
  <c r="D45" i="1"/>
  <c r="L44" i="1"/>
  <c r="H44" i="1"/>
  <c r="T27" i="9" l="1"/>
  <c r="T28" i="9" s="1"/>
  <c r="M56" i="1"/>
  <c r="M58" i="1" s="1"/>
  <c r="M63" i="1" s="1"/>
  <c r="V51" i="1"/>
  <c r="V56" i="1" s="1"/>
  <c r="V58" i="1" s="1"/>
  <c r="V63" i="1" s="1"/>
  <c r="V67" i="1" s="1"/>
  <c r="V86" i="1"/>
  <c r="AC45" i="1"/>
  <c r="AC44" i="1"/>
  <c r="V44" i="1"/>
  <c r="W19" i="9"/>
  <c r="W21" i="9" s="1"/>
  <c r="W22" i="9" s="1"/>
  <c r="W23" i="9" s="1"/>
  <c r="W86" i="1"/>
  <c r="U35" i="1"/>
  <c r="Q19" i="9"/>
  <c r="Q21" i="9" s="1"/>
  <c r="Q22" i="9" s="1"/>
  <c r="Q23" i="9" s="1"/>
  <c r="Q86" i="1"/>
  <c r="N27" i="9"/>
  <c r="N28" i="9" s="1"/>
  <c r="K43" i="1"/>
  <c r="K14" i="9"/>
  <c r="AE22" i="1"/>
  <c r="U14" i="9"/>
  <c r="R96" i="1"/>
  <c r="R25" i="9"/>
  <c r="P96" i="1"/>
  <c r="P25" i="9"/>
  <c r="U43" i="1"/>
  <c r="U51" i="1" s="1"/>
  <c r="T96" i="1"/>
  <c r="O63" i="1"/>
  <c r="O67" i="1" s="1"/>
  <c r="R61" i="1"/>
  <c r="T61" i="1"/>
  <c r="Q44" i="1"/>
  <c r="AD43" i="1"/>
  <c r="AD45" i="1" s="1"/>
  <c r="Q51" i="1"/>
  <c r="Q45" i="1"/>
  <c r="Q94" i="1" s="1"/>
  <c r="S58" i="1"/>
  <c r="S61" i="1" s="1"/>
  <c r="W45" i="1"/>
  <c r="W94" i="1" s="1"/>
  <c r="W51" i="1"/>
  <c r="W56" i="1" s="1"/>
  <c r="W44" i="1"/>
  <c r="AC14" i="1"/>
  <c r="U41" i="1"/>
  <c r="U93" i="1" s="1"/>
  <c r="AE40" i="1"/>
  <c r="AE41" i="1" s="1"/>
  <c r="AB22" i="1"/>
  <c r="I25" i="7"/>
  <c r="H35" i="7"/>
  <c r="AA51" i="1"/>
  <c r="D56" i="1"/>
  <c r="D61" i="1" s="1"/>
  <c r="AA61" i="1" s="1"/>
  <c r="F94" i="1"/>
  <c r="L94" i="1"/>
  <c r="J35" i="7"/>
  <c r="K45" i="1"/>
  <c r="I27" i="7"/>
  <c r="H94" i="1"/>
  <c r="F35" i="7"/>
  <c r="AB43" i="1"/>
  <c r="E94" i="1"/>
  <c r="C35" i="7"/>
  <c r="D94" i="1"/>
  <c r="B35" i="7"/>
  <c r="K93" i="1"/>
  <c r="I33" i="7"/>
  <c r="P27" i="9" l="1"/>
  <c r="P28" i="9" s="1"/>
  <c r="AC56" i="1"/>
  <c r="AD44" i="1"/>
  <c r="U19" i="9"/>
  <c r="U21" i="9" s="1"/>
  <c r="U22" i="9" s="1"/>
  <c r="U23" i="9" s="1"/>
  <c r="U86" i="1"/>
  <c r="U45" i="1"/>
  <c r="U94" i="1" s="1"/>
  <c r="U44" i="1"/>
  <c r="AE43" i="1"/>
  <c r="R27" i="9"/>
  <c r="R28" i="9" s="1"/>
  <c r="V96" i="1"/>
  <c r="V25" i="9"/>
  <c r="O96" i="1"/>
  <c r="O25" i="9"/>
  <c r="O44" i="1"/>
  <c r="K19" i="9"/>
  <c r="K21" i="9" s="1"/>
  <c r="K22" i="9" s="1"/>
  <c r="K23" i="9" s="1"/>
  <c r="V61" i="1"/>
  <c r="S63" i="1"/>
  <c r="S67" i="1" s="1"/>
  <c r="Q56" i="1"/>
  <c r="AD51" i="1"/>
  <c r="W58" i="1"/>
  <c r="W61" i="1" s="1"/>
  <c r="W63" i="1"/>
  <c r="W67" i="1" s="1"/>
  <c r="W25" i="9" s="1"/>
  <c r="W27" i="9" s="1"/>
  <c r="W28" i="9" s="1"/>
  <c r="M67" i="1"/>
  <c r="M25" i="9" s="1"/>
  <c r="AC63" i="1"/>
  <c r="U56" i="1"/>
  <c r="AE51" i="1"/>
  <c r="M61" i="1"/>
  <c r="AC61" i="1" s="1"/>
  <c r="AC58" i="1"/>
  <c r="AA56" i="1"/>
  <c r="D63" i="1"/>
  <c r="K94" i="1"/>
  <c r="I35" i="7"/>
  <c r="H35" i="9" l="1"/>
  <c r="H37" i="9" s="1"/>
  <c r="H38" i="9" s="1"/>
  <c r="G35" i="9"/>
  <c r="G37" i="9" s="1"/>
  <c r="G38" i="9" s="1"/>
  <c r="F35" i="9"/>
  <c r="F37" i="9" s="1"/>
  <c r="F38" i="9" s="1"/>
  <c r="E35" i="9"/>
  <c r="E37" i="9" s="1"/>
  <c r="E38" i="9" s="1"/>
  <c r="AE45" i="1"/>
  <c r="AE44" i="1"/>
  <c r="O27" i="9"/>
  <c r="O28" i="9" s="1"/>
  <c r="M27" i="9"/>
  <c r="M28" i="9" s="1"/>
  <c r="I30" i="9"/>
  <c r="I32" i="9" s="1"/>
  <c r="I33" i="9" s="1"/>
  <c r="K30" i="9"/>
  <c r="K32" i="9" s="1"/>
  <c r="K33" i="9" s="1"/>
  <c r="J30" i="9"/>
  <c r="J32" i="9" s="1"/>
  <c r="J33" i="9" s="1"/>
  <c r="L30" i="9"/>
  <c r="L32" i="9" s="1"/>
  <c r="L33" i="9" s="1"/>
  <c r="V27" i="9"/>
  <c r="V28" i="9" s="1"/>
  <c r="S96" i="1"/>
  <c r="S25" i="9"/>
  <c r="W96" i="1"/>
  <c r="AC67" i="1"/>
  <c r="M96" i="1"/>
  <c r="AD56" i="1"/>
  <c r="Q58" i="1"/>
  <c r="U58" i="1"/>
  <c r="AE56" i="1"/>
  <c r="D67" i="1"/>
  <c r="AA63" i="1"/>
  <c r="S27" i="9" l="1"/>
  <c r="S28" i="9" s="1"/>
  <c r="H96" i="1"/>
  <c r="D25" i="9"/>
  <c r="D27" i="9" s="1"/>
  <c r="D28" i="9" s="1"/>
  <c r="AD58" i="1"/>
  <c r="Q63" i="1"/>
  <c r="Q61" i="1"/>
  <c r="AD61" i="1" s="1"/>
  <c r="U63" i="1"/>
  <c r="AE58" i="1"/>
  <c r="U61" i="1"/>
  <c r="AE61" i="1" s="1"/>
  <c r="B37" i="7"/>
  <c r="F39" i="7" s="1"/>
  <c r="D71" i="1"/>
  <c r="D72" i="1" s="1"/>
  <c r="AA67" i="1"/>
  <c r="AD63" i="1" l="1"/>
  <c r="Q67" i="1"/>
  <c r="Q25" i="9" s="1"/>
  <c r="U67" i="1"/>
  <c r="U25" i="9" s="1"/>
  <c r="AE63" i="1"/>
  <c r="AA71" i="1"/>
  <c r="D83" i="1"/>
  <c r="D80" i="1"/>
  <c r="O35" i="9" l="1"/>
  <c r="O37" i="9" s="1"/>
  <c r="O38" i="9" s="1"/>
  <c r="N35" i="9"/>
  <c r="N37" i="9" s="1"/>
  <c r="N38" i="9" s="1"/>
  <c r="M35" i="9"/>
  <c r="M37" i="9" s="1"/>
  <c r="M38" i="9" s="1"/>
  <c r="L35" i="9"/>
  <c r="L37" i="9" s="1"/>
  <c r="L38" i="9" s="1"/>
  <c r="K35" i="9"/>
  <c r="K37" i="9" s="1"/>
  <c r="K38" i="9" s="1"/>
  <c r="J35" i="9"/>
  <c r="J37" i="9" s="1"/>
  <c r="J38" i="9" s="1"/>
  <c r="I35" i="9"/>
  <c r="I37" i="9" s="1"/>
  <c r="I38" i="9" s="1"/>
  <c r="U27" i="9"/>
  <c r="U28" i="9" s="1"/>
  <c r="S30" i="9"/>
  <c r="S32" i="9" s="1"/>
  <c r="S33" i="9" s="1"/>
  <c r="Q30" i="9"/>
  <c r="Q32" i="9" s="1"/>
  <c r="Q33" i="9" s="1"/>
  <c r="R30" i="9"/>
  <c r="R32" i="9" s="1"/>
  <c r="R33" i="9" s="1"/>
  <c r="Q27" i="9"/>
  <c r="Q28" i="9" s="1"/>
  <c r="N30" i="9"/>
  <c r="N32" i="9" s="1"/>
  <c r="N33" i="9" s="1"/>
  <c r="O30" i="9"/>
  <c r="O32" i="9" s="1"/>
  <c r="O33" i="9" s="1"/>
  <c r="P30" i="9"/>
  <c r="P32" i="9" s="1"/>
  <c r="P33" i="9" s="1"/>
  <c r="M30" i="9"/>
  <c r="M32" i="9" s="1"/>
  <c r="M33" i="9" s="1"/>
  <c r="AD67" i="1"/>
  <c r="Q96" i="1"/>
  <c r="AE67" i="1"/>
  <c r="U96" i="1"/>
  <c r="H84" i="1"/>
  <c r="H98" i="1"/>
  <c r="H81" i="1"/>
  <c r="H97" i="1"/>
  <c r="Y22" i="4"/>
  <c r="I48" i="4"/>
  <c r="E16" i="7"/>
  <c r="I21" i="7"/>
  <c r="E14" i="4"/>
  <c r="I15" i="4" s="1"/>
  <c r="E22" i="4"/>
  <c r="I23" i="4" l="1"/>
  <c r="G9" i="1"/>
  <c r="E44" i="4"/>
  <c r="E42" i="4" l="1"/>
  <c r="E34" i="4"/>
  <c r="I47" i="4"/>
  <c r="E30" i="4"/>
  <c r="E20" i="4"/>
  <c r="E38" i="4"/>
  <c r="E15" i="7"/>
  <c r="I20" i="7" s="1"/>
  <c r="E8" i="4"/>
  <c r="AA9" i="1"/>
  <c r="G13" i="1"/>
  <c r="E16" i="4"/>
  <c r="E24" i="4"/>
  <c r="G72" i="1" l="1"/>
  <c r="G38" i="1"/>
  <c r="K90" i="1"/>
  <c r="G14" i="1"/>
  <c r="G22" i="1"/>
  <c r="G9" i="9"/>
  <c r="K14" i="1"/>
  <c r="G19" i="1"/>
  <c r="G41" i="1"/>
  <c r="AA13" i="1"/>
  <c r="AB14" i="1" s="1"/>
  <c r="H15" i="1"/>
  <c r="G35" i="1"/>
  <c r="G15" i="1"/>
  <c r="G29" i="1"/>
  <c r="G32" i="1"/>
  <c r="G90" i="1"/>
  <c r="F10" i="4"/>
  <c r="E10" i="4"/>
  <c r="I9" i="4"/>
  <c r="E25" i="7" l="1"/>
  <c r="I29" i="7" s="1"/>
  <c r="G14" i="9"/>
  <c r="G43" i="1"/>
  <c r="AA22" i="1"/>
  <c r="E33" i="7"/>
  <c r="G93" i="1"/>
  <c r="G19" i="9" l="1"/>
  <c r="G21" i="9" s="1"/>
  <c r="G22" i="9" s="1"/>
  <c r="G23" i="9" s="1"/>
  <c r="AA43" i="1"/>
  <c r="G45" i="1"/>
  <c r="K44" i="1"/>
  <c r="G44" i="1"/>
  <c r="E27" i="7"/>
  <c r="I31" i="7" s="1"/>
  <c r="E35" i="7" l="1"/>
  <c r="G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evan domingos - 2023</author>
  </authors>
  <commentList>
    <comment ref="L74" authorId="0" shapeId="0" xr:uid="{FCD3E832-8B8F-E34F-9C6E-A133B250167C}">
      <text>
        <r>
          <rPr>
            <b/>
            <sz val="8"/>
            <color rgb="FF000000"/>
            <rFont val="Calibri"/>
            <family val="2"/>
            <scheme val="minor"/>
          </rPr>
          <t xml:space="preserve">WS
</t>
        </r>
        <r>
          <rPr>
            <sz val="8"/>
            <color rgb="FF000000"/>
            <rFont val="Calibri"/>
            <family val="2"/>
            <scheme val="minor"/>
          </rPr>
          <t xml:space="preserve">
</t>
        </r>
        <r>
          <rPr>
            <sz val="8"/>
            <color rgb="FF000000"/>
            <rFont val="Calibri"/>
            <family val="2"/>
            <scheme val="minor"/>
          </rPr>
          <t xml:space="preserve">https://ir.upstart.com/node/7616/pdf </t>
        </r>
        <r>
          <rPr>
            <sz val="8"/>
            <color rgb="FF000000"/>
            <rFont val="Calibri"/>
            <family val="2"/>
            <scheme val="minor"/>
          </rPr>
          <t xml:space="preserve">
</t>
        </r>
        <r>
          <rPr>
            <b/>
            <sz val="8"/>
            <color rgb="FF000000"/>
            <rFont val="Calibri"/>
            <family val="2"/>
            <scheme val="minor"/>
          </rPr>
          <t xml:space="preserve"> 
</t>
        </r>
        <r>
          <rPr>
            <b/>
            <sz val="8"/>
            <color rgb="FF000000"/>
            <rFont val="Calibri"/>
            <family val="2"/>
            <scheme val="minor"/>
          </rPr>
          <t xml:space="preserve">Upstart Announces Share Repurchase Program </t>
        </r>
        <r>
          <rPr>
            <sz val="8"/>
            <color rgb="FF000000"/>
            <rFont val="Calibri"/>
            <family val="2"/>
            <scheme val="minor"/>
          </rPr>
          <t xml:space="preserve">
</t>
        </r>
        <r>
          <rPr>
            <sz val="8"/>
            <color rgb="FF000000"/>
            <rFont val="Calibri"/>
            <family val="2"/>
            <scheme val="minor"/>
          </rPr>
          <t xml:space="preserve">February 15, 2022 </t>
        </r>
      </text>
    </comment>
  </commentList>
</comments>
</file>

<file path=xl/sharedStrings.xml><?xml version="1.0" encoding="utf-8"?>
<sst xmlns="http://schemas.openxmlformats.org/spreadsheetml/2006/main" count="451" uniqueCount="203">
  <si>
    <t>Total Revenues</t>
  </si>
  <si>
    <t>   % Change YoY</t>
  </si>
  <si>
    <t>Gross Profit</t>
  </si>
  <si>
    <t>   % Gross Margins</t>
  </si>
  <si>
    <t>Operating Income</t>
  </si>
  <si>
    <t>   % Operating Margins</t>
  </si>
  <si>
    <t>Interest Expense</t>
  </si>
  <si>
    <t>Interest And Investment Income</t>
  </si>
  <si>
    <t>Other Non Operating Income (Expenses)</t>
  </si>
  <si>
    <t>EBT Excl. Unusual Items</t>
  </si>
  <si>
    <t>Merger &amp; Restructuring Charges</t>
  </si>
  <si>
    <t>Other Unusual Items</t>
  </si>
  <si>
    <t>EBT Incl. Unusual Items</t>
  </si>
  <si>
    <t>Income Tax Expense</t>
  </si>
  <si>
    <t>Earnings From Continuing Operations</t>
  </si>
  <si>
    <t>Net Income to Company</t>
  </si>
  <si>
    <t>Minority Interest</t>
  </si>
  <si>
    <t>Net Income</t>
  </si>
  <si>
    <t>Preferred Dividend and Other Adjustments</t>
  </si>
  <si>
    <t>Supplementary Data:</t>
  </si>
  <si>
    <t>Weighted Average Diluted Shares Outstanding</t>
  </si>
  <si>
    <t>Weighted Average Basic Shares Outstanding</t>
  </si>
  <si>
    <t>Basic EPS</t>
  </si>
  <si>
    <t>EBITDA</t>
  </si>
  <si>
    <t>Selling and Marketing Expense</t>
  </si>
  <si>
    <t>General and Administrative Expense</t>
  </si>
  <si>
    <t>Balance Sheet</t>
  </si>
  <si>
    <t>Cash And Equivalents</t>
  </si>
  <si>
    <t>Total Cash And Short Term Investments</t>
  </si>
  <si>
    <t>Notes Receivable</t>
  </si>
  <si>
    <t>Total Receivables</t>
  </si>
  <si>
    <t>Restricted Cash</t>
  </si>
  <si>
    <t>Total Current Assets</t>
  </si>
  <si>
    <t>Gross Property Plant And Equipment</t>
  </si>
  <si>
    <t>Accumulated Depreciation</t>
  </si>
  <si>
    <t>Net Property Plant And Equipment</t>
  </si>
  <si>
    <t>Long-term Investments</t>
  </si>
  <si>
    <t>Goodwill</t>
  </si>
  <si>
    <t>Other Intangibles</t>
  </si>
  <si>
    <t>Accounts Receivable Long-Term</t>
  </si>
  <si>
    <t>Other Long-Term Assets</t>
  </si>
  <si>
    <t>Total Assets</t>
  </si>
  <si>
    <t>Accounts Payable</t>
  </si>
  <si>
    <t>Accrued Expenses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</si>
  <si>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</si>
  <si>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</si>
  <si>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</si>
  <si>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</si>
  <si>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</si>
  <si>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 Current Liabilities</t>
  </si>
  <si>
    <t>Total Liabilities</t>
  </si>
  <si>
    <t>Preferred Stock Convertible</t>
  </si>
  <si>
    <t>Total Preferred Equity</t>
  </si>
  <si>
    <t>Common Stock</t>
  </si>
  <si>
    <t>Additional Paid In Capital</t>
  </si>
  <si>
    <t>Retained Earnings</t>
  </si>
  <si>
    <t>Total Common Equity</t>
  </si>
  <si>
    <t>Total Equity</t>
  </si>
  <si>
    <t>Total Liabilities And Equity</t>
  </si>
  <si>
    <t>Total Shares Out. on Filing Date</t>
  </si>
  <si>
    <t>Book Value/Share</t>
  </si>
  <si>
    <t>Tangible Book Value</t>
  </si>
  <si>
    <t>Tangible Book Value/Share</t>
  </si>
  <si>
    <t>Total Debt</t>
  </si>
  <si>
    <t>Net Debt</t>
  </si>
  <si>
    <t>Total Minority Interest</t>
  </si>
  <si>
    <t>Full Time Employees</t>
  </si>
  <si>
    <t>Cash Flow Statement</t>
  </si>
  <si>
    <t>Depreciation &amp; Amortization</t>
  </si>
  <si>
    <t>Amortization of Goodwill and Intangible Assets</t>
  </si>
  <si>
    <t>Total Depreciation &amp; Amortization</t>
  </si>
  <si>
    <t>Amortization of Deferred Charges</t>
  </si>
  <si>
    <t>(Gain) Loss From Sale Of Asset</t>
  </si>
  <si>
    <t>(Gain) Loss on Sale of Investments</t>
  </si>
  <si>
    <t>Provision for Credit Losses</t>
  </si>
  <si>
    <t>Stock-Based Compensation</t>
  </si>
  <si>
    <t>Other Operating Activities</t>
  </si>
  <si>
    <t>Change In Accounts Payable</t>
  </si>
  <si>
    <t>Change in Other Net Operating Assets</t>
  </si>
  <si>
    <t>Cash from Operations</t>
  </si>
  <si>
    <t>Memo: Change in Net Working Capital</t>
  </si>
  <si>
    <t>Capital Expenditure</t>
  </si>
  <si>
    <t>Cash Acquisitions</t>
  </si>
  <si>
    <t>Sale (Purchase) of Intangible assets</t>
  </si>
  <si>
    <t>Investment in Marketable and Equity Securities</t>
  </si>
  <si>
    <t>Net (Increase) Decrease in Loans Originated / Sold - Investing</t>
  </si>
  <si>
    <t>Other Investing Activities</t>
  </si>
  <si>
    <t>Cash from Investing</t>
  </si>
  <si>
    <t>Total Debt Issued</t>
  </si>
  <si>
    <t>Total Debt Repaid</t>
  </si>
  <si>
    <t>Issuance of Common Stock</t>
  </si>
  <si>
    <t>Repurchase of Common Stock</t>
  </si>
  <si>
    <t>Issuance of Preferred Stock</t>
  </si>
  <si>
    <t>Repurchase of Preferred Stock</t>
  </si>
  <si>
    <t>Other Financing Activities</t>
  </si>
  <si>
    <t>Cash from Financing</t>
  </si>
  <si>
    <t>Net Change in Cash</t>
  </si>
  <si>
    <t>Free Cash Flow</t>
  </si>
  <si>
    <t>   % Free Cash Flow Margins</t>
  </si>
  <si>
    <t>Cash and Cash Equivalents, Beginning of Period</t>
  </si>
  <si>
    <t>Cash and Cash Equivalents, End of Period</t>
  </si>
  <si>
    <t>Cash Interest Paid</t>
  </si>
  <si>
    <t>Cash Taxes Paid</t>
  </si>
  <si>
    <t>Cash Flow per Share</t>
  </si>
  <si>
    <t>3Q19 A</t>
  </si>
  <si>
    <t>4Q19 A</t>
  </si>
  <si>
    <t>1Q20 A</t>
  </si>
  <si>
    <t>2Q20 A</t>
  </si>
  <si>
    <t>3Q20 A</t>
  </si>
  <si>
    <t>4Q20 A</t>
  </si>
  <si>
    <t>1Q21 A</t>
  </si>
  <si>
    <t>2Q21 A</t>
  </si>
  <si>
    <t>3Q21 A</t>
  </si>
  <si>
    <t>4Q21 A</t>
  </si>
  <si>
    <t>1Q22 A</t>
  </si>
  <si>
    <t>2Q22 E</t>
  </si>
  <si>
    <t>3Q22 E</t>
  </si>
  <si>
    <t>4Q22 E</t>
  </si>
  <si>
    <t>1Q23 E</t>
  </si>
  <si>
    <t>2Q23 E</t>
  </si>
  <si>
    <t>3Q23 E</t>
  </si>
  <si>
    <t>4Q23 E</t>
  </si>
  <si>
    <t>1Q24 E</t>
  </si>
  <si>
    <t>2Q24 E</t>
  </si>
  <si>
    <t>3Q24 E</t>
  </si>
  <si>
    <t>4Q24 E</t>
  </si>
  <si>
    <t>FY20</t>
  </si>
  <si>
    <t>FY21</t>
  </si>
  <si>
    <t>End</t>
  </si>
  <si>
    <t>FY22</t>
  </si>
  <si>
    <t>FY23</t>
  </si>
  <si>
    <t>FY24</t>
  </si>
  <si>
    <t xml:space="preserve">End </t>
  </si>
  <si>
    <t>NASDAQ: (UPST)</t>
  </si>
  <si>
    <t xml:space="preserve">Upstart Holdings, Inc. </t>
  </si>
  <si>
    <t>P&amp;L GAAP</t>
  </si>
  <si>
    <t>Revenue Build</t>
  </si>
  <si>
    <t>Revenue from Fees</t>
  </si>
  <si>
    <t>Total Revenue from Fees</t>
  </si>
  <si>
    <t>Interest Income</t>
  </si>
  <si>
    <t xml:space="preserve"> </t>
  </si>
  <si>
    <t xml:space="preserve">   % Growth YoY</t>
  </si>
  <si>
    <t xml:space="preserve">   % of Revenue</t>
  </si>
  <si>
    <t xml:space="preserve">   % Growth QoQ</t>
  </si>
  <si>
    <t>Fair Value &amp; Other Adjustments</t>
  </si>
  <si>
    <t>Net Interest Income</t>
  </si>
  <si>
    <t xml:space="preserve">   % Change QoQ</t>
  </si>
  <si>
    <t/>
  </si>
  <si>
    <t>Total General &amp; Admin Expenses</t>
  </si>
  <si>
    <t>Operating Expenses</t>
  </si>
  <si>
    <t>Total Operating Expenses</t>
  </si>
  <si>
    <t xml:space="preserve">Engineering &amp; Product Development </t>
  </si>
  <si>
    <t>Customer Operations</t>
  </si>
  <si>
    <t xml:space="preserve">Upstart Holdings Inc. </t>
  </si>
  <si>
    <t>FY25</t>
  </si>
  <si>
    <t>Total</t>
  </si>
  <si>
    <t>FY26</t>
  </si>
  <si>
    <t>FY27</t>
  </si>
  <si>
    <t>$ in Millions</t>
  </si>
  <si>
    <t>Summary</t>
  </si>
  <si>
    <t>FY20 E</t>
  </si>
  <si>
    <t>Revenue YoY</t>
  </si>
  <si>
    <t>Total Revenue YoY</t>
  </si>
  <si>
    <t>Platform &amp; Referral Fees YoY</t>
  </si>
  <si>
    <t>Servicing &amp; Other Fees</t>
  </si>
  <si>
    <t>Platform &amp; Referral Fees</t>
  </si>
  <si>
    <t xml:space="preserve">Interest Income &amp; Fair Value Adjustments </t>
  </si>
  <si>
    <t>Total Interest Income &amp; Fair Value Adjustments</t>
  </si>
  <si>
    <t>Servicing &amp; Other Fees YoY</t>
  </si>
  <si>
    <t>Total Interest Income &amp; Fair Value Adjustments YoY</t>
  </si>
  <si>
    <t>Gross Margin</t>
  </si>
  <si>
    <t>Operating Margin</t>
  </si>
  <si>
    <t>Total Operating Expense % of Revenues</t>
  </si>
  <si>
    <t>Total Operating Expense</t>
  </si>
  <si>
    <t xml:space="preserve">Operating Income </t>
  </si>
  <si>
    <t>Total Operating Expense YoY</t>
  </si>
  <si>
    <t>Gross Profit YoY</t>
  </si>
  <si>
    <t>Operating Income YoY</t>
  </si>
  <si>
    <t>BS</t>
  </si>
  <si>
    <t>CFS</t>
  </si>
  <si>
    <t>Net Income YoY</t>
  </si>
  <si>
    <t>Effective Tax Rate</t>
  </si>
  <si>
    <t>Diluted EPS</t>
  </si>
  <si>
    <t xml:space="preserve">   % Net Income to Common </t>
  </si>
  <si>
    <t xml:space="preserve">Net Income to Common </t>
  </si>
  <si>
    <t>-</t>
  </si>
  <si>
    <t>Weighted Average Diluted Shares Outstanding YoY</t>
  </si>
  <si>
    <t xml:space="preserve">Weighted Average Basic Shares Outstanding YoY </t>
  </si>
  <si>
    <t>Basic EPS YoY</t>
  </si>
  <si>
    <t>Diluted EPS YoY</t>
  </si>
  <si>
    <t>Enterprise Value</t>
  </si>
  <si>
    <t>Earnings Multiple</t>
  </si>
  <si>
    <t xml:space="preserve">Equity Value </t>
  </si>
  <si>
    <t>whitesky</t>
  </si>
  <si>
    <t>Target EV/EBIT Multiple</t>
  </si>
  <si>
    <t xml:space="preserve">Diluted Share Value </t>
  </si>
  <si>
    <t>NTM Earnings</t>
  </si>
  <si>
    <t>Multiples</t>
  </si>
  <si>
    <t>NTM + 1 Earnings</t>
  </si>
  <si>
    <t>Equity Value</t>
  </si>
  <si>
    <t>Diluted Share Value</t>
  </si>
  <si>
    <t>Straightline D&amp;A</t>
  </si>
  <si>
    <t>EV/EBITDA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</si>
</sst>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0.0"/>
    <numFmt numFmtId="166" formatCode="###0\X"/>
    <numFmt numFmtId="167" formatCode="_(&quot;$&quot;* #,##0_);_(&quot;$&quot;* \(#,##0\);_(&quot;$&quot;* &quot;-&quot;??_);_(@_)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Libre Baskerville"/>
    </font>
    <font>
      <b/>
      <i/>
      <sz val="20"/>
      <color theme="1"/>
      <name val="Helvetica Light"/>
    </font>
    <font>
      <sz val="12"/>
      <color theme="1"/>
      <name val="Helvetica Light"/>
    </font>
    <font>
      <u/>
      <sz val="12"/>
      <color theme="1"/>
      <name val="Helvetica Light"/>
    </font>
    <font>
      <i/>
      <sz val="12"/>
      <color theme="1"/>
      <name val="Helvetica Light"/>
    </font>
    <font>
      <b/>
      <sz val="12"/>
      <color theme="1"/>
      <name val="Helvetica Light"/>
    </font>
    <font>
      <sz val="12"/>
      <color theme="1"/>
      <name val="Helvetica"/>
      <family val="2"/>
    </font>
    <font>
      <b/>
      <i/>
      <sz val="12"/>
      <color theme="1"/>
      <name val="Helvetica Light"/>
    </font>
    <font>
      <sz val="12"/>
      <color theme="0"/>
      <name val="Helvetica Light"/>
    </font>
    <font>
      <sz val="8"/>
      <color theme="1"/>
      <name val="Helvetica Light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FFC000"/>
      </left>
      <right/>
      <top/>
      <bottom/>
      <diagonal/>
    </border>
    <border>
      <left style="thin">
        <color rgb="FFFFC000"/>
      </left>
      <right/>
      <top style="thin">
        <color theme="1"/>
      </top>
      <bottom/>
      <diagonal/>
    </border>
    <border>
      <left style="thin">
        <color rgb="FFFFC000"/>
      </left>
      <right/>
      <top/>
      <bottom style="thin">
        <color theme="1"/>
      </bottom>
      <diagonal/>
    </border>
    <border>
      <left/>
      <right style="thin">
        <color theme="0"/>
      </right>
      <top style="thin">
        <color theme="1"/>
      </top>
      <bottom/>
      <diagonal/>
    </border>
    <border>
      <left/>
      <right style="thin">
        <color theme="0"/>
      </right>
      <top/>
      <bottom style="thin">
        <color theme="1"/>
      </bottom>
      <diagonal/>
    </border>
    <border>
      <left style="thin">
        <color rgb="FFFFC000"/>
      </left>
      <right/>
      <top style="thin">
        <color theme="0"/>
      </top>
      <bottom/>
      <diagonal/>
    </border>
    <border>
      <left style="thin">
        <color rgb="FFFFC000"/>
      </left>
      <right/>
      <top/>
      <bottom style="thin">
        <color theme="0"/>
      </bottom>
      <diagonal/>
    </border>
    <border>
      <left style="thin">
        <color rgb="FFFFC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0"/>
      </top>
      <bottom style="thin">
        <color theme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01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5" fillId="2" borderId="0" xfId="0" applyFont="1" applyFill="1"/>
    <xf numFmtId="4" fontId="5" fillId="2" borderId="0" xfId="0" applyNumberFormat="1" applyFont="1" applyFill="1"/>
    <xf numFmtId="0" fontId="5" fillId="2" borderId="0" xfId="0" applyFont="1" applyFill="1" applyBorder="1"/>
    <xf numFmtId="0" fontId="6" fillId="2" borderId="0" xfId="1" applyFont="1" applyFill="1"/>
    <xf numFmtId="0" fontId="5" fillId="2" borderId="9" xfId="0" applyFont="1" applyFill="1" applyBorder="1"/>
    <xf numFmtId="0" fontId="5" fillId="2" borderId="10" xfId="0" applyFont="1" applyFill="1" applyBorder="1"/>
    <xf numFmtId="0" fontId="5" fillId="2" borderId="11" xfId="0" applyFont="1" applyFill="1" applyBorder="1"/>
    <xf numFmtId="14" fontId="5" fillId="2" borderId="12" xfId="0" applyNumberFormat="1" applyFont="1" applyFill="1" applyBorder="1"/>
    <xf numFmtId="14" fontId="5" fillId="2" borderId="13" xfId="0" applyNumberFormat="1" applyFont="1" applyFill="1" applyBorder="1"/>
    <xf numFmtId="14" fontId="5" fillId="2" borderId="14" xfId="0" applyNumberFormat="1" applyFont="1" applyFill="1" applyBorder="1"/>
    <xf numFmtId="0" fontId="5" fillId="2" borderId="15" xfId="0" applyFont="1" applyFill="1" applyBorder="1"/>
    <xf numFmtId="164" fontId="7" fillId="2" borderId="0" xfId="0" applyNumberFormat="1" applyFont="1" applyFill="1"/>
    <xf numFmtId="0" fontId="5" fillId="2" borderId="16" xfId="0" applyFont="1" applyFill="1" applyBorder="1"/>
    <xf numFmtId="0" fontId="5" fillId="2" borderId="18" xfId="0" applyFont="1" applyFill="1" applyBorder="1"/>
    <xf numFmtId="0" fontId="8" fillId="2" borderId="0" xfId="0" applyFont="1" applyFill="1"/>
    <xf numFmtId="14" fontId="5" fillId="2" borderId="17" xfId="0" applyNumberFormat="1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5" fillId="2" borderId="19" xfId="0" applyFont="1" applyFill="1" applyBorder="1"/>
    <xf numFmtId="0" fontId="5" fillId="2" borderId="14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5" fillId="2" borderId="8" xfId="0" applyNumberFormat="1" applyFont="1" applyFill="1" applyBorder="1"/>
    <xf numFmtId="0" fontId="5" fillId="2" borderId="8" xfId="0" applyFont="1" applyFill="1" applyBorder="1"/>
    <xf numFmtId="2" fontId="5" fillId="2" borderId="0" xfId="0" applyNumberFormat="1" applyFont="1" applyFill="1" applyBorder="1"/>
    <xf numFmtId="2" fontId="5" fillId="2" borderId="0" xfId="0" applyNumberFormat="1" applyFont="1" applyFill="1"/>
    <xf numFmtId="9" fontId="5" fillId="2" borderId="0" xfId="2" applyFont="1" applyFill="1"/>
    <xf numFmtId="0" fontId="9" fillId="2" borderId="0" xfId="0" applyFont="1" applyFill="1" applyAlignment="1">
      <alignment horizontal="center"/>
    </xf>
    <xf numFmtId="164" fontId="5" fillId="2" borderId="0" xfId="0" applyNumberFormat="1" applyFont="1" applyFill="1"/>
    <xf numFmtId="14" fontId="5" fillId="2" borderId="4" xfId="0" applyNumberFormat="1" applyFont="1" applyFill="1" applyBorder="1"/>
    <xf numFmtId="14" fontId="5" fillId="2" borderId="5" xfId="0" applyNumberFormat="1" applyFont="1" applyFill="1" applyBorder="1"/>
    <xf numFmtId="14" fontId="5" fillId="2" borderId="6" xfId="0" applyNumberFormat="1" applyFont="1" applyFill="1" applyBorder="1"/>
    <xf numFmtId="0" fontId="7" fillId="2" borderId="0" xfId="0" applyFont="1" applyFill="1"/>
    <xf numFmtId="9" fontId="7" fillId="2" borderId="0" xfId="0" applyNumberFormat="1" applyFont="1" applyFill="1"/>
    <xf numFmtId="9" fontId="7" fillId="2" borderId="0" xfId="2" applyFont="1" applyFill="1"/>
    <xf numFmtId="0" fontId="7" fillId="2" borderId="0" xfId="0" quotePrefix="1" applyFont="1" applyFill="1"/>
    <xf numFmtId="10" fontId="7" fillId="2" borderId="0" xfId="0" applyNumberFormat="1" applyFont="1" applyFill="1"/>
    <xf numFmtId="10" fontId="7" fillId="2" borderId="8" xfId="0" applyNumberFormat="1" applyFont="1" applyFill="1" applyBorder="1"/>
    <xf numFmtId="0" fontId="8" fillId="2" borderId="7" xfId="0" applyFont="1" applyFill="1" applyBorder="1"/>
    <xf numFmtId="0" fontId="8" fillId="2" borderId="8" xfId="0" applyFont="1" applyFill="1" applyBorder="1"/>
    <xf numFmtId="2" fontId="8" fillId="2" borderId="8" xfId="0" applyNumberFormat="1" applyFont="1" applyFill="1" applyBorder="1"/>
    <xf numFmtId="9" fontId="5" fillId="2" borderId="0" xfId="0" applyNumberFormat="1" applyFont="1" applyFill="1"/>
    <xf numFmtId="0" fontId="8" fillId="2" borderId="15" xfId="0" applyFont="1" applyFill="1" applyBorder="1"/>
    <xf numFmtId="0" fontId="1" fillId="2" borderId="0" xfId="1" applyFill="1" applyAlignment="1">
      <alignment horizontal="left"/>
    </xf>
    <xf numFmtId="164" fontId="6" fillId="2" borderId="0" xfId="1" applyNumberFormat="1" applyFont="1" applyFill="1"/>
    <xf numFmtId="0" fontId="5" fillId="2" borderId="0" xfId="1" applyFont="1" applyFill="1" applyAlignment="1">
      <alignment horizontal="left"/>
    </xf>
    <xf numFmtId="0" fontId="8" fillId="2" borderId="4" xfId="0" applyFont="1" applyFill="1" applyBorder="1"/>
    <xf numFmtId="165" fontId="5" fillId="2" borderId="0" xfId="0" applyNumberFormat="1" applyFont="1" applyFill="1"/>
    <xf numFmtId="165" fontId="5" fillId="2" borderId="15" xfId="0" applyNumberFormat="1" applyFont="1" applyFill="1" applyBorder="1"/>
    <xf numFmtId="165" fontId="5" fillId="2" borderId="0" xfId="0" applyNumberFormat="1" applyFont="1" applyFill="1" applyBorder="1"/>
    <xf numFmtId="2" fontId="7" fillId="2" borderId="0" xfId="0" applyNumberFormat="1" applyFont="1" applyFill="1"/>
    <xf numFmtId="2" fontId="7" fillId="2" borderId="0" xfId="0" applyNumberFormat="1" applyFont="1" applyFill="1" applyBorder="1"/>
    <xf numFmtId="9" fontId="7" fillId="2" borderId="0" xfId="2" applyFont="1" applyFill="1" applyBorder="1"/>
    <xf numFmtId="0" fontId="7" fillId="2" borderId="0" xfId="0" applyFont="1" applyFill="1" applyBorder="1"/>
    <xf numFmtId="0" fontId="10" fillId="2" borderId="0" xfId="0" applyFont="1" applyFill="1"/>
    <xf numFmtId="9" fontId="10" fillId="2" borderId="0" xfId="2" applyFont="1" applyFill="1"/>
    <xf numFmtId="0" fontId="7" fillId="2" borderId="15" xfId="0" applyFont="1" applyFill="1" applyBorder="1"/>
    <xf numFmtId="165" fontId="8" fillId="2" borderId="0" xfId="0" applyNumberFormat="1" applyFont="1" applyFill="1"/>
    <xf numFmtId="9" fontId="10" fillId="2" borderId="0" xfId="0" applyNumberFormat="1" applyFont="1" applyFill="1"/>
    <xf numFmtId="1" fontId="5" fillId="2" borderId="0" xfId="0" applyNumberFormat="1" applyFont="1" applyFill="1" applyBorder="1"/>
    <xf numFmtId="1" fontId="5" fillId="2" borderId="0" xfId="0" applyNumberFormat="1" applyFont="1" applyFill="1"/>
    <xf numFmtId="0" fontId="5" fillId="2" borderId="20" xfId="0" applyFont="1" applyFill="1" applyBorder="1"/>
    <xf numFmtId="14" fontId="5" fillId="2" borderId="21" xfId="0" applyNumberFormat="1" applyFont="1" applyFill="1" applyBorder="1"/>
    <xf numFmtId="2" fontId="5" fillId="2" borderId="15" xfId="0" applyNumberFormat="1" applyFont="1" applyFill="1" applyBorder="1"/>
    <xf numFmtId="2" fontId="8" fillId="2" borderId="22" xfId="0" applyNumberFormat="1" applyFont="1" applyFill="1" applyBorder="1"/>
    <xf numFmtId="9" fontId="7" fillId="2" borderId="15" xfId="0" applyNumberFormat="1" applyFont="1" applyFill="1" applyBorder="1"/>
    <xf numFmtId="9" fontId="7" fillId="2" borderId="15" xfId="2" applyFont="1" applyFill="1" applyBorder="1"/>
    <xf numFmtId="0" fontId="5" fillId="2" borderId="22" xfId="0" applyFont="1" applyFill="1" applyBorder="1"/>
    <xf numFmtId="2" fontId="5" fillId="2" borderId="22" xfId="0" applyNumberFormat="1" applyFont="1" applyFill="1" applyBorder="1"/>
    <xf numFmtId="9" fontId="5" fillId="2" borderId="15" xfId="0" applyNumberFormat="1" applyFont="1" applyFill="1" applyBorder="1"/>
    <xf numFmtId="1" fontId="5" fillId="2" borderId="15" xfId="0" applyNumberFormat="1" applyFont="1" applyFill="1" applyBorder="1"/>
    <xf numFmtId="9" fontId="10" fillId="2" borderId="15" xfId="2" applyFont="1" applyFill="1" applyBorder="1"/>
    <xf numFmtId="9" fontId="5" fillId="2" borderId="15" xfId="2" applyFont="1" applyFill="1" applyBorder="1"/>
    <xf numFmtId="10" fontId="5" fillId="2" borderId="0" xfId="0" applyNumberFormat="1" applyFont="1" applyFill="1"/>
    <xf numFmtId="166" fontId="5" fillId="2" borderId="0" xfId="0" applyNumberFormat="1" applyFont="1" applyFill="1" applyBorder="1"/>
    <xf numFmtId="0" fontId="5" fillId="2" borderId="23" xfId="0" applyFont="1" applyFill="1" applyBorder="1"/>
    <xf numFmtId="44" fontId="5" fillId="2" borderId="0" xfId="3" applyFont="1" applyFill="1" applyBorder="1"/>
    <xf numFmtId="0" fontId="11" fillId="3" borderId="0" xfId="0" applyFont="1" applyFill="1"/>
    <xf numFmtId="0" fontId="12" fillId="0" borderId="0" xfId="0" applyFont="1" applyAlignment="1">
      <alignment horizontal="left" vertical="center"/>
    </xf>
    <xf numFmtId="164" fontId="6" fillId="2" borderId="0" xfId="1" applyNumberFormat="1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1" fontId="8" fillId="2" borderId="8" xfId="0" applyNumberFormat="1" applyFont="1" applyFill="1" applyBorder="1"/>
    <xf numFmtId="167" fontId="5" fillId="2" borderId="0" xfId="3" applyNumberFormat="1" applyFont="1" applyFill="1" applyBorder="1"/>
    <xf numFmtId="9" fontId="7" fillId="2" borderId="0" xfId="0" applyNumberFormat="1" applyFont="1" applyFill="1" applyBorder="1"/>
    <xf numFmtId="14" fontId="5" fillId="2" borderId="0" xfId="0" applyNumberFormat="1" applyFont="1" applyFill="1"/>
    <xf numFmtId="0" fontId="12" fillId="0" borderId="0" xfId="0" applyFont="1" applyBorder="1" applyAlignment="1">
      <alignment horizontal="center" vertical="top" wrapText="1"/>
    </xf>
    <xf numFmtId="165" fontId="8" fillId="2" borderId="15" xfId="0" applyNumberFormat="1" applyFont="1" applyFill="1" applyBorder="1"/>
    <xf numFmtId="9" fontId="10" fillId="2" borderId="15" xfId="0" applyNumberFormat="1" applyFont="1" applyFill="1" applyBorder="1"/>
    <xf numFmtId="166" fontId="5" fillId="2" borderId="15" xfId="0" applyNumberFormat="1" applyFont="1" applyFill="1" applyBorder="1"/>
    <xf numFmtId="44" fontId="5" fillId="2" borderId="15" xfId="3" applyFont="1" applyFill="1" applyBorder="1"/>
    <xf numFmtId="167" fontId="5" fillId="2" borderId="15" xfId="3" applyNumberFormat="1" applyFont="1" applyFill="1" applyBorder="1"/>
    <xf numFmtId="1" fontId="8" fillId="2" borderId="22" xfId="0" applyNumberFormat="1" applyFont="1" applyFill="1" applyBorder="1"/>
  </cellXfs>
  <cellStyles count="4">
    <cellStyle name="Currency" xfId="3" builtinId="4"/>
    <cellStyle name="Hyperlink" xfId="1" builtinId="8"/>
    <cellStyle name="Normal" xfId="0" builtinId="0"/>
    <cellStyle name="Percent" xfId="2" builtinId="5"/>
  </cellStyles>
  <dxfs count="44"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b val="0"/>
        <i val="0"/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b val="0"/>
        <i val="0"/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b val="0"/>
        <i val="0"/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  <dxf>
      <font>
        <color rgb="FFBD352B"/>
      </font>
    </dxf>
  </dxfs>
  <tableStyles count="0" defaultTableStyle="TableStyleMedium2" defaultPivotStyle="PivotStyleLight16"/>
  <colors>
    <mruColors>
      <color rgb="FFBD35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E023B-C9DE-A643-84E0-907C0A7F451C}">
  <sheetPr>
    <tabColor theme="0"/>
  </sheetPr>
  <dimension ref="A1:F30"/>
  <sheetViews>
    <sheetView topLeftCell="A14" workbookViewId="0">
      <selection activeCell="A4" sqref="A4:B9"/>
    </sheetView>
  </sheetViews>
  <sheetFormatPr baseColWidth="10" defaultRowHeight="16"/>
  <cols>
    <col min="1" max="1" width="33.83203125" style="3" customWidth="1"/>
    <col min="2" max="16384" width="10.83203125" style="3"/>
  </cols>
  <sheetData>
    <row r="1" spans="1:1" ht="206" customHeight="1"/>
    <row r="4" spans="1:1">
      <c r="A4" s="89" t="s">
        <v>153</v>
      </c>
    </row>
    <row r="5" spans="1:1">
      <c r="A5" s="89" t="s">
        <v>133</v>
      </c>
    </row>
    <row r="9" spans="1:1">
      <c r="A9" s="87" t="s">
        <v>159</v>
      </c>
    </row>
    <row r="10" spans="1:1">
      <c r="A10" s="87" t="s">
        <v>136</v>
      </c>
    </row>
    <row r="11" spans="1:1">
      <c r="A11" s="87" t="s">
        <v>135</v>
      </c>
    </row>
    <row r="12" spans="1:1">
      <c r="A12" s="87" t="s">
        <v>178</v>
      </c>
    </row>
    <row r="13" spans="1:1">
      <c r="A13" s="87" t="s">
        <v>179</v>
      </c>
    </row>
    <row r="14" spans="1:1">
      <c r="A14" s="88" t="s">
        <v>197</v>
      </c>
    </row>
    <row r="26" spans="1:6">
      <c r="A26" s="53"/>
    </row>
    <row r="27" spans="1:6">
      <c r="A27" s="53"/>
    </row>
    <row r="28" spans="1:6" s="35" customFormat="1">
      <c r="A28" s="86"/>
    </row>
    <row r="29" spans="1:6" s="35" customFormat="1"/>
    <row r="30" spans="1:6" s="35" customFormat="1" ht="285" customHeight="1">
      <c r="A30" s="94"/>
      <c r="B30" s="94"/>
      <c r="C30" s="94"/>
      <c r="D30" s="94"/>
      <c r="E30" s="94"/>
      <c r="F30" s="94"/>
    </row>
  </sheetData>
  <mergeCells count="1">
    <mergeCell ref="A30:F30"/>
  </mergeCells>
  <conditionalFormatting sqref="A9:A13">
    <cfRule type="cellIs" dxfId="43" priority="1" operator="lessThan">
      <formula>0</formula>
    </cfRule>
  </conditionalFormatting>
  <hyperlinks>
    <hyperlink ref="A9" location="Main!A1" display="Main" xr:uid="{6E79BD3A-B46E-B841-A8F6-A6D41929D3CC}"/>
    <hyperlink ref="A10" location="'Revenue Build'!A1" display="Revenue Build" xr:uid="{FDE5C1E7-A650-4B47-93A0-385019B43191}"/>
    <hyperlink ref="A11" location="'P&amp;L GAAP'!A1" display="P&amp;L GAAP" xr:uid="{164CEBE5-3A7F-F44D-B840-334DF07B0944}"/>
    <hyperlink ref="A12" location="BS!A1" display="BS" xr:uid="{5FD56826-B50A-9349-9FDA-0EB7AA970BEB}"/>
    <hyperlink ref="A13" location="CFS!A1" display="CFS" xr:uid="{EEE12E93-9F06-D54F-9393-D78B35231351}"/>
    <hyperlink ref="A14" location="Multiples!A1" display="Multiples" xr:uid="{FF0537C2-9CAB-CF49-85F7-467216303AE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4B1E-9420-D946-803B-7783DFFDC2B8}">
  <sheetPr>
    <tabColor theme="0"/>
  </sheetPr>
  <dimension ref="A1"/>
  <sheetViews>
    <sheetView workbookViewId="0">
      <selection activeCell="F24" sqref="F24"/>
    </sheetView>
  </sheetViews>
  <sheetFormatPr baseColWidth="10" defaultRowHeight="16"/>
  <cols>
    <col min="1" max="16384" width="10.83203125" style="85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E17DD-AFE4-1C4A-B6FB-E076A76B8E5F}">
  <sheetPr>
    <tabColor theme="1"/>
  </sheetPr>
  <dimension ref="A1:AF46"/>
  <sheetViews>
    <sheetView workbookViewId="0">
      <pane xSplit="1" ySplit="14" topLeftCell="B15" activePane="bottomRight" state="frozen"/>
      <selection pane="topRight" activeCell="B1" sqref="B1"/>
      <selection pane="bottomLeft" activeCell="A8" sqref="A8"/>
      <selection pane="bottomRight" activeCell="D23" sqref="D23"/>
    </sheetView>
  </sheetViews>
  <sheetFormatPr baseColWidth="10" defaultRowHeight="16"/>
  <cols>
    <col min="1" max="1" width="48.5" style="3" bestFit="1" customWidth="1"/>
    <col min="2" max="4" width="8" style="3" bestFit="1" customWidth="1"/>
    <col min="5" max="5" width="9.1640625" style="3" bestFit="1" customWidth="1"/>
    <col min="6" max="8" width="8" style="3" bestFit="1" customWidth="1"/>
    <col min="9" max="9" width="9.1640625" style="3" bestFit="1" customWidth="1"/>
    <col min="10" max="10" width="8" style="3" bestFit="1" customWidth="1"/>
    <col min="11" max="11" width="8" style="13" bestFit="1" customWidth="1"/>
    <col min="12" max="12" width="8" style="3" bestFit="1" customWidth="1"/>
    <col min="13" max="13" width="9.1640625" style="3" bestFit="1" customWidth="1"/>
    <col min="14" max="16" width="8" style="3" bestFit="1" customWidth="1"/>
    <col min="17" max="17" width="9.1640625" style="3" bestFit="1" customWidth="1"/>
    <col min="18" max="20" width="8" style="3" bestFit="1" customWidth="1"/>
    <col min="21" max="21" width="9.1640625" style="3" bestFit="1" customWidth="1"/>
    <col min="22" max="24" width="10.83203125" style="3"/>
    <col min="25" max="25" width="7.5" style="3" bestFit="1" customWidth="1"/>
    <col min="26" max="32" width="5.83203125" style="3" bestFit="1" customWidth="1"/>
    <col min="33" max="16384" width="10.83203125" style="3"/>
  </cols>
  <sheetData>
    <row r="1" spans="1:32" ht="81" customHeight="1">
      <c r="A1" s="1"/>
      <c r="B1" s="5"/>
    </row>
    <row r="2" spans="1:32" ht="26">
      <c r="A2" s="2" t="s">
        <v>134</v>
      </c>
      <c r="B2" s="5"/>
    </row>
    <row r="3" spans="1:32">
      <c r="A3" s="3" t="s">
        <v>133</v>
      </c>
      <c r="B3" s="5"/>
    </row>
    <row r="4" spans="1:32">
      <c r="A4" s="14" t="s">
        <v>158</v>
      </c>
      <c r="B4" s="5"/>
    </row>
    <row r="5" spans="1:32">
      <c r="A5" s="14"/>
      <c r="B5" s="5"/>
    </row>
    <row r="6" spans="1:32">
      <c r="A6" s="51"/>
      <c r="B6" s="5"/>
    </row>
    <row r="7" spans="1:32">
      <c r="A7" s="52" t="s">
        <v>159</v>
      </c>
      <c r="B7" s="5"/>
    </row>
    <row r="8" spans="1:32">
      <c r="A8" s="52" t="s">
        <v>136</v>
      </c>
      <c r="B8" s="5"/>
    </row>
    <row r="9" spans="1:32">
      <c r="A9" s="52" t="s">
        <v>135</v>
      </c>
      <c r="B9" s="5"/>
    </row>
    <row r="10" spans="1:32">
      <c r="A10" s="52" t="s">
        <v>178</v>
      </c>
      <c r="B10" s="5"/>
    </row>
    <row r="11" spans="1:32">
      <c r="A11" s="52" t="s">
        <v>179</v>
      </c>
    </row>
    <row r="13" spans="1:32">
      <c r="B13" s="7" t="s">
        <v>106</v>
      </c>
      <c r="C13" s="8" t="s">
        <v>107</v>
      </c>
      <c r="D13" s="8" t="s">
        <v>108</v>
      </c>
      <c r="E13" s="8" t="s">
        <v>109</v>
      </c>
      <c r="F13" s="8" t="s">
        <v>110</v>
      </c>
      <c r="G13" s="8" t="s">
        <v>111</v>
      </c>
      <c r="H13" s="8" t="s">
        <v>112</v>
      </c>
      <c r="I13" s="8" t="s">
        <v>113</v>
      </c>
      <c r="J13" s="8" t="s">
        <v>114</v>
      </c>
      <c r="K13" s="15" t="s">
        <v>115</v>
      </c>
      <c r="L13" s="8" t="s">
        <v>116</v>
      </c>
      <c r="M13" s="8" t="s">
        <v>117</v>
      </c>
      <c r="N13" s="8" t="s">
        <v>118</v>
      </c>
      <c r="O13" s="8" t="s">
        <v>119</v>
      </c>
      <c r="P13" s="8" t="s">
        <v>120</v>
      </c>
      <c r="Q13" s="8" t="s">
        <v>121</v>
      </c>
      <c r="R13" s="8" t="s">
        <v>122</v>
      </c>
      <c r="S13" s="8" t="s">
        <v>123</v>
      </c>
      <c r="T13" s="8" t="s">
        <v>124</v>
      </c>
      <c r="U13" s="9" t="s">
        <v>125</v>
      </c>
      <c r="Y13" s="7" t="s">
        <v>160</v>
      </c>
      <c r="Z13" s="8" t="s">
        <v>127</v>
      </c>
      <c r="AA13" s="8" t="s">
        <v>129</v>
      </c>
      <c r="AB13" s="8" t="s">
        <v>130</v>
      </c>
      <c r="AC13" s="16" t="s">
        <v>131</v>
      </c>
      <c r="AD13" s="8" t="s">
        <v>154</v>
      </c>
      <c r="AE13" s="8" t="s">
        <v>156</v>
      </c>
      <c r="AF13" s="9" t="s">
        <v>157</v>
      </c>
    </row>
    <row r="14" spans="1:32">
      <c r="A14" s="17" t="s">
        <v>159</v>
      </c>
      <c r="B14" s="10">
        <v>43921</v>
      </c>
      <c r="C14" s="11">
        <v>44012</v>
      </c>
      <c r="D14" s="11">
        <v>44104</v>
      </c>
      <c r="E14" s="11">
        <v>44196</v>
      </c>
      <c r="F14" s="11">
        <v>44286</v>
      </c>
      <c r="G14" s="11">
        <v>44377</v>
      </c>
      <c r="H14" s="11">
        <v>44469</v>
      </c>
      <c r="I14" s="11">
        <v>44561</v>
      </c>
      <c r="J14" s="11">
        <v>44651</v>
      </c>
      <c r="K14" s="18">
        <f>G14+365</f>
        <v>44742</v>
      </c>
      <c r="L14" s="11">
        <f t="shared" ref="L14:Q14" si="0">H14+365</f>
        <v>44834</v>
      </c>
      <c r="M14" s="11">
        <f t="shared" si="0"/>
        <v>44926</v>
      </c>
      <c r="N14" s="11">
        <f t="shared" si="0"/>
        <v>45016</v>
      </c>
      <c r="O14" s="11">
        <f t="shared" si="0"/>
        <v>45107</v>
      </c>
      <c r="P14" s="11">
        <f t="shared" si="0"/>
        <v>45199</v>
      </c>
      <c r="Q14" s="11">
        <f t="shared" si="0"/>
        <v>45291</v>
      </c>
      <c r="R14" s="11">
        <f>N14+366</f>
        <v>45382</v>
      </c>
      <c r="S14" s="11">
        <f t="shared" ref="S14:U14" si="1">O14+366</f>
        <v>45473</v>
      </c>
      <c r="T14" s="11">
        <f t="shared" si="1"/>
        <v>45565</v>
      </c>
      <c r="U14" s="12">
        <f t="shared" si="1"/>
        <v>45657</v>
      </c>
      <c r="Y14" s="19"/>
      <c r="Z14" s="20"/>
      <c r="AA14" s="20"/>
      <c r="AB14" s="20"/>
      <c r="AC14" s="21"/>
      <c r="AD14" s="20"/>
      <c r="AE14" s="20"/>
      <c r="AF14" s="22"/>
    </row>
    <row r="15" spans="1:32" s="17" customFormat="1">
      <c r="A15" s="17" t="s">
        <v>0</v>
      </c>
      <c r="B15" s="65">
        <f>'Revenue Build'!B44</f>
        <v>63.989999999999995</v>
      </c>
      <c r="C15" s="65">
        <f>'Revenue Build'!C44</f>
        <v>17.344000000000001</v>
      </c>
      <c r="D15" s="65">
        <f>'Revenue Build'!D44</f>
        <v>65.36</v>
      </c>
      <c r="E15" s="65">
        <f>'Revenue Build'!E44</f>
        <v>86.722000000000008</v>
      </c>
      <c r="F15" s="65">
        <f>'Revenue Build'!F44</f>
        <v>121.35</v>
      </c>
      <c r="G15" s="65">
        <f>'Revenue Build'!G44</f>
        <v>193.95000000000002</v>
      </c>
      <c r="H15" s="65">
        <f>'Revenue Build'!H44</f>
        <v>228.45</v>
      </c>
      <c r="I15" s="65">
        <f>'Revenue Build'!I44</f>
        <v>304.83899999999994</v>
      </c>
      <c r="J15" s="65">
        <f>'Revenue Build'!J44</f>
        <v>310.13</v>
      </c>
      <c r="K15" s="95">
        <f>'Revenue Build'!K44</f>
        <v>215.7064</v>
      </c>
      <c r="L15" s="65">
        <f>'Revenue Build'!L44</f>
        <v>201.6225</v>
      </c>
      <c r="M15" s="65">
        <f>'Revenue Build'!M44</f>
        <v>309.16469999999993</v>
      </c>
      <c r="N15" s="65">
        <f>'Revenue Build'!N44</f>
        <v>347.92350000000005</v>
      </c>
      <c r="O15" s="65">
        <f>'Revenue Build'!O44</f>
        <v>264.85750000000002</v>
      </c>
      <c r="P15" s="65">
        <f>'Revenue Build'!P44</f>
        <v>256.19572500000004</v>
      </c>
      <c r="Q15" s="65">
        <f>'Revenue Build'!Q44</f>
        <v>322.12176499999993</v>
      </c>
      <c r="R15" s="65">
        <f>'Revenue Build'!R44</f>
        <v>363.59817500000003</v>
      </c>
      <c r="S15" s="65">
        <f>'Revenue Build'!S44</f>
        <v>277.39483750000005</v>
      </c>
      <c r="T15" s="65">
        <f>'Revenue Build'!T44</f>
        <v>268.02932874999999</v>
      </c>
      <c r="U15" s="65">
        <f>'Revenue Build'!U44</f>
        <v>335.72443174999995</v>
      </c>
    </row>
    <row r="16" spans="1:32">
      <c r="A16" s="3" t="s">
        <v>165</v>
      </c>
      <c r="B16" s="55">
        <f>'Revenue Build'!B14</f>
        <v>60.23</v>
      </c>
      <c r="C16" s="55">
        <f>'Revenue Build'!C14</f>
        <v>7.61</v>
      </c>
      <c r="D16" s="55">
        <f>'Revenue Build'!D14</f>
        <v>55.64</v>
      </c>
      <c r="E16" s="55">
        <f>'Revenue Build'!E14</f>
        <v>76.777000000000001</v>
      </c>
      <c r="F16" s="55">
        <f>'Revenue Build'!F14</f>
        <v>106.95</v>
      </c>
      <c r="G16" s="55">
        <f>'Revenue Build'!G14</f>
        <v>169.08</v>
      </c>
      <c r="H16" s="55">
        <f>'Revenue Build'!H14</f>
        <v>191.44</v>
      </c>
      <c r="I16" s="55">
        <f>'Revenue Build'!I14</f>
        <v>258.69099999999992</v>
      </c>
      <c r="J16" s="55">
        <f>'Revenue Build'!J14</f>
        <v>271.81</v>
      </c>
      <c r="K16" s="56">
        <f>'Revenue Build'!K14</f>
        <v>199.51439999999999</v>
      </c>
      <c r="L16" s="55">
        <f>'Revenue Build'!L14</f>
        <v>181.86799999999999</v>
      </c>
      <c r="M16" s="55">
        <f>'Revenue Build'!M14</f>
        <v>258.69099999999992</v>
      </c>
      <c r="N16" s="55">
        <f>'Revenue Build'!N14</f>
        <v>312.58150000000001</v>
      </c>
      <c r="O16" s="55">
        <f>'Revenue Build'!O14</f>
        <v>249.393</v>
      </c>
      <c r="P16" s="55">
        <f>'Revenue Build'!P14</f>
        <v>236.42840000000001</v>
      </c>
      <c r="Q16" s="55">
        <f>'Revenue Build'!Q14</f>
        <v>271.62554999999992</v>
      </c>
      <c r="R16" s="55">
        <f>'Revenue Build'!R14</f>
        <v>328.21057500000001</v>
      </c>
      <c r="S16" s="55">
        <f>'Revenue Build'!S14</f>
        <v>261.86265000000003</v>
      </c>
      <c r="T16" s="55">
        <f>'Revenue Build'!T14</f>
        <v>248.24982000000003</v>
      </c>
      <c r="U16" s="55">
        <f>'Revenue Build'!U14</f>
        <v>285.20682749999992</v>
      </c>
    </row>
    <row r="17" spans="1:21">
      <c r="A17" s="3" t="s">
        <v>164</v>
      </c>
      <c r="B17" s="55">
        <f>'Revenue Build'!B18</f>
        <v>7.78</v>
      </c>
      <c r="C17" s="55">
        <f>'Revenue Build'!C18</f>
        <v>5.69</v>
      </c>
      <c r="D17" s="55">
        <f>'Revenue Build'!D18</f>
        <v>7.22</v>
      </c>
      <c r="E17" s="55">
        <f>'Revenue Build'!E18</f>
        <v>7.6529999999999987</v>
      </c>
      <c r="F17" s="55">
        <f>'Revenue Build'!F18</f>
        <v>9.2200000000000006</v>
      </c>
      <c r="G17" s="55">
        <f>'Revenue Build'!G18</f>
        <v>18.22</v>
      </c>
      <c r="H17" s="55">
        <f>'Revenue Build'!H18</f>
        <v>18.98</v>
      </c>
      <c r="I17" s="55">
        <f>'Revenue Build'!I18</f>
        <v>28.694000000000003</v>
      </c>
      <c r="J17" s="55">
        <f>'Revenue Build'!J18</f>
        <v>42.17</v>
      </c>
      <c r="K17" s="56">
        <f>'Revenue Build'!K18</f>
        <v>20.042000000000002</v>
      </c>
      <c r="L17" s="55">
        <f>'Revenue Build'!L18</f>
        <v>18.030999999999999</v>
      </c>
      <c r="M17" s="55">
        <f>'Revenue Build'!M18</f>
        <v>28.694000000000003</v>
      </c>
      <c r="N17" s="55">
        <f>'Revenue Build'!N18</f>
        <v>42.17</v>
      </c>
      <c r="O17" s="55">
        <f>'Revenue Build'!O18</f>
        <v>20.042000000000002</v>
      </c>
      <c r="P17" s="55">
        <f>'Revenue Build'!P18</f>
        <v>18.030999999999999</v>
      </c>
      <c r="Q17" s="55">
        <f>'Revenue Build'!Q18</f>
        <v>28.694000000000003</v>
      </c>
      <c r="R17" s="55">
        <f>'Revenue Build'!R18</f>
        <v>42.17</v>
      </c>
      <c r="S17" s="55">
        <f>'Revenue Build'!S18</f>
        <v>20.042000000000002</v>
      </c>
      <c r="T17" s="55">
        <f>'Revenue Build'!T18</f>
        <v>18.030999999999999</v>
      </c>
      <c r="U17" s="55">
        <f>'Revenue Build'!U18</f>
        <v>28.694000000000003</v>
      </c>
    </row>
    <row r="18" spans="1:21">
      <c r="A18" s="3" t="s">
        <v>167</v>
      </c>
      <c r="B18" s="55">
        <f>'Revenue Build'!B40</f>
        <v>-4.0199999999999996</v>
      </c>
      <c r="C18" s="55">
        <f>'Revenue Build'!C40</f>
        <v>4.0440000000000005</v>
      </c>
      <c r="D18" s="55">
        <f>'Revenue Build'!D40</f>
        <v>2.4999999999999991</v>
      </c>
      <c r="E18" s="55">
        <f>'Revenue Build'!E40</f>
        <v>2.291999999999998</v>
      </c>
      <c r="F18" s="55">
        <f>'Revenue Build'!F40</f>
        <v>5.18</v>
      </c>
      <c r="G18" s="55">
        <f>'Revenue Build'!G40</f>
        <v>6.6499999999999995</v>
      </c>
      <c r="H18" s="55">
        <f>'Revenue Build'!H40</f>
        <v>18.03</v>
      </c>
      <c r="I18" s="55">
        <f>'Revenue Build'!I40</f>
        <v>17.454000000000001</v>
      </c>
      <c r="J18" s="55">
        <f>'Revenue Build'!J40</f>
        <v>-3.8499999999999979</v>
      </c>
      <c r="K18" s="56">
        <f>'Revenue Build'!K40</f>
        <v>-3.8499999999999979</v>
      </c>
      <c r="L18" s="55">
        <f>'Revenue Build'!L40</f>
        <v>1.7234999999999996</v>
      </c>
      <c r="M18" s="55">
        <f>'Revenue Build'!M40</f>
        <v>21.779699999999998</v>
      </c>
      <c r="N18" s="55">
        <f>'Revenue Build'!N40</f>
        <v>-6.8279999999999994</v>
      </c>
      <c r="O18" s="55">
        <f>'Revenue Build'!O40</f>
        <v>-4.5774999999999988</v>
      </c>
      <c r="P18" s="55">
        <f>'Revenue Build'!P40</f>
        <v>1.7363250000000008</v>
      </c>
      <c r="Q18" s="55">
        <f>'Revenue Build'!Q40</f>
        <v>21.802215</v>
      </c>
      <c r="R18" s="55">
        <f>'Revenue Build'!R40</f>
        <v>-6.7823999999999991</v>
      </c>
      <c r="S18" s="55">
        <f>'Revenue Build'!S40</f>
        <v>-4.5098124999999989</v>
      </c>
      <c r="T18" s="55">
        <f>'Revenue Build'!T40</f>
        <v>1.7485087500000009</v>
      </c>
      <c r="U18" s="55">
        <f>'Revenue Build'!U40</f>
        <v>21.823604250000002</v>
      </c>
    </row>
    <row r="20" spans="1:21" s="62" customFormat="1">
      <c r="A20" s="62" t="s">
        <v>162</v>
      </c>
      <c r="F20" s="63">
        <f>F15/B15-1</f>
        <v>0.896390060947023</v>
      </c>
      <c r="G20" s="63">
        <f t="shared" ref="G20:J23" si="2">G15/C15-1</f>
        <v>10.18254151291513</v>
      </c>
      <c r="H20" s="63">
        <f t="shared" si="2"/>
        <v>2.4952570379436962</v>
      </c>
      <c r="I20" s="63">
        <f t="shared" si="2"/>
        <v>2.5151288023800178</v>
      </c>
      <c r="J20" s="63">
        <f t="shared" si="2"/>
        <v>1.5556654305727236</v>
      </c>
      <c r="K20" s="79">
        <f t="shared" ref="K20:K23" si="3">K15/G15-1</f>
        <v>0.11217530291312183</v>
      </c>
      <c r="L20" s="63">
        <f t="shared" ref="L20:L23" si="4">L15/H15-1</f>
        <v>-0.11743269862114247</v>
      </c>
      <c r="M20" s="63">
        <f t="shared" ref="M20:M23" si="5">M15/I15-1</f>
        <v>1.419011346973309E-2</v>
      </c>
      <c r="N20" s="63">
        <f t="shared" ref="N20:N23" si="6">N15/J15-1</f>
        <v>0.12186341211749929</v>
      </c>
      <c r="O20" s="63">
        <f t="shared" ref="O20:O23" si="7">O15/K15-1</f>
        <v>0.22786111121413177</v>
      </c>
      <c r="P20" s="63">
        <f t="shared" ref="P20:P23" si="8">P15/L15-1</f>
        <v>0.27067031209314463</v>
      </c>
      <c r="Q20" s="63">
        <f t="shared" ref="Q20:Q23" si="9">Q15/M15-1</f>
        <v>4.1909910801589012E-2</v>
      </c>
      <c r="R20" s="63">
        <f t="shared" ref="R20:R23" si="10">R15/N15-1</f>
        <v>4.5052073228741385E-2</v>
      </c>
      <c r="S20" s="63">
        <f t="shared" ref="S20:S23" si="11">S15/O15-1</f>
        <v>4.7336161898379414E-2</v>
      </c>
      <c r="T20" s="63">
        <f t="shared" ref="T20:T23" si="12">T15/P15-1</f>
        <v>4.6189700277004864E-2</v>
      </c>
      <c r="U20" s="63">
        <f t="shared" ref="U20:U23" si="13">U15/Q15-1</f>
        <v>4.2228337939226313E-2</v>
      </c>
    </row>
    <row r="21" spans="1:21" s="40" customFormat="1">
      <c r="A21" s="40" t="s">
        <v>163</v>
      </c>
      <c r="F21" s="42">
        <f t="shared" ref="F21:F23" si="14">F16/B16-1</f>
        <v>0.77569317615806099</v>
      </c>
      <c r="G21" s="42">
        <f t="shared" si="2"/>
        <v>21.218134034165573</v>
      </c>
      <c r="H21" s="42">
        <f t="shared" si="2"/>
        <v>2.4406901509705246</v>
      </c>
      <c r="I21" s="42">
        <f t="shared" si="2"/>
        <v>2.3693814553837726</v>
      </c>
      <c r="J21" s="42">
        <f t="shared" si="2"/>
        <v>1.5414679756895744</v>
      </c>
      <c r="K21" s="74">
        <f t="shared" si="3"/>
        <v>0.17999999999999994</v>
      </c>
      <c r="L21" s="42">
        <f t="shared" si="4"/>
        <v>-5.0000000000000044E-2</v>
      </c>
      <c r="M21" s="42">
        <f t="shared" si="5"/>
        <v>0</v>
      </c>
      <c r="N21" s="42">
        <f t="shared" si="6"/>
        <v>0.14999999999999991</v>
      </c>
      <c r="O21" s="42">
        <f t="shared" si="7"/>
        <v>0.25</v>
      </c>
      <c r="P21" s="42">
        <f t="shared" si="8"/>
        <v>0.30000000000000004</v>
      </c>
      <c r="Q21" s="42">
        <f t="shared" si="9"/>
        <v>5.0000000000000044E-2</v>
      </c>
      <c r="R21" s="42">
        <f t="shared" si="10"/>
        <v>5.0000000000000044E-2</v>
      </c>
      <c r="S21" s="42">
        <f t="shared" si="11"/>
        <v>5.0000000000000044E-2</v>
      </c>
      <c r="T21" s="42">
        <f t="shared" si="12"/>
        <v>5.0000000000000044E-2</v>
      </c>
      <c r="U21" s="42">
        <f t="shared" si="13"/>
        <v>5.0000000000000044E-2</v>
      </c>
    </row>
    <row r="22" spans="1:21" s="40" customFormat="1">
      <c r="A22" s="40" t="s">
        <v>168</v>
      </c>
      <c r="F22" s="42">
        <f t="shared" si="14"/>
        <v>0.18508997429305918</v>
      </c>
      <c r="G22" s="42">
        <f t="shared" si="2"/>
        <v>2.2021089630931456</v>
      </c>
      <c r="H22" s="42">
        <f t="shared" si="2"/>
        <v>1.628808864265928</v>
      </c>
      <c r="I22" s="42">
        <f t="shared" si="2"/>
        <v>2.7493793283679611</v>
      </c>
      <c r="J22" s="42">
        <f t="shared" si="2"/>
        <v>3.5737527114967458</v>
      </c>
      <c r="K22" s="74">
        <f t="shared" si="3"/>
        <v>0.10000000000000009</v>
      </c>
      <c r="L22" s="42">
        <f t="shared" si="4"/>
        <v>-5.0000000000000044E-2</v>
      </c>
      <c r="M22" s="42">
        <f t="shared" si="5"/>
        <v>0</v>
      </c>
      <c r="N22" s="42">
        <f t="shared" si="6"/>
        <v>0</v>
      </c>
      <c r="O22" s="42">
        <f t="shared" si="7"/>
        <v>0</v>
      </c>
      <c r="P22" s="42">
        <f t="shared" si="8"/>
        <v>0</v>
      </c>
      <c r="Q22" s="42">
        <f t="shared" si="9"/>
        <v>0</v>
      </c>
      <c r="R22" s="42">
        <f t="shared" si="10"/>
        <v>0</v>
      </c>
      <c r="S22" s="42">
        <f t="shared" si="11"/>
        <v>0</v>
      </c>
      <c r="T22" s="42">
        <f t="shared" si="12"/>
        <v>0</v>
      </c>
      <c r="U22" s="42">
        <f t="shared" si="13"/>
        <v>0</v>
      </c>
    </row>
    <row r="23" spans="1:21" s="40" customFormat="1">
      <c r="A23" s="40" t="s">
        <v>169</v>
      </c>
      <c r="F23" s="42">
        <f t="shared" si="14"/>
        <v>-2.2885572139303481</v>
      </c>
      <c r="G23" s="42">
        <f t="shared" si="2"/>
        <v>0.64441147378832797</v>
      </c>
      <c r="H23" s="42">
        <f t="shared" si="2"/>
        <v>6.2120000000000033</v>
      </c>
      <c r="I23" s="42">
        <f t="shared" si="2"/>
        <v>6.6151832460733049</v>
      </c>
      <c r="J23" s="42">
        <f t="shared" si="2"/>
        <v>-1.743243243243243</v>
      </c>
      <c r="K23" s="74">
        <f t="shared" si="3"/>
        <v>-1.5789473684210522</v>
      </c>
      <c r="L23" s="42">
        <f t="shared" si="4"/>
        <v>-0.90440931780366063</v>
      </c>
      <c r="M23" s="42">
        <f t="shared" si="5"/>
        <v>0.24783430732210365</v>
      </c>
      <c r="N23" s="42">
        <f t="shared" si="6"/>
        <v>0.77350649350649436</v>
      </c>
      <c r="O23" s="42">
        <f t="shared" si="7"/>
        <v>0.18896103896103922</v>
      </c>
      <c r="P23" s="42">
        <f t="shared" si="8"/>
        <v>7.4412532637082585E-3</v>
      </c>
      <c r="Q23" s="42">
        <f t="shared" si="9"/>
        <v>1.0337607956032446E-3</v>
      </c>
      <c r="R23" s="42">
        <f t="shared" si="10"/>
        <v>-6.6783831282952733E-3</v>
      </c>
      <c r="S23" s="42">
        <f t="shared" si="11"/>
        <v>-1.4787001638448927E-2</v>
      </c>
      <c r="T23" s="42">
        <f t="shared" si="12"/>
        <v>7.0169755086173513E-3</v>
      </c>
      <c r="U23" s="42">
        <f t="shared" si="13"/>
        <v>9.8105857592911683E-4</v>
      </c>
    </row>
    <row r="25" spans="1:21">
      <c r="A25" s="3" t="s">
        <v>2</v>
      </c>
      <c r="B25" s="55">
        <f>'P&amp;L GAAP'!D22</f>
        <v>55.179999999999993</v>
      </c>
      <c r="C25" s="55">
        <f>'P&amp;L GAAP'!E22</f>
        <v>10.724</v>
      </c>
      <c r="D25" s="55">
        <f>'P&amp;L GAAP'!F22</f>
        <v>56</v>
      </c>
      <c r="E25" s="55">
        <f>'P&amp;L GAAP'!G22</f>
        <v>73.932000000000016</v>
      </c>
      <c r="F25" s="55">
        <f>'P&amp;L GAAP'!H22</f>
        <v>103.96</v>
      </c>
      <c r="G25" s="55">
        <f>'P&amp;L GAAP'!I22</f>
        <v>169.79000000000002</v>
      </c>
      <c r="H25" s="55">
        <f>'P&amp;L GAAP'!J22</f>
        <v>193.47</v>
      </c>
      <c r="I25" s="55">
        <f>'P&amp;L GAAP'!K22</f>
        <v>263.78899999999993</v>
      </c>
      <c r="J25" s="55">
        <f>'P&amp;L GAAP'!L22</f>
        <v>261.72000000000003</v>
      </c>
      <c r="K25" s="56">
        <f>'P&amp;L GAAP'!M22</f>
        <v>148.69174800000002</v>
      </c>
      <c r="L25" s="55">
        <f>'P&amp;L GAAP'!N22</f>
        <v>142.00964999999999</v>
      </c>
      <c r="M25" s="55">
        <f>'P&amp;L GAAP'!O22</f>
        <v>250.57781399999993</v>
      </c>
      <c r="N25" s="55">
        <f>'P&amp;L GAAP'!P22</f>
        <v>260.59559000000002</v>
      </c>
      <c r="O25" s="55">
        <f>'P&amp;L GAAP'!Q22</f>
        <v>189.65062499999999</v>
      </c>
      <c r="P25" s="55">
        <f>'P&amp;L GAAP'!R22</f>
        <v>186.75969450000002</v>
      </c>
      <c r="Q25" s="55">
        <f>'P&amp;L GAAP'!S22</f>
        <v>261.20260729999995</v>
      </c>
      <c r="R25" s="55">
        <f>'P&amp;L GAAP'!T22</f>
        <v>273.44882350000006</v>
      </c>
      <c r="S25" s="55">
        <f>'P&amp;L GAAP'!U22</f>
        <v>199.93124175000005</v>
      </c>
      <c r="T25" s="55">
        <f>'P&amp;L GAAP'!V22</f>
        <v>196.46324957500002</v>
      </c>
      <c r="U25" s="55">
        <f>'P&amp;L GAAP'!W22</f>
        <v>272.35679403499995</v>
      </c>
    </row>
    <row r="26" spans="1:21">
      <c r="A26" s="3" t="s">
        <v>173</v>
      </c>
      <c r="B26" s="55">
        <f>'P&amp;L GAAP'!D40</f>
        <v>-54.63</v>
      </c>
      <c r="C26" s="55">
        <f>'P&amp;L GAAP'!E40</f>
        <v>-22.12</v>
      </c>
      <c r="D26" s="55">
        <f>'P&amp;L GAAP'!F40</f>
        <v>-43.79</v>
      </c>
      <c r="E26" s="55">
        <f>'P&amp;L GAAP'!G40</f>
        <v>-63.53</v>
      </c>
      <c r="F26" s="55">
        <f>'P&amp;L GAAP'!H40</f>
        <v>-88.38</v>
      </c>
      <c r="G26" s="55">
        <f>'P&amp;L GAAP'!I40</f>
        <v>-133.47</v>
      </c>
      <c r="H26" s="55">
        <f>'P&amp;L GAAP'!J40</f>
        <v>-164.87</v>
      </c>
      <c r="I26" s="55">
        <f>'P&amp;L GAAP'!K40</f>
        <v>-203.39</v>
      </c>
      <c r="J26" s="55">
        <f>'P&amp;L GAAP'!L40</f>
        <v>-226.9</v>
      </c>
      <c r="K26" s="56">
        <f>'P&amp;L GAAP'!M40</f>
        <v>-145.06512000000001</v>
      </c>
      <c r="L26" s="55">
        <f>'P&amp;L GAAP'!N40</f>
        <v>-135.08235000000002</v>
      </c>
      <c r="M26" s="55">
        <f>'P&amp;L GAAP'!O40</f>
        <v>-216.96371699999995</v>
      </c>
      <c r="N26" s="55">
        <f>'P&amp;L GAAP'!P40</f>
        <v>-225.63764499999999</v>
      </c>
      <c r="O26" s="55">
        <f>'P&amp;L GAAP'!Q40</f>
        <v>-159.58406250000002</v>
      </c>
      <c r="P26" s="55">
        <f>'P&amp;L GAAP'!R40</f>
        <v>-152.59633575000001</v>
      </c>
      <c r="Q26" s="55">
        <f>'P&amp;L GAAP'!S40</f>
        <v>-213.42164254999994</v>
      </c>
      <c r="R26" s="55">
        <f>'P&amp;L GAAP'!T40</f>
        <v>-223.42769725000002</v>
      </c>
      <c r="S26" s="55">
        <f>'P&amp;L GAAP'!U40</f>
        <v>-163.35845362500004</v>
      </c>
      <c r="T26" s="55">
        <f>'P&amp;L GAAP'!V40</f>
        <v>-160.5248502625</v>
      </c>
      <c r="U26" s="55">
        <f>'P&amp;L GAAP'!W40</f>
        <v>-222.53542927249998</v>
      </c>
    </row>
    <row r="27" spans="1:21" s="17" customFormat="1">
      <c r="A27" s="17" t="s">
        <v>174</v>
      </c>
      <c r="B27" s="65">
        <f>'P&amp;L GAAP'!D43</f>
        <v>0.54999999999999005</v>
      </c>
      <c r="C27" s="65">
        <f>'P&amp;L GAAP'!E43</f>
        <v>-11.396000000000001</v>
      </c>
      <c r="D27" s="65">
        <f>'P&amp;L GAAP'!F43</f>
        <v>12.21</v>
      </c>
      <c r="E27" s="65">
        <f>'P&amp;L GAAP'!G43</f>
        <v>10.402000000000015</v>
      </c>
      <c r="F27" s="65">
        <f>'P&amp;L GAAP'!H43</f>
        <v>15.579999999999998</v>
      </c>
      <c r="G27" s="65">
        <f>'P&amp;L GAAP'!I43</f>
        <v>36.320000000000022</v>
      </c>
      <c r="H27" s="65">
        <f>'P&amp;L GAAP'!J43</f>
        <v>28.599999999999994</v>
      </c>
      <c r="I27" s="65">
        <f>'P&amp;L GAAP'!K43</f>
        <v>60.398999999999944</v>
      </c>
      <c r="J27" s="65">
        <f>'P&amp;L GAAP'!L43</f>
        <v>34.820000000000022</v>
      </c>
      <c r="K27" s="95">
        <f>'P&amp;L GAAP'!M43</f>
        <v>3.6266280000000108</v>
      </c>
      <c r="L27" s="65">
        <f>'P&amp;L GAAP'!N43</f>
        <v>6.927299999999974</v>
      </c>
      <c r="M27" s="65">
        <f>'P&amp;L GAAP'!O43</f>
        <v>33.614096999999987</v>
      </c>
      <c r="N27" s="65">
        <f>'P&amp;L GAAP'!P43</f>
        <v>34.957945000000024</v>
      </c>
      <c r="O27" s="65">
        <f>'P&amp;L GAAP'!Q43</f>
        <v>30.066562499999975</v>
      </c>
      <c r="P27" s="65">
        <f>'P&amp;L GAAP'!R43</f>
        <v>34.163358750000015</v>
      </c>
      <c r="Q27" s="65">
        <f>'P&amp;L GAAP'!S43</f>
        <v>47.78096475000001</v>
      </c>
      <c r="R27" s="65">
        <f>'P&amp;L GAAP'!T43</f>
        <v>50.021126250000037</v>
      </c>
      <c r="S27" s="65">
        <f>'P&amp;L GAAP'!U43</f>
        <v>36.572788125000017</v>
      </c>
      <c r="T27" s="65">
        <f>'P&amp;L GAAP'!V43</f>
        <v>35.938399312500025</v>
      </c>
      <c r="U27" s="65">
        <f>'P&amp;L GAAP'!W43</f>
        <v>49.821364762499968</v>
      </c>
    </row>
    <row r="29" spans="1:21" s="40" customFormat="1">
      <c r="A29" s="40" t="s">
        <v>176</v>
      </c>
      <c r="F29" s="42">
        <f>F25/B25-1</f>
        <v>0.88401594780717674</v>
      </c>
      <c r="G29" s="42">
        <f t="shared" ref="G29:J31" si="15">G25/C25-1</f>
        <v>14.83271167474823</v>
      </c>
      <c r="H29" s="42">
        <f t="shared" si="15"/>
        <v>2.4548214285714285</v>
      </c>
      <c r="I29" s="42">
        <f t="shared" si="15"/>
        <v>2.5679949142455212</v>
      </c>
      <c r="J29" s="42">
        <f t="shared" si="15"/>
        <v>1.5175067333589847</v>
      </c>
      <c r="K29" s="74">
        <f t="shared" ref="K29:K31" si="16">K25/G25-1</f>
        <v>-0.12426086341951825</v>
      </c>
      <c r="L29" s="42">
        <f t="shared" ref="L29:L31" si="17">L25/H25-1</f>
        <v>-0.2659861994107614</v>
      </c>
      <c r="M29" s="42">
        <f t="shared" ref="M29:M31" si="18">M25/I25-1</f>
        <v>-5.0082399190261917E-2</v>
      </c>
      <c r="N29" s="42">
        <f t="shared" ref="N29:N31" si="19">N25/J25-1</f>
        <v>-4.296232615008444E-3</v>
      </c>
      <c r="O29" s="42">
        <f t="shared" ref="O29:O31" si="20">O25/K25-1</f>
        <v>0.27546166852514209</v>
      </c>
      <c r="P29" s="42">
        <f t="shared" ref="P29:P31" si="21">P25/L25-1</f>
        <v>0.31511974362305684</v>
      </c>
      <c r="Q29" s="42">
        <f t="shared" ref="Q29:Q31" si="22">Q25/M25-1</f>
        <v>4.240117323395598E-2</v>
      </c>
      <c r="R29" s="42">
        <f t="shared" ref="R29:R31" si="23">R25/N25-1</f>
        <v>4.9322528827137946E-2</v>
      </c>
      <c r="S29" s="42">
        <f t="shared" ref="S29:S31" si="24">S25/O25-1</f>
        <v>5.4208188082691899E-2</v>
      </c>
      <c r="T29" s="42">
        <f t="shared" ref="T29:T31" si="25">T25/P25-1</f>
        <v>5.1957437074304114E-2</v>
      </c>
      <c r="U29" s="42">
        <f t="shared" ref="U29:U31" si="26">U25/Q25-1</f>
        <v>4.2703198296137446E-2</v>
      </c>
    </row>
    <row r="30" spans="1:21" s="40" customFormat="1">
      <c r="A30" s="40" t="s">
        <v>175</v>
      </c>
      <c r="F30" s="42">
        <f t="shared" ref="F30:F31" si="27">F26/B26-1</f>
        <v>0.61779242174629312</v>
      </c>
      <c r="G30" s="42">
        <f t="shared" si="15"/>
        <v>5.0339059674502709</v>
      </c>
      <c r="H30" s="42">
        <f t="shared" si="15"/>
        <v>2.765014843571592</v>
      </c>
      <c r="I30" s="42">
        <f t="shared" si="15"/>
        <v>2.201479615929482</v>
      </c>
      <c r="J30" s="42">
        <f t="shared" si="15"/>
        <v>1.5673229237384025</v>
      </c>
      <c r="K30" s="74">
        <f t="shared" si="16"/>
        <v>8.6874353787367964E-2</v>
      </c>
      <c r="L30" s="42">
        <f t="shared" si="17"/>
        <v>-0.18067356098744458</v>
      </c>
      <c r="M30" s="42">
        <f t="shared" si="18"/>
        <v>6.6737386302177848E-2</v>
      </c>
      <c r="N30" s="42">
        <f t="shared" si="19"/>
        <v>-5.5634861172323413E-3</v>
      </c>
      <c r="O30" s="42">
        <f t="shared" si="20"/>
        <v>0.10008568910293536</v>
      </c>
      <c r="P30" s="42">
        <f t="shared" si="21"/>
        <v>0.12965413875313825</v>
      </c>
      <c r="Q30" s="42">
        <f t="shared" si="22"/>
        <v>-1.6325653427112008E-2</v>
      </c>
      <c r="R30" s="42">
        <f t="shared" si="23"/>
        <v>-9.7942333603063814E-3</v>
      </c>
      <c r="S30" s="42">
        <f t="shared" si="24"/>
        <v>2.3651429007831126E-2</v>
      </c>
      <c r="T30" s="42">
        <f t="shared" si="25"/>
        <v>5.1957437074303892E-2</v>
      </c>
      <c r="U30" s="42">
        <f t="shared" si="26"/>
        <v>4.2703198296137668E-2</v>
      </c>
    </row>
    <row r="31" spans="1:21" s="62" customFormat="1">
      <c r="A31" s="62" t="s">
        <v>177</v>
      </c>
      <c r="F31" s="63">
        <f t="shared" si="27"/>
        <v>27.327272727273236</v>
      </c>
      <c r="G31" s="63" t="s">
        <v>185</v>
      </c>
      <c r="H31" s="63">
        <f t="shared" si="15"/>
        <v>1.3423423423423415</v>
      </c>
      <c r="I31" s="63">
        <f t="shared" si="15"/>
        <v>4.8064795231686075</v>
      </c>
      <c r="J31" s="63">
        <f t="shared" si="15"/>
        <v>1.2349165596919143</v>
      </c>
      <c r="K31" s="79">
        <f t="shared" si="16"/>
        <v>-0.90014790748898654</v>
      </c>
      <c r="L31" s="63">
        <f t="shared" si="17"/>
        <v>-0.75778671328671421</v>
      </c>
      <c r="M31" s="63">
        <f t="shared" si="18"/>
        <v>-0.44346600109273304</v>
      </c>
      <c r="N31" s="63">
        <f t="shared" si="19"/>
        <v>3.961659965537212E-3</v>
      </c>
      <c r="O31" s="63">
        <f t="shared" si="20"/>
        <v>7.2905008454133942</v>
      </c>
      <c r="P31" s="63">
        <f t="shared" si="21"/>
        <v>3.9316990385864825</v>
      </c>
      <c r="Q31" s="63">
        <f t="shared" si="22"/>
        <v>0.42145614531903175</v>
      </c>
      <c r="R31" s="63">
        <f t="shared" si="23"/>
        <v>0.4308943574915518</v>
      </c>
      <c r="S31" s="63">
        <f t="shared" si="24"/>
        <v>0.216394063172338</v>
      </c>
      <c r="T31" s="63">
        <f t="shared" si="25"/>
        <v>5.1957437074304336E-2</v>
      </c>
      <c r="U31" s="63">
        <f t="shared" si="26"/>
        <v>4.2703198296136557E-2</v>
      </c>
    </row>
    <row r="32" spans="1:21">
      <c r="A32" s="17"/>
    </row>
    <row r="33" spans="1:21" s="40" customFormat="1">
      <c r="A33" s="40" t="s">
        <v>172</v>
      </c>
      <c r="B33" s="41">
        <f>'P&amp;L GAAP'!D41</f>
        <v>-0.85372714486638546</v>
      </c>
      <c r="C33" s="41">
        <f>'P&amp;L GAAP'!E41</f>
        <v>-1.2753690036900369</v>
      </c>
      <c r="D33" s="41">
        <f>'P&amp;L GAAP'!F41</f>
        <v>-0.66998164014687878</v>
      </c>
      <c r="E33" s="41">
        <f>'P&amp;L GAAP'!G41</f>
        <v>-0.73257074329466565</v>
      </c>
      <c r="F33" s="41">
        <f>'P&amp;L GAAP'!H41</f>
        <v>-0.72830655129789867</v>
      </c>
      <c r="G33" s="41">
        <f>'P&amp;L GAAP'!I41</f>
        <v>-0.68816705336426909</v>
      </c>
      <c r="H33" s="41">
        <f>'P&amp;L GAAP'!J41</f>
        <v>-0.72168964762530097</v>
      </c>
      <c r="I33" s="41">
        <f>'P&amp;L GAAP'!K41</f>
        <v>-0.66720465557228581</v>
      </c>
      <c r="J33" s="41">
        <f>'P&amp;L GAAP'!L41</f>
        <v>-0.73162867184728975</v>
      </c>
      <c r="K33" s="73">
        <f>'P&amp;L GAAP'!M41</f>
        <v>-0.8</v>
      </c>
      <c r="L33" s="41">
        <f>'P&amp;L GAAP'!N41</f>
        <v>-0.78000000000000014</v>
      </c>
      <c r="M33" s="41">
        <f>'P&amp;L GAAP'!O41</f>
        <v>-0.71</v>
      </c>
      <c r="N33" s="41">
        <f>'P&amp;L GAAP'!P41</f>
        <v>-0.71</v>
      </c>
      <c r="O33" s="41">
        <f>'P&amp;L GAAP'!Q41</f>
        <v>-0.69000000000000006</v>
      </c>
      <c r="P33" s="41">
        <f>'P&amp;L GAAP'!R41</f>
        <v>-0.67</v>
      </c>
      <c r="Q33" s="41">
        <f>'P&amp;L GAAP'!S41</f>
        <v>-0.66999999999999993</v>
      </c>
      <c r="R33" s="41">
        <f>'P&amp;L GAAP'!T41</f>
        <v>-0.66999999999999993</v>
      </c>
      <c r="S33" s="41">
        <f>'P&amp;L GAAP'!U41</f>
        <v>-0.66999999999999993</v>
      </c>
      <c r="T33" s="41">
        <f>'P&amp;L GAAP'!V41</f>
        <v>-0.66999999999999993</v>
      </c>
      <c r="U33" s="41">
        <f>'P&amp;L GAAP'!W41</f>
        <v>-0.67</v>
      </c>
    </row>
    <row r="34" spans="1:21" s="40" customFormat="1">
      <c r="A34" s="40" t="s">
        <v>170</v>
      </c>
      <c r="B34" s="41">
        <f>'P&amp;L GAAP'!D24</f>
        <v>0.86899999999999999</v>
      </c>
      <c r="C34" s="41">
        <f>'P&amp;L GAAP'!E24</f>
        <v>0.66200000000000003</v>
      </c>
      <c r="D34" s="41">
        <f>'P&amp;L GAAP'!F24</f>
        <v>0.86</v>
      </c>
      <c r="E34" s="41">
        <f>'P&amp;L GAAP'!G24</f>
        <v>0.85399999999999998</v>
      </c>
      <c r="F34" s="41">
        <f>'P&amp;L GAAP'!H24</f>
        <v>0.85799999999999998</v>
      </c>
      <c r="G34" s="41">
        <f>'P&amp;L GAAP'!I24</f>
        <v>0.876</v>
      </c>
      <c r="H34" s="41">
        <f>'P&amp;L GAAP'!J24</f>
        <v>0.84699999999999998</v>
      </c>
      <c r="I34" s="41">
        <f>'P&amp;L GAAP'!K24</f>
        <v>0.86599999999999999</v>
      </c>
      <c r="J34" s="41">
        <f>'P&amp;L GAAP'!L24</f>
        <v>0.84399999999999997</v>
      </c>
      <c r="K34" s="73">
        <f>'P&amp;L GAAP'!M24</f>
        <v>0.82000000000000006</v>
      </c>
      <c r="L34" s="41">
        <f>'P&amp;L GAAP'!N24</f>
        <v>0.82</v>
      </c>
      <c r="M34" s="41">
        <f>'P&amp;L GAAP'!O24</f>
        <v>0.82</v>
      </c>
      <c r="N34" s="41">
        <f>'P&amp;L GAAP'!P24</f>
        <v>0.82</v>
      </c>
      <c r="O34" s="41">
        <f>'P&amp;L GAAP'!Q24</f>
        <v>0.82</v>
      </c>
      <c r="P34" s="41">
        <f>'P&amp;L GAAP'!R24</f>
        <v>0.82000000000000006</v>
      </c>
      <c r="Q34" s="41">
        <f>'P&amp;L GAAP'!S24</f>
        <v>0.82000000000000006</v>
      </c>
      <c r="R34" s="41">
        <f>'P&amp;L GAAP'!T24</f>
        <v>0.82000000000000006</v>
      </c>
      <c r="S34" s="41">
        <f>'P&amp;L GAAP'!U24</f>
        <v>0.84399999999999997</v>
      </c>
      <c r="T34" s="41">
        <f>'P&amp;L GAAP'!V24</f>
        <v>0.84399999999999997</v>
      </c>
      <c r="U34" s="41">
        <f>'P&amp;L GAAP'!W24</f>
        <v>0.84399999999999997</v>
      </c>
    </row>
    <row r="35" spans="1:21" s="62" customFormat="1">
      <c r="A35" s="62" t="s">
        <v>171</v>
      </c>
      <c r="B35" s="66">
        <f>'P&amp;L GAAP'!D45</f>
        <v>8.5950929832784833E-3</v>
      </c>
      <c r="C35" s="66">
        <f>'P&amp;L GAAP'!E45</f>
        <v>-0.65705719557195574</v>
      </c>
      <c r="D35" s="66">
        <f>'P&amp;L GAAP'!F45</f>
        <v>0.18681150550795594</v>
      </c>
      <c r="E35" s="66">
        <f>'P&amp;L GAAP'!G45</f>
        <v>0.11994649569890009</v>
      </c>
      <c r="F35" s="66">
        <f>'P&amp;L GAAP'!H45</f>
        <v>0.12838895756077462</v>
      </c>
      <c r="G35" s="66">
        <f>'P&amp;L GAAP'!I45</f>
        <v>0.18726475895849456</v>
      </c>
      <c r="H35" s="66">
        <f>'P&amp;L GAAP'!J45</f>
        <v>0.12519150798861894</v>
      </c>
      <c r="I35" s="66">
        <f>'P&amp;L GAAP'!K45</f>
        <v>0.19813409701514556</v>
      </c>
      <c r="J35" s="66">
        <f>'P&amp;L GAAP'!L45</f>
        <v>0.11227549737206982</v>
      </c>
      <c r="K35" s="96">
        <f>'P&amp;L GAAP'!M45</f>
        <v>2.0000000000000059E-2</v>
      </c>
      <c r="L35" s="66">
        <f>'P&amp;L GAAP'!N45</f>
        <v>3.9999999999999848E-2</v>
      </c>
      <c r="M35" s="66">
        <f>'P&amp;L GAAP'!O45</f>
        <v>0.10999999999999999</v>
      </c>
      <c r="N35" s="66">
        <f>'P&amp;L GAAP'!P45</f>
        <v>0.11000000000000007</v>
      </c>
      <c r="O35" s="66">
        <f>'P&amp;L GAAP'!Q45</f>
        <v>0.12999999999999989</v>
      </c>
      <c r="P35" s="66">
        <f>'P&amp;L GAAP'!R45</f>
        <v>0.15000000000000005</v>
      </c>
      <c r="Q35" s="66">
        <f>'P&amp;L GAAP'!S45</f>
        <v>0.15000000000000005</v>
      </c>
      <c r="R35" s="66">
        <f>'P&amp;L GAAP'!T45</f>
        <v>0.15000000000000008</v>
      </c>
      <c r="S35" s="66">
        <f>'P&amp;L GAAP'!U45</f>
        <v>0.15000000000000002</v>
      </c>
      <c r="T35" s="66">
        <f>'P&amp;L GAAP'!V45</f>
        <v>0.15000000000000008</v>
      </c>
      <c r="U35" s="66">
        <f>'P&amp;L GAAP'!W45</f>
        <v>0.14999999999999991</v>
      </c>
    </row>
    <row r="37" spans="1:21" s="17" customFormat="1">
      <c r="A37" s="17" t="s">
        <v>17</v>
      </c>
      <c r="B37" s="17">
        <f>'P&amp;L GAAP'!D67</f>
        <v>1.47999999999999</v>
      </c>
      <c r="C37" s="17">
        <f>'P&amp;L GAAP'!E67</f>
        <v>-6.19</v>
      </c>
      <c r="D37" s="17">
        <f>'P&amp;L GAAP'!F67</f>
        <v>9.67</v>
      </c>
      <c r="E37" s="17">
        <f>'P&amp;L GAAP'!G67</f>
        <v>1.0299999999999998</v>
      </c>
      <c r="F37" s="17">
        <f>'P&amp;L GAAP'!H67</f>
        <v>10.1</v>
      </c>
      <c r="G37" s="17">
        <f>'P&amp;L GAAP'!I67</f>
        <v>37.28</v>
      </c>
      <c r="H37" s="17">
        <f>'P&amp;L GAAP'!J67</f>
        <v>29.12</v>
      </c>
      <c r="I37" s="17">
        <f>'P&amp;L GAAP'!K67</f>
        <v>58.95</v>
      </c>
      <c r="J37" s="17">
        <f>'P&amp;L GAAP'!L67</f>
        <v>32.69</v>
      </c>
      <c r="K37" s="50">
        <f>'P&amp;L GAAP'!M67</f>
        <v>1.9519536000000131</v>
      </c>
      <c r="L37" s="17">
        <f>'P&amp;L GAAP'!N67</f>
        <v>5.9127599999999685</v>
      </c>
      <c r="M37" s="17">
        <f>'P&amp;L GAAP'!O67</f>
        <v>37.936916399999987</v>
      </c>
      <c r="N37" s="17">
        <f>'P&amp;L GAAP'!P67</f>
        <v>39.54953400000003</v>
      </c>
      <c r="O37" s="17">
        <f>'P&amp;L GAAP'!Q67</f>
        <v>33.679874999999967</v>
      </c>
      <c r="P37" s="17">
        <f>'P&amp;L GAAP'!R67</f>
        <v>38.596030500000019</v>
      </c>
      <c r="Q37" s="17">
        <f>'P&amp;L GAAP'!S67</f>
        <v>54.937157700000014</v>
      </c>
      <c r="R37" s="17">
        <f>'P&amp;L GAAP'!T67</f>
        <v>57.625351500000043</v>
      </c>
      <c r="S37" s="17">
        <f>'P&amp;L GAAP'!U67</f>
        <v>41.487345750000017</v>
      </c>
      <c r="T37" s="17">
        <f>'P&amp;L GAAP'!V67</f>
        <v>40.726079175000031</v>
      </c>
      <c r="U37" s="17">
        <f>'P&amp;L GAAP'!W67</f>
        <v>57.385637714999959</v>
      </c>
    </row>
    <row r="38" spans="1:21">
      <c r="A38" s="17"/>
    </row>
    <row r="39" spans="1:21" s="62" customFormat="1">
      <c r="A39" s="62" t="s">
        <v>180</v>
      </c>
      <c r="F39" s="63">
        <f>F37/B37-1</f>
        <v>5.8243243243243699</v>
      </c>
      <c r="G39" s="63" t="s">
        <v>185</v>
      </c>
      <c r="H39" s="63">
        <f t="shared" ref="H39:J39" si="28">H37/D37-1</f>
        <v>2.0113753877973113</v>
      </c>
      <c r="I39" s="63">
        <f t="shared" si="28"/>
        <v>56.233009708737875</v>
      </c>
      <c r="J39" s="63">
        <f t="shared" si="28"/>
        <v>2.2366336633663364</v>
      </c>
      <c r="K39" s="79">
        <f t="shared" ref="K39" si="29">K37/G37-1</f>
        <v>-0.94764072961373358</v>
      </c>
      <c r="L39" s="63">
        <f t="shared" ref="L39" si="30">L37/H37-1</f>
        <v>-0.7969519230769242</v>
      </c>
      <c r="M39" s="63">
        <f t="shared" ref="M39" si="31">M37/I37-1</f>
        <v>-0.35645604071246839</v>
      </c>
      <c r="N39" s="63">
        <f t="shared" ref="N39" si="32">N37/J37-1</f>
        <v>0.20983585194249099</v>
      </c>
      <c r="O39" s="63">
        <f t="shared" ref="O39" si="33">O37/K37-1</f>
        <v>16.254444470401214</v>
      </c>
      <c r="P39" s="63">
        <f t="shared" ref="P39" si="34">P37/L37-1</f>
        <v>5.5275828039697581</v>
      </c>
      <c r="Q39" s="63">
        <f t="shared" ref="Q39" si="35">Q37/M37-1</f>
        <v>0.44811869053226561</v>
      </c>
      <c r="R39" s="63">
        <f t="shared" ref="R39" si="36">R37/N37-1</f>
        <v>0.45704249005816355</v>
      </c>
      <c r="S39" s="63">
        <f t="shared" ref="S39" si="37">S37/O37-1</f>
        <v>0.23181412490396891</v>
      </c>
      <c r="T39" s="63">
        <f t="shared" ref="T39" si="38">T37/P37-1</f>
        <v>5.5188283546413253E-2</v>
      </c>
      <c r="U39" s="63">
        <f t="shared" ref="U39" si="39">U37/Q37-1</f>
        <v>4.4568742132065964E-2</v>
      </c>
    </row>
    <row r="41" spans="1:21">
      <c r="A41" s="3" t="s">
        <v>21</v>
      </c>
      <c r="B41" s="55">
        <f>'P&amp;L GAAP'!D77</f>
        <v>14.63</v>
      </c>
      <c r="C41" s="55">
        <f>'P&amp;L GAAP'!E77</f>
        <v>14.66</v>
      </c>
      <c r="D41" s="55">
        <f>'P&amp;L GAAP'!F77</f>
        <v>14.71</v>
      </c>
      <c r="E41" s="55">
        <f>'P&amp;L GAAP'!G77</f>
        <v>26</v>
      </c>
      <c r="F41" s="55">
        <f>'P&amp;L GAAP'!H77</f>
        <v>73.63</v>
      </c>
      <c r="G41" s="55">
        <f>'P&amp;L GAAP'!I77</f>
        <v>76.67</v>
      </c>
      <c r="H41" s="55">
        <f>'P&amp;L GAAP'!J77</f>
        <v>79.39</v>
      </c>
      <c r="I41" s="55">
        <f>'P&amp;L GAAP'!K77</f>
        <v>82.62</v>
      </c>
      <c r="J41" s="55">
        <f>'P&amp;L GAAP'!L77</f>
        <v>84.23</v>
      </c>
      <c r="K41" s="56">
        <f>'P&amp;L GAAP'!M77</f>
        <v>84.23</v>
      </c>
      <c r="L41" s="55">
        <f>'P&amp;L GAAP'!N77</f>
        <v>84.23</v>
      </c>
      <c r="M41" s="55">
        <f>'P&amp;L GAAP'!O77</f>
        <v>84.23</v>
      </c>
      <c r="N41" s="55">
        <f>'P&amp;L GAAP'!P77</f>
        <v>84.23</v>
      </c>
      <c r="O41" s="55">
        <f>'P&amp;L GAAP'!Q77</f>
        <v>84.23</v>
      </c>
      <c r="P41" s="55">
        <f>'P&amp;L GAAP'!R77</f>
        <v>84.23</v>
      </c>
      <c r="Q41" s="55">
        <f>'P&amp;L GAAP'!S77</f>
        <v>84.23</v>
      </c>
      <c r="R41" s="55">
        <f>'P&amp;L GAAP'!T77</f>
        <v>84.23</v>
      </c>
      <c r="S41" s="55">
        <f>'P&amp;L GAAP'!U77</f>
        <v>84.23</v>
      </c>
      <c r="T41" s="55">
        <f>'P&amp;L GAAP'!V77</f>
        <v>84.23</v>
      </c>
      <c r="U41" s="55">
        <f>'P&amp;L GAAP'!W77</f>
        <v>84.23</v>
      </c>
    </row>
    <row r="42" spans="1:21">
      <c r="A42" s="3" t="s">
        <v>20</v>
      </c>
      <c r="B42" s="55">
        <f>'P&amp;L GAAP'!D74</f>
        <v>14.63</v>
      </c>
      <c r="C42" s="55">
        <f>'P&amp;L GAAP'!E74</f>
        <v>14.66</v>
      </c>
      <c r="D42" s="55">
        <f>'P&amp;L GAAP'!F74</f>
        <v>26.75</v>
      </c>
      <c r="E42" s="55">
        <f>'P&amp;L GAAP'!G74</f>
        <v>26</v>
      </c>
      <c r="F42" s="55">
        <f>'P&amp;L GAAP'!H74</f>
        <v>91.45</v>
      </c>
      <c r="G42" s="55">
        <f>'P&amp;L GAAP'!I74</f>
        <v>94.8</v>
      </c>
      <c r="H42" s="55">
        <f>'P&amp;L GAAP'!J74</f>
        <v>96.06</v>
      </c>
      <c r="I42" s="55">
        <f>'P&amp;L GAAP'!K74</f>
        <v>98.8</v>
      </c>
      <c r="J42" s="55">
        <f>'P&amp;L GAAP'!L74</f>
        <v>95.46</v>
      </c>
      <c r="K42" s="56">
        <f>'P&amp;L GAAP'!M74</f>
        <v>92</v>
      </c>
      <c r="L42" s="55">
        <f>'P&amp;L GAAP'!N74</f>
        <v>90</v>
      </c>
      <c r="M42" s="55">
        <f>'P&amp;L GAAP'!O74</f>
        <v>89</v>
      </c>
      <c r="N42" s="55">
        <f>'P&amp;L GAAP'!P74</f>
        <v>91</v>
      </c>
      <c r="O42" s="55">
        <f>'P&amp;L GAAP'!Q74</f>
        <v>94</v>
      </c>
      <c r="P42" s="55">
        <f>'P&amp;L GAAP'!R74</f>
        <v>96</v>
      </c>
      <c r="Q42" s="55">
        <f>'P&amp;L GAAP'!S74</f>
        <v>98</v>
      </c>
      <c r="R42" s="55">
        <f>'P&amp;L GAAP'!T74</f>
        <v>100</v>
      </c>
      <c r="S42" s="55">
        <f>'P&amp;L GAAP'!U74</f>
        <v>102</v>
      </c>
      <c r="T42" s="55">
        <f>'P&amp;L GAAP'!V74</f>
        <v>104</v>
      </c>
      <c r="U42" s="55">
        <f>'P&amp;L GAAP'!W74</f>
        <v>106</v>
      </c>
    </row>
    <row r="45" spans="1:21">
      <c r="K45" s="56"/>
      <c r="L45" s="57"/>
      <c r="M45" s="57"/>
      <c r="N45" s="57"/>
      <c r="O45" s="57"/>
    </row>
    <row r="46" spans="1:21">
      <c r="A46" s="17"/>
      <c r="K46" s="56"/>
      <c r="L46" s="57"/>
      <c r="M46" s="57"/>
      <c r="N46" s="57"/>
      <c r="O46" s="57"/>
    </row>
  </sheetData>
  <conditionalFormatting sqref="A2:XFD5 A33:A35 A12:XFD14 B6:XFD11 A40:A42 B1:XFD1">
    <cfRule type="cellIs" dxfId="42" priority="14" operator="lessThan">
      <formula>0</formula>
    </cfRule>
  </conditionalFormatting>
  <conditionalFormatting sqref="A46:A48">
    <cfRule type="cellIs" dxfId="41" priority="13" operator="lessThan">
      <formula>0</formula>
    </cfRule>
  </conditionalFormatting>
  <conditionalFormatting sqref="A49">
    <cfRule type="cellIs" dxfId="40" priority="12" operator="lessThan">
      <formula>0</formula>
    </cfRule>
  </conditionalFormatting>
  <conditionalFormatting sqref="A51:A55">
    <cfRule type="cellIs" dxfId="39" priority="11" operator="lessThan">
      <formula>0</formula>
    </cfRule>
  </conditionalFormatting>
  <conditionalFormatting sqref="A51:A55">
    <cfRule type="cellIs" dxfId="38" priority="10" operator="lessThan">
      <formula>0</formula>
    </cfRule>
  </conditionalFormatting>
  <conditionalFormatting sqref="A20:A22">
    <cfRule type="cellIs" dxfId="37" priority="7" operator="lessThan">
      <formula>0</formula>
    </cfRule>
  </conditionalFormatting>
  <conditionalFormatting sqref="A23">
    <cfRule type="cellIs" dxfId="36" priority="6" operator="lessThan">
      <formula>0</formula>
    </cfRule>
  </conditionalFormatting>
  <conditionalFormatting sqref="A18">
    <cfRule type="cellIs" dxfId="35" priority="5" operator="lessThan">
      <formula>0</formula>
    </cfRule>
  </conditionalFormatting>
  <conditionalFormatting sqref="A7:A11">
    <cfRule type="cellIs" dxfId="34" priority="4" operator="lessThan">
      <formula>0</formula>
    </cfRule>
  </conditionalFormatting>
  <conditionalFormatting sqref="B1:XFD1 A2:XFD1048576">
    <cfRule type="cellIs" dxfId="33" priority="2" operator="lessThan">
      <formula>0</formula>
    </cfRule>
  </conditionalFormatting>
  <conditionalFormatting sqref="A1">
    <cfRule type="cellIs" dxfId="32" priority="1" operator="lessThan">
      <formula>0</formula>
    </cfRule>
  </conditionalFormatting>
  <hyperlinks>
    <hyperlink ref="A11" location="CFS!A1" display="CFS" xr:uid="{AE8FE2AA-7719-4543-9299-F65FC2782249}"/>
    <hyperlink ref="A10" location="BS!A1" display="BS" xr:uid="{CB344E6B-C9DE-204A-AA1A-855B8804E655}"/>
    <hyperlink ref="A9" location="'P&amp;L GAAP'!A1" display="P&amp;L GAAP" xr:uid="{B6BD1599-9E2B-C141-9369-A8652E27C5F7}"/>
    <hyperlink ref="A8" location="'Revenue Build'!A1" display="Revenue Build" xr:uid="{E237C3F2-5342-9347-9F49-668DA2A31693}"/>
    <hyperlink ref="A7" location="Main!A1" display="Main" xr:uid="{5B2F4BB4-71A3-2347-BBA6-27451709750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EDD18-96DA-4242-BBE2-2C2F01176C7B}">
  <sheetPr>
    <tabColor theme="1"/>
  </sheetPr>
  <dimension ref="A1:AC50"/>
  <sheetViews>
    <sheetView workbookViewId="0">
      <pane xSplit="1" ySplit="6" topLeftCell="C7" activePane="bottomRight" state="frozen"/>
      <selection pane="topRight" activeCell="B1" sqref="B1"/>
      <selection pane="bottomLeft" activeCell="A9" sqref="A9"/>
      <selection pane="bottomRight" activeCell="Z35" sqref="Z35"/>
    </sheetView>
  </sheetViews>
  <sheetFormatPr baseColWidth="10" defaultRowHeight="16"/>
  <cols>
    <col min="1" max="1" width="59" style="3" bestFit="1" customWidth="1"/>
    <col min="2" max="4" width="8.33203125" style="3" bestFit="1" customWidth="1"/>
    <col min="5" max="5" width="9.5" style="3" bestFit="1" customWidth="1"/>
    <col min="6" max="8" width="8.33203125" style="3" bestFit="1" customWidth="1"/>
    <col min="9" max="9" width="9.5" style="3" bestFit="1" customWidth="1"/>
    <col min="10" max="10" width="8.33203125" style="3" bestFit="1" customWidth="1"/>
    <col min="11" max="11" width="8.33203125" style="13" bestFit="1" customWidth="1"/>
    <col min="12" max="12" width="8.33203125" style="3" bestFit="1" customWidth="1"/>
    <col min="13" max="13" width="9.5" style="3" bestFit="1" customWidth="1"/>
    <col min="14" max="16" width="8.33203125" style="3" bestFit="1" customWidth="1"/>
    <col min="17" max="17" width="9.5" style="3" bestFit="1" customWidth="1"/>
    <col min="18" max="20" width="8.33203125" style="3" bestFit="1" customWidth="1"/>
    <col min="21" max="21" width="9.5" style="3" bestFit="1" customWidth="1"/>
    <col min="22" max="24" width="10.83203125" style="3"/>
    <col min="25" max="25" width="10.1640625" style="3" bestFit="1" customWidth="1"/>
    <col min="26" max="26" width="7.5" style="3" bestFit="1" customWidth="1"/>
    <col min="27" max="27" width="5.83203125" style="3" bestFit="1" customWidth="1"/>
    <col min="28" max="29" width="8.6640625" style="3" bestFit="1" customWidth="1"/>
    <col min="30" max="32" width="6.5" style="3" customWidth="1"/>
    <col min="33" max="16384" width="10.83203125" style="3"/>
  </cols>
  <sheetData>
    <row r="1" spans="1:29" ht="81" customHeight="1">
      <c r="A1" s="1"/>
    </row>
    <row r="2" spans="1:29" ht="26">
      <c r="A2" s="2" t="s">
        <v>134</v>
      </c>
    </row>
    <row r="3" spans="1:29">
      <c r="A3" s="3" t="s">
        <v>133</v>
      </c>
    </row>
    <row r="5" spans="1:29">
      <c r="B5" s="7" t="s">
        <v>106</v>
      </c>
      <c r="C5" s="8" t="s">
        <v>107</v>
      </c>
      <c r="D5" s="8" t="s">
        <v>108</v>
      </c>
      <c r="E5" s="8" t="s">
        <v>109</v>
      </c>
      <c r="F5" s="8" t="s">
        <v>110</v>
      </c>
      <c r="G5" s="8" t="s">
        <v>111</v>
      </c>
      <c r="H5" s="8" t="s">
        <v>112</v>
      </c>
      <c r="I5" s="8" t="s">
        <v>113</v>
      </c>
      <c r="J5" s="8" t="s">
        <v>114</v>
      </c>
      <c r="K5" s="15" t="s">
        <v>115</v>
      </c>
      <c r="L5" s="8" t="s">
        <v>116</v>
      </c>
      <c r="M5" s="8" t="s">
        <v>117</v>
      </c>
      <c r="N5" s="8" t="s">
        <v>118</v>
      </c>
      <c r="O5" s="8" t="s">
        <v>119</v>
      </c>
      <c r="P5" s="8" t="s">
        <v>120</v>
      </c>
      <c r="Q5" s="8" t="s">
        <v>121</v>
      </c>
      <c r="R5" s="8" t="s">
        <v>122</v>
      </c>
      <c r="S5" s="8" t="s">
        <v>123</v>
      </c>
      <c r="T5" s="8" t="s">
        <v>124</v>
      </c>
      <c r="U5" s="9" t="s">
        <v>125</v>
      </c>
      <c r="Y5" s="23" t="s">
        <v>126</v>
      </c>
      <c r="Z5" s="24" t="s">
        <v>127</v>
      </c>
      <c r="AA5" s="24" t="s">
        <v>129</v>
      </c>
      <c r="AB5" s="24" t="s">
        <v>130</v>
      </c>
      <c r="AC5" s="25" t="s">
        <v>131</v>
      </c>
    </row>
    <row r="6" spans="1:29">
      <c r="A6" s="17" t="s">
        <v>136</v>
      </c>
      <c r="B6" s="10">
        <v>43921</v>
      </c>
      <c r="C6" s="11">
        <v>44012</v>
      </c>
      <c r="D6" s="11">
        <v>44104</v>
      </c>
      <c r="E6" s="11">
        <v>44196</v>
      </c>
      <c r="F6" s="11">
        <v>44286</v>
      </c>
      <c r="G6" s="11">
        <v>44377</v>
      </c>
      <c r="H6" s="11">
        <v>44469</v>
      </c>
      <c r="I6" s="11">
        <v>44561</v>
      </c>
      <c r="J6" s="11">
        <v>44651</v>
      </c>
      <c r="K6" s="18">
        <f>G6+365</f>
        <v>44742</v>
      </c>
      <c r="L6" s="11">
        <f t="shared" ref="L6:Q6" si="0">H6+365</f>
        <v>44834</v>
      </c>
      <c r="M6" s="11">
        <f t="shared" si="0"/>
        <v>44926</v>
      </c>
      <c r="N6" s="11">
        <f t="shared" si="0"/>
        <v>45016</v>
      </c>
      <c r="O6" s="11">
        <f t="shared" si="0"/>
        <v>45107</v>
      </c>
      <c r="P6" s="11">
        <f t="shared" si="0"/>
        <v>45199</v>
      </c>
      <c r="Q6" s="11">
        <f t="shared" si="0"/>
        <v>45291</v>
      </c>
      <c r="R6" s="11">
        <f>N6+366</f>
        <v>45382</v>
      </c>
      <c r="S6" s="11">
        <f t="shared" ref="S6:U6" si="1">O6+366</f>
        <v>45473</v>
      </c>
      <c r="T6" s="11">
        <f t="shared" si="1"/>
        <v>45565</v>
      </c>
      <c r="U6" s="12">
        <f t="shared" si="1"/>
        <v>45657</v>
      </c>
      <c r="Y6" s="26" t="s">
        <v>155</v>
      </c>
      <c r="Z6" s="27" t="s">
        <v>155</v>
      </c>
      <c r="AA6" s="27" t="s">
        <v>155</v>
      </c>
      <c r="AB6" s="27" t="s">
        <v>155</v>
      </c>
      <c r="AC6" s="28" t="s">
        <v>155</v>
      </c>
    </row>
    <row r="7" spans="1:29">
      <c r="AA7" s="83"/>
      <c r="AB7" s="83"/>
      <c r="AC7" s="83"/>
    </row>
    <row r="8" spans="1:29" s="31" customFormat="1">
      <c r="A8" s="29" t="s">
        <v>0</v>
      </c>
      <c r="B8" s="30">
        <f>B44</f>
        <v>63.989999999999995</v>
      </c>
      <c r="C8" s="30">
        <f>C44</f>
        <v>17.344000000000001</v>
      </c>
      <c r="D8" s="30">
        <f t="shared" ref="D8:U8" si="2">D44</f>
        <v>65.36</v>
      </c>
      <c r="E8" s="30">
        <f t="shared" si="2"/>
        <v>86.722000000000008</v>
      </c>
      <c r="F8" s="30">
        <f t="shared" si="2"/>
        <v>121.35</v>
      </c>
      <c r="G8" s="30">
        <f t="shared" si="2"/>
        <v>193.95000000000002</v>
      </c>
      <c r="H8" s="30">
        <f t="shared" si="2"/>
        <v>228.45</v>
      </c>
      <c r="I8" s="30">
        <f t="shared" si="2"/>
        <v>304.83899999999994</v>
      </c>
      <c r="J8" s="30">
        <f t="shared" si="2"/>
        <v>310.13</v>
      </c>
      <c r="K8" s="76">
        <f t="shared" si="2"/>
        <v>215.7064</v>
      </c>
      <c r="L8" s="30">
        <f t="shared" si="2"/>
        <v>201.6225</v>
      </c>
      <c r="M8" s="30">
        <f t="shared" si="2"/>
        <v>309.16469999999993</v>
      </c>
      <c r="N8" s="30">
        <f t="shared" si="2"/>
        <v>347.92350000000005</v>
      </c>
      <c r="O8" s="30">
        <f t="shared" si="2"/>
        <v>264.85750000000002</v>
      </c>
      <c r="P8" s="30">
        <f t="shared" si="2"/>
        <v>256.19572500000004</v>
      </c>
      <c r="Q8" s="30">
        <f t="shared" si="2"/>
        <v>322.12176499999993</v>
      </c>
      <c r="R8" s="30">
        <f t="shared" si="2"/>
        <v>363.59817500000003</v>
      </c>
      <c r="S8" s="30">
        <f t="shared" si="2"/>
        <v>277.39483750000005</v>
      </c>
      <c r="T8" s="30">
        <f t="shared" si="2"/>
        <v>268.02932874999999</v>
      </c>
      <c r="U8" s="30">
        <f t="shared" si="2"/>
        <v>335.72443174999995</v>
      </c>
      <c r="Y8" s="30">
        <f>SUM(B8:E8)</f>
        <v>233.41600000000003</v>
      </c>
      <c r="Z8" s="30">
        <f>SUM(F8:I8)</f>
        <v>848.58899999999994</v>
      </c>
      <c r="AA8" s="31">
        <f>SUM(J8:M8)</f>
        <v>1036.6235999999999</v>
      </c>
      <c r="AB8" s="30">
        <f>SUM(N8:Q8)</f>
        <v>1191.0984900000001</v>
      </c>
      <c r="AC8" s="30">
        <f>SUM(R8:U8)</f>
        <v>1244.7467730000001</v>
      </c>
    </row>
    <row r="9" spans="1:29" s="61" customFormat="1">
      <c r="A9" s="40" t="s">
        <v>141</v>
      </c>
      <c r="B9" s="59"/>
      <c r="C9" s="59"/>
      <c r="D9" s="59"/>
      <c r="E9" s="60"/>
      <c r="F9" s="60">
        <f t="shared" ref="F9:I9" si="3">F8/B8-1</f>
        <v>0.896390060947023</v>
      </c>
      <c r="G9" s="60">
        <f t="shared" si="3"/>
        <v>10.18254151291513</v>
      </c>
      <c r="H9" s="60">
        <f t="shared" si="3"/>
        <v>2.4952570379436962</v>
      </c>
      <c r="I9" s="60">
        <f t="shared" si="3"/>
        <v>2.5151288023800178</v>
      </c>
      <c r="J9" s="60">
        <f>J8/F8-1</f>
        <v>1.5556654305727236</v>
      </c>
      <c r="K9" s="74">
        <f t="shared" ref="K9:U9" si="4">K8/G8-1</f>
        <v>0.11217530291312183</v>
      </c>
      <c r="L9" s="60">
        <f t="shared" si="4"/>
        <v>-0.11743269862114247</v>
      </c>
      <c r="M9" s="60">
        <f t="shared" si="4"/>
        <v>1.419011346973309E-2</v>
      </c>
      <c r="N9" s="60">
        <f t="shared" si="4"/>
        <v>0.12186341211749929</v>
      </c>
      <c r="O9" s="60">
        <f t="shared" si="4"/>
        <v>0.22786111121413177</v>
      </c>
      <c r="P9" s="60">
        <f t="shared" si="4"/>
        <v>0.27067031209314463</v>
      </c>
      <c r="Q9" s="60">
        <f t="shared" si="4"/>
        <v>4.1909910801589012E-2</v>
      </c>
      <c r="R9" s="60">
        <f t="shared" si="4"/>
        <v>4.5052073228741385E-2</v>
      </c>
      <c r="S9" s="60">
        <f t="shared" si="4"/>
        <v>4.7336161898379414E-2</v>
      </c>
      <c r="T9" s="60">
        <f t="shared" si="4"/>
        <v>4.6189700277004864E-2</v>
      </c>
      <c r="U9" s="60">
        <f t="shared" si="4"/>
        <v>4.2228337939226313E-2</v>
      </c>
    </row>
    <row r="10" spans="1:29" s="61" customFormat="1">
      <c r="A10" s="40" t="s">
        <v>143</v>
      </c>
      <c r="B10" s="59"/>
      <c r="C10" s="60">
        <f>C8/B8-1</f>
        <v>-0.728957649632755</v>
      </c>
      <c r="D10" s="60">
        <f t="shared" ref="D10:J10" si="5">D8/C8-1</f>
        <v>2.7684501845018445</v>
      </c>
      <c r="E10" s="60">
        <f t="shared" si="5"/>
        <v>0.32683598531211766</v>
      </c>
      <c r="F10" s="60">
        <f t="shared" si="5"/>
        <v>0.39929890915799882</v>
      </c>
      <c r="G10" s="60">
        <f t="shared" si="5"/>
        <v>0.5982694684796046</v>
      </c>
      <c r="H10" s="60">
        <f t="shared" si="5"/>
        <v>0.17788089713843758</v>
      </c>
      <c r="I10" s="60">
        <f t="shared" si="5"/>
        <v>0.33437951411687439</v>
      </c>
      <c r="J10" s="60">
        <f t="shared" si="5"/>
        <v>1.7356703046526478E-2</v>
      </c>
      <c r="K10" s="74">
        <f t="shared" ref="K10" si="6">K8/J8-1</f>
        <v>-0.30446457936994165</v>
      </c>
      <c r="L10" s="60">
        <f t="shared" ref="L10" si="7">L8/K8-1</f>
        <v>-6.5291989481999657E-2</v>
      </c>
      <c r="M10" s="60">
        <f t="shared" ref="M10" si="8">M8/L8-1</f>
        <v>0.53338392292526837</v>
      </c>
      <c r="N10" s="60">
        <f t="shared" ref="N10" si="9">N8/M8-1</f>
        <v>0.12536618831321977</v>
      </c>
      <c r="O10" s="60">
        <f t="shared" ref="O10" si="10">O8/N8-1</f>
        <v>-0.2387478856702695</v>
      </c>
      <c r="P10" s="60">
        <f t="shared" ref="P10" si="11">P8/O8-1</f>
        <v>-3.2703529256298158E-2</v>
      </c>
      <c r="Q10" s="60">
        <f t="shared" ref="Q10" si="12">Q8/P8-1</f>
        <v>0.25732685430250601</v>
      </c>
      <c r="R10" s="60">
        <f t="shared" ref="R10" si="13">R8/Q8-1</f>
        <v>0.12876003582061624</v>
      </c>
      <c r="S10" s="60">
        <f t="shared" ref="S10" si="14">S8/R8-1</f>
        <v>-0.23708407639834816</v>
      </c>
      <c r="T10" s="60">
        <f t="shared" ref="T10" si="15">T8/S8-1</f>
        <v>-3.3762375804849087E-2</v>
      </c>
      <c r="U10" s="60">
        <f t="shared" ref="U10" si="16">U8/T8-1</f>
        <v>0.25256602818694329</v>
      </c>
    </row>
    <row r="12" spans="1:29" s="31" customFormat="1">
      <c r="A12" s="29" t="s">
        <v>137</v>
      </c>
      <c r="K12" s="75"/>
    </row>
    <row r="14" spans="1:29">
      <c r="A14" s="3" t="s">
        <v>165</v>
      </c>
      <c r="B14" s="3">
        <v>60.23</v>
      </c>
      <c r="C14" s="3">
        <v>7.61</v>
      </c>
      <c r="D14" s="3">
        <v>55.64</v>
      </c>
      <c r="E14" s="33">
        <f>Y14-SUM(B14,C14,D14)</f>
        <v>76.777000000000001</v>
      </c>
      <c r="F14" s="3">
        <v>106.95</v>
      </c>
      <c r="G14" s="3">
        <v>169.08</v>
      </c>
      <c r="H14" s="3">
        <v>191.44</v>
      </c>
      <c r="I14" s="33">
        <f>Z14-SUM(F14,G14,H14)</f>
        <v>258.69099999999992</v>
      </c>
      <c r="J14" s="3">
        <v>271.81</v>
      </c>
      <c r="K14" s="13">
        <f>G14*(1+K15)</f>
        <v>199.51439999999999</v>
      </c>
      <c r="L14" s="33">
        <f t="shared" ref="L14:U14" si="17">H14*(1+L15)</f>
        <v>181.86799999999999</v>
      </c>
      <c r="M14" s="33">
        <f t="shared" si="17"/>
        <v>258.69099999999992</v>
      </c>
      <c r="N14" s="33">
        <f t="shared" si="17"/>
        <v>312.58150000000001</v>
      </c>
      <c r="O14" s="33">
        <f t="shared" si="17"/>
        <v>249.393</v>
      </c>
      <c r="P14" s="33">
        <f t="shared" si="17"/>
        <v>236.42840000000001</v>
      </c>
      <c r="Q14" s="33">
        <f t="shared" si="17"/>
        <v>271.62554999999992</v>
      </c>
      <c r="R14" s="33">
        <f t="shared" si="17"/>
        <v>328.21057500000001</v>
      </c>
      <c r="S14" s="33">
        <f t="shared" si="17"/>
        <v>261.86265000000003</v>
      </c>
      <c r="T14" s="33">
        <f t="shared" si="17"/>
        <v>248.24982000000003</v>
      </c>
      <c r="U14" s="33">
        <f t="shared" si="17"/>
        <v>285.20682749999992</v>
      </c>
      <c r="Y14" s="33">
        <f>133.425+66.832</f>
        <v>200.25700000000001</v>
      </c>
      <c r="Z14" s="33">
        <v>726.16099999999994</v>
      </c>
      <c r="AA14" s="3">
        <f>SUM(J14:M14)</f>
        <v>911.88339999999982</v>
      </c>
      <c r="AB14" s="33">
        <f>SUM(N14:Q14)</f>
        <v>1070.02845</v>
      </c>
      <c r="AC14" s="33">
        <f>SUM(R14:U14)</f>
        <v>1123.5298725</v>
      </c>
    </row>
    <row r="15" spans="1:29" s="40" customFormat="1">
      <c r="A15" s="40" t="s">
        <v>141</v>
      </c>
      <c r="B15" s="58"/>
      <c r="F15" s="42">
        <f>F14/B14-1</f>
        <v>0.77569317615806099</v>
      </c>
      <c r="G15" s="42">
        <f t="shared" ref="G15:J15" si="18">G14/C14-1</f>
        <v>21.218134034165573</v>
      </c>
      <c r="H15" s="42">
        <f t="shared" si="18"/>
        <v>2.4406901509705246</v>
      </c>
      <c r="I15" s="42">
        <f t="shared" si="18"/>
        <v>2.3693814553837726</v>
      </c>
      <c r="J15" s="42">
        <f t="shared" si="18"/>
        <v>1.5414679756895744</v>
      </c>
      <c r="K15" s="73">
        <v>0.18</v>
      </c>
      <c r="L15" s="41">
        <v>-0.05</v>
      </c>
      <c r="M15" s="40">
        <v>0</v>
      </c>
      <c r="N15" s="41">
        <v>0.15</v>
      </c>
      <c r="O15" s="41">
        <v>0.25</v>
      </c>
      <c r="P15" s="41">
        <v>0.3</v>
      </c>
      <c r="Q15" s="41">
        <v>0.05</v>
      </c>
      <c r="R15" s="41">
        <v>0.05</v>
      </c>
      <c r="S15" s="41">
        <v>0.05</v>
      </c>
      <c r="T15" s="41">
        <v>0.05</v>
      </c>
      <c r="U15" s="41">
        <v>0.05</v>
      </c>
      <c r="Y15" s="58"/>
      <c r="Z15" s="58"/>
    </row>
    <row r="16" spans="1:29" s="40" customFormat="1">
      <c r="A16" s="40" t="s">
        <v>142</v>
      </c>
      <c r="B16" s="42">
        <f>B14/B$44</f>
        <v>0.94124081887794975</v>
      </c>
      <c r="C16" s="42">
        <f t="shared" ref="C16:U16" si="19">C14/C$44</f>
        <v>0.43876845018450183</v>
      </c>
      <c r="D16" s="42">
        <f t="shared" si="19"/>
        <v>0.85128518971848222</v>
      </c>
      <c r="E16" s="42">
        <f t="shared" si="19"/>
        <v>0.88532321671548153</v>
      </c>
      <c r="F16" s="42">
        <f t="shared" si="19"/>
        <v>0.8813349814585909</v>
      </c>
      <c r="G16" s="42">
        <f t="shared" si="19"/>
        <v>0.87177107501933482</v>
      </c>
      <c r="H16" s="42">
        <f t="shared" si="19"/>
        <v>0.83799518494200043</v>
      </c>
      <c r="I16" s="42">
        <f t="shared" si="19"/>
        <v>0.84861517063105429</v>
      </c>
      <c r="J16" s="42">
        <f t="shared" si="19"/>
        <v>0.87643891271402319</v>
      </c>
      <c r="K16" s="74">
        <f t="shared" si="19"/>
        <v>0.92493500424651287</v>
      </c>
      <c r="L16" s="42">
        <f t="shared" si="19"/>
        <v>0.90202234373643808</v>
      </c>
      <c r="M16" s="42">
        <f t="shared" si="19"/>
        <v>0.83674171080980453</v>
      </c>
      <c r="N16" s="42">
        <f t="shared" si="19"/>
        <v>0.89842019869310341</v>
      </c>
      <c r="O16" s="42">
        <f t="shared" si="19"/>
        <v>0.94161199890507152</v>
      </c>
      <c r="P16" s="42">
        <f t="shared" si="19"/>
        <v>0.92284287725722192</v>
      </c>
      <c r="Q16" s="42">
        <f t="shared" si="19"/>
        <v>0.84323873613445521</v>
      </c>
      <c r="R16" s="42">
        <f t="shared" si="19"/>
        <v>0.90267387893242312</v>
      </c>
      <c r="S16" s="42">
        <f t="shared" si="19"/>
        <v>0.94400693379883105</v>
      </c>
      <c r="T16" s="42">
        <f t="shared" si="19"/>
        <v>0.92620393879190366</v>
      </c>
      <c r="U16" s="42">
        <f t="shared" si="19"/>
        <v>0.84952657753660776</v>
      </c>
      <c r="Y16" s="58"/>
      <c r="Z16" s="58"/>
    </row>
    <row r="17" spans="1:29">
      <c r="Y17" s="33"/>
      <c r="Z17" s="33"/>
    </row>
    <row r="18" spans="1:29">
      <c r="A18" s="3" t="s">
        <v>164</v>
      </c>
      <c r="B18" s="3">
        <v>7.78</v>
      </c>
      <c r="C18" s="3">
        <v>5.69</v>
      </c>
      <c r="D18" s="3">
        <v>7.22</v>
      </c>
      <c r="E18" s="33">
        <f>Y18-SUM(B18,C18,D18)</f>
        <v>7.6529999999999987</v>
      </c>
      <c r="F18" s="3">
        <v>9.2200000000000006</v>
      </c>
      <c r="G18" s="3">
        <v>18.22</v>
      </c>
      <c r="H18" s="3">
        <v>18.98</v>
      </c>
      <c r="I18" s="33">
        <f>Z18-SUM(F18,G18,H18)</f>
        <v>28.694000000000003</v>
      </c>
      <c r="J18" s="3">
        <v>42.17</v>
      </c>
      <c r="K18" s="71">
        <f>G18*(1+K19)</f>
        <v>20.042000000000002</v>
      </c>
      <c r="L18" s="33">
        <f t="shared" ref="L18:U18" si="20">H18*(1+L19)</f>
        <v>18.030999999999999</v>
      </c>
      <c r="M18" s="33">
        <f t="shared" si="20"/>
        <v>28.694000000000003</v>
      </c>
      <c r="N18" s="33">
        <f t="shared" si="20"/>
        <v>42.17</v>
      </c>
      <c r="O18" s="33">
        <f t="shared" si="20"/>
        <v>20.042000000000002</v>
      </c>
      <c r="P18" s="33">
        <f t="shared" si="20"/>
        <v>18.030999999999999</v>
      </c>
      <c r="Q18" s="33">
        <f t="shared" si="20"/>
        <v>28.694000000000003</v>
      </c>
      <c r="R18" s="33">
        <f t="shared" si="20"/>
        <v>42.17</v>
      </c>
      <c r="S18" s="33">
        <f t="shared" si="20"/>
        <v>20.042000000000002</v>
      </c>
      <c r="T18" s="33">
        <f t="shared" si="20"/>
        <v>18.030999999999999</v>
      </c>
      <c r="U18" s="33">
        <f t="shared" si="20"/>
        <v>28.694000000000003</v>
      </c>
      <c r="Y18" s="33">
        <v>28.343</v>
      </c>
      <c r="Z18" s="33">
        <v>75.114000000000004</v>
      </c>
      <c r="AA18" s="3">
        <f>SUM(J18:M18)</f>
        <v>108.937</v>
      </c>
      <c r="AB18" s="33">
        <f>SUM(N18:Q18)</f>
        <v>108.937</v>
      </c>
      <c r="AC18" s="33">
        <f>SUM(R18:U18)</f>
        <v>108.937</v>
      </c>
    </row>
    <row r="19" spans="1:29" s="40" customFormat="1">
      <c r="A19" s="40" t="s">
        <v>141</v>
      </c>
      <c r="B19" s="58"/>
      <c r="F19" s="42">
        <f>F18/B18-1</f>
        <v>0.18508997429305918</v>
      </c>
      <c r="G19" s="42">
        <f t="shared" ref="G19" si="21">G18/C18-1</f>
        <v>2.2021089630931456</v>
      </c>
      <c r="H19" s="42">
        <f t="shared" ref="H19" si="22">H18/D18-1</f>
        <v>1.628808864265928</v>
      </c>
      <c r="I19" s="42">
        <f t="shared" ref="I19" si="23">I18/E18-1</f>
        <v>2.7493793283679611</v>
      </c>
      <c r="J19" s="42">
        <f t="shared" ref="J19" si="24">J18/F18-1</f>
        <v>3.5737527114967458</v>
      </c>
      <c r="K19" s="73">
        <v>0.1</v>
      </c>
      <c r="L19" s="41">
        <v>-0.05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41">
        <v>0</v>
      </c>
      <c r="S19" s="41">
        <v>0</v>
      </c>
      <c r="T19" s="41">
        <v>0</v>
      </c>
      <c r="U19" s="41">
        <v>0</v>
      </c>
      <c r="Y19" s="58"/>
      <c r="Z19" s="58"/>
    </row>
    <row r="20" spans="1:29" s="40" customFormat="1">
      <c r="A20" s="40" t="s">
        <v>142</v>
      </c>
      <c r="B20" s="42">
        <f>B18/B$44</f>
        <v>0.12158149710892328</v>
      </c>
      <c r="C20" s="42">
        <f t="shared" ref="C20:U20" si="25">C18/C$44</f>
        <v>0.32806734317343172</v>
      </c>
      <c r="D20" s="42">
        <f t="shared" si="25"/>
        <v>0.11046511627906977</v>
      </c>
      <c r="E20" s="42">
        <f t="shared" si="25"/>
        <v>8.8247503516985279E-2</v>
      </c>
      <c r="F20" s="42">
        <f t="shared" si="25"/>
        <v>7.5978574371652258E-2</v>
      </c>
      <c r="G20" s="42">
        <f t="shared" si="25"/>
        <v>9.3941737561227104E-2</v>
      </c>
      <c r="H20" s="42">
        <f t="shared" si="25"/>
        <v>8.3081637119719859E-2</v>
      </c>
      <c r="I20" s="42">
        <f t="shared" si="25"/>
        <v>9.412837596239329E-2</v>
      </c>
      <c r="J20" s="42">
        <f t="shared" si="25"/>
        <v>0.13597523619127463</v>
      </c>
      <c r="K20" s="74">
        <f t="shared" si="25"/>
        <v>9.2913330341612491E-2</v>
      </c>
      <c r="L20" s="42">
        <f t="shared" si="25"/>
        <v>8.9429503155649778E-2</v>
      </c>
      <c r="M20" s="42">
        <f t="shared" si="25"/>
        <v>9.2811372061558164E-2</v>
      </c>
      <c r="N20" s="42">
        <f t="shared" si="25"/>
        <v>0.12120480507927747</v>
      </c>
      <c r="O20" s="42">
        <f t="shared" si="25"/>
        <v>7.5670879623948722E-2</v>
      </c>
      <c r="P20" s="42">
        <f t="shared" si="25"/>
        <v>7.0379784830523595E-2</v>
      </c>
      <c r="Q20" s="42">
        <f t="shared" si="25"/>
        <v>8.9078116158962467E-2</v>
      </c>
      <c r="R20" s="42">
        <f t="shared" si="25"/>
        <v>0.11597968004102331</v>
      </c>
      <c r="S20" s="42">
        <f t="shared" si="25"/>
        <v>7.2250803874459257E-2</v>
      </c>
      <c r="T20" s="42">
        <f t="shared" si="25"/>
        <v>6.7272488738790673E-2</v>
      </c>
      <c r="U20" s="42">
        <f t="shared" si="25"/>
        <v>8.5468906300412581E-2</v>
      </c>
      <c r="Y20" s="58"/>
      <c r="Z20" s="58"/>
    </row>
    <row r="21" spans="1:29">
      <c r="Y21" s="33"/>
      <c r="Z21" s="33"/>
    </row>
    <row r="22" spans="1:29">
      <c r="A22" s="3" t="s">
        <v>138</v>
      </c>
      <c r="B22" s="3">
        <f>SUM(B14,B18)</f>
        <v>68.009999999999991</v>
      </c>
      <c r="C22" s="3">
        <f>SUM(C14,C18)</f>
        <v>13.3</v>
      </c>
      <c r="D22" s="3">
        <f>SUM(D14,D18)</f>
        <v>62.86</v>
      </c>
      <c r="E22" s="3">
        <f>SUM(E14,E18)</f>
        <v>84.43</v>
      </c>
      <c r="F22" s="3">
        <f>SUM(F14,F18)</f>
        <v>116.17</v>
      </c>
      <c r="G22" s="3">
        <f t="shared" ref="G22:I22" si="26">SUM(G14,G18)</f>
        <v>187.3</v>
      </c>
      <c r="H22" s="3">
        <f t="shared" si="26"/>
        <v>210.42</v>
      </c>
      <c r="I22" s="3">
        <f t="shared" si="26"/>
        <v>287.38499999999993</v>
      </c>
      <c r="J22" s="3">
        <f>SUM(J14,J18)</f>
        <v>313.98</v>
      </c>
      <c r="K22" s="13">
        <f t="shared" ref="K22:U22" si="27">SUM(K14,K18)</f>
        <v>219.5564</v>
      </c>
      <c r="L22" s="33">
        <f t="shared" si="27"/>
        <v>199.899</v>
      </c>
      <c r="M22" s="33">
        <f t="shared" si="27"/>
        <v>287.38499999999993</v>
      </c>
      <c r="N22" s="33">
        <f t="shared" si="27"/>
        <v>354.75150000000002</v>
      </c>
      <c r="O22" s="33">
        <f t="shared" si="27"/>
        <v>269.435</v>
      </c>
      <c r="P22" s="33">
        <f t="shared" si="27"/>
        <v>254.45940000000002</v>
      </c>
      <c r="Q22" s="33">
        <f t="shared" si="27"/>
        <v>300.31954999999994</v>
      </c>
      <c r="R22" s="33">
        <f t="shared" si="27"/>
        <v>370.38057500000002</v>
      </c>
      <c r="S22" s="33">
        <f t="shared" si="27"/>
        <v>281.90465000000006</v>
      </c>
      <c r="T22" s="33">
        <f t="shared" si="27"/>
        <v>266.28082000000001</v>
      </c>
      <c r="U22" s="33">
        <f t="shared" si="27"/>
        <v>313.90082749999993</v>
      </c>
      <c r="Y22" s="33">
        <f>SUM(Y14,Y18)</f>
        <v>228.6</v>
      </c>
      <c r="Z22" s="33">
        <v>801.27499999999998</v>
      </c>
      <c r="AA22" s="3">
        <f>SUM(J22:M22)</f>
        <v>1020.8203999999998</v>
      </c>
      <c r="AB22" s="33">
        <f>SUM(N22:Q22)</f>
        <v>1178.9654499999999</v>
      </c>
      <c r="AC22" s="33">
        <f>SUM(R22:U22)</f>
        <v>1232.4668724999999</v>
      </c>
    </row>
    <row r="23" spans="1:29" s="40" customFormat="1">
      <c r="A23" s="40" t="s">
        <v>141</v>
      </c>
      <c r="B23" s="58"/>
      <c r="F23" s="42">
        <f>F22/B22-1</f>
        <v>0.70813115718276753</v>
      </c>
      <c r="G23" s="42">
        <f t="shared" ref="G23" si="28">G22/C22-1</f>
        <v>13.082706766917294</v>
      </c>
      <c r="H23" s="42">
        <f t="shared" ref="H23" si="29">H22/D22-1</f>
        <v>2.3474387527839644</v>
      </c>
      <c r="I23" s="42">
        <f t="shared" ref="I23" si="30">I22/E22-1</f>
        <v>2.4038256543882497</v>
      </c>
      <c r="J23" s="42">
        <f t="shared" ref="J23" si="31">J22/F22-1</f>
        <v>1.7027631918739781</v>
      </c>
      <c r="K23" s="74">
        <f t="shared" ref="K23" si="32">K22/G22-1</f>
        <v>0.17221783235451138</v>
      </c>
      <c r="L23" s="42">
        <f t="shared" ref="L23" si="33">L22/H22-1</f>
        <v>-4.9999999999999933E-2</v>
      </c>
      <c r="M23" s="42">
        <f t="shared" ref="M23" si="34">M22/I22-1</f>
        <v>0</v>
      </c>
      <c r="N23" s="42">
        <f t="shared" ref="N23" si="35">N22/J22-1</f>
        <v>0.12985381234473525</v>
      </c>
      <c r="O23" s="42">
        <f t="shared" ref="O23" si="36">O22/K22-1</f>
        <v>0.22717898453426999</v>
      </c>
      <c r="P23" s="42">
        <f t="shared" ref="P23" si="37">P22/L22-1</f>
        <v>0.2729398346164813</v>
      </c>
      <c r="Q23" s="42">
        <f t="shared" ref="Q23" si="38">Q22/M22-1</f>
        <v>4.500774222732562E-2</v>
      </c>
      <c r="R23" s="42">
        <f t="shared" ref="R23" si="39">R22/N22-1</f>
        <v>4.4056402862285182E-2</v>
      </c>
      <c r="S23" s="42">
        <f t="shared" ref="S23" si="40">S22/O22-1</f>
        <v>4.6280735613413393E-2</v>
      </c>
      <c r="T23" s="42">
        <f t="shared" ref="T23" si="41">T22/P22-1</f>
        <v>4.6456998641040581E-2</v>
      </c>
      <c r="U23" s="42">
        <f t="shared" ref="U23" si="42">U22/Q22-1</f>
        <v>4.5222755228555789E-2</v>
      </c>
      <c r="Y23" s="58"/>
      <c r="Z23" s="58"/>
    </row>
    <row r="24" spans="1:29" s="40" customFormat="1">
      <c r="A24" s="40" t="s">
        <v>142</v>
      </c>
      <c r="B24" s="42">
        <f>B22/B$44</f>
        <v>1.0628223159868728</v>
      </c>
      <c r="C24" s="42">
        <f t="shared" ref="C24:J24" si="43">C22/C$44</f>
        <v>0.76683579335793361</v>
      </c>
      <c r="D24" s="42">
        <f t="shared" si="43"/>
        <v>0.96175030599755207</v>
      </c>
      <c r="E24" s="42">
        <f t="shared" si="43"/>
        <v>0.97357072023246694</v>
      </c>
      <c r="F24" s="42">
        <f t="shared" si="43"/>
        <v>0.95731355583024313</v>
      </c>
      <c r="G24" s="42">
        <f t="shared" si="43"/>
        <v>0.96571281258056196</v>
      </c>
      <c r="H24" s="42">
        <f t="shared" si="43"/>
        <v>0.92107682206172026</v>
      </c>
      <c r="I24" s="42">
        <f t="shared" si="43"/>
        <v>0.94274354659344761</v>
      </c>
      <c r="J24" s="42">
        <f t="shared" si="43"/>
        <v>1.0124141489052978</v>
      </c>
      <c r="K24" s="74">
        <f t="shared" ref="K24:U24" si="44">K22/K$44</f>
        <v>1.0178483345881253</v>
      </c>
      <c r="L24" s="42">
        <f t="shared" si="44"/>
        <v>0.99145184689208798</v>
      </c>
      <c r="M24" s="42">
        <f t="shared" si="44"/>
        <v>0.92955308287136273</v>
      </c>
      <c r="N24" s="42">
        <f t="shared" si="44"/>
        <v>1.0196250037723809</v>
      </c>
      <c r="O24" s="42">
        <f t="shared" si="44"/>
        <v>1.0172828785290202</v>
      </c>
      <c r="P24" s="42">
        <f t="shared" si="44"/>
        <v>0.99322266208774557</v>
      </c>
      <c r="Q24" s="42">
        <f t="shared" si="44"/>
        <v>0.93231685229341765</v>
      </c>
      <c r="R24" s="42">
        <f t="shared" si="44"/>
        <v>1.0186535589734464</v>
      </c>
      <c r="S24" s="42">
        <f t="shared" si="44"/>
        <v>1.0162577376732904</v>
      </c>
      <c r="T24" s="42">
        <f t="shared" si="44"/>
        <v>0.99347642753069432</v>
      </c>
      <c r="U24" s="42">
        <f t="shared" si="44"/>
        <v>0.93499548383702036</v>
      </c>
      <c r="Y24" s="58"/>
      <c r="Z24" s="58"/>
    </row>
    <row r="26" spans="1:29" s="31" customFormat="1">
      <c r="A26" s="29" t="s">
        <v>166</v>
      </c>
      <c r="K26" s="75"/>
    </row>
    <row r="28" spans="1:29">
      <c r="A28" s="3" t="s">
        <v>139</v>
      </c>
      <c r="B28" s="3">
        <v>9.18</v>
      </c>
      <c r="C28" s="33">
        <v>7.7240000000000002</v>
      </c>
      <c r="D28" s="3">
        <v>5.8</v>
      </c>
      <c r="E28" s="33">
        <f>Y28-SUM(B28,C28,D28)</f>
        <v>3.7040000000000006</v>
      </c>
      <c r="F28" s="3">
        <v>3.41</v>
      </c>
      <c r="G28" s="3">
        <v>3.55</v>
      </c>
      <c r="H28" s="3">
        <v>5.07</v>
      </c>
      <c r="I28" s="33">
        <f>Z28-SUM(F28,G28,H28)</f>
        <v>8.6039999999999992</v>
      </c>
      <c r="J28" s="3">
        <v>15.13</v>
      </c>
      <c r="K28" s="13">
        <f>G28*(1+K29)</f>
        <v>15.975</v>
      </c>
      <c r="L28" s="33">
        <f t="shared" ref="L28:U28" si="45">H28*(1+L29)</f>
        <v>15.21</v>
      </c>
      <c r="M28" s="33">
        <f t="shared" si="45"/>
        <v>12.905999999999999</v>
      </c>
      <c r="N28" s="33">
        <f t="shared" si="45"/>
        <v>12.104000000000001</v>
      </c>
      <c r="O28" s="33">
        <f t="shared" si="45"/>
        <v>15.17625</v>
      </c>
      <c r="P28" s="33">
        <f t="shared" si="45"/>
        <v>15.21</v>
      </c>
      <c r="Q28" s="33">
        <f t="shared" si="45"/>
        <v>12.905999999999999</v>
      </c>
      <c r="R28" s="33">
        <f t="shared" si="45"/>
        <v>12.104000000000001</v>
      </c>
      <c r="S28" s="33">
        <f t="shared" si="45"/>
        <v>15.17625</v>
      </c>
      <c r="T28" s="33">
        <f t="shared" si="45"/>
        <v>15.21</v>
      </c>
      <c r="U28" s="33">
        <f t="shared" si="45"/>
        <v>12.905999999999999</v>
      </c>
      <c r="Y28" s="3">
        <v>26.408000000000001</v>
      </c>
      <c r="Z28" s="3">
        <v>20.634</v>
      </c>
      <c r="AA28" s="3">
        <f>SUM(J28:M28)</f>
        <v>59.220999999999997</v>
      </c>
      <c r="AB28" s="33">
        <f>SUM(N28:Q28)</f>
        <v>55.396250000000002</v>
      </c>
      <c r="AC28" s="33">
        <f>SUM(R28:U28)</f>
        <v>55.396250000000002</v>
      </c>
    </row>
    <row r="29" spans="1:29" s="40" customFormat="1">
      <c r="A29" s="40" t="s">
        <v>141</v>
      </c>
      <c r="B29" s="58"/>
      <c r="F29" s="42">
        <f>F28/B28-1</f>
        <v>-0.6285403050108932</v>
      </c>
      <c r="G29" s="42">
        <f t="shared" ref="G29" si="46">G28/C28-1</f>
        <v>-0.54039357845675817</v>
      </c>
      <c r="H29" s="42">
        <f t="shared" ref="H29" si="47">H28/D28-1</f>
        <v>-0.12586206896551722</v>
      </c>
      <c r="I29" s="42">
        <f t="shared" ref="I29" si="48">I28/E28-1</f>
        <v>1.3228941684665219</v>
      </c>
      <c r="J29" s="42">
        <f t="shared" ref="J29" si="49">J28/F28-1</f>
        <v>3.4369501466275656</v>
      </c>
      <c r="K29" s="73">
        <v>3.5</v>
      </c>
      <c r="L29" s="41">
        <v>2</v>
      </c>
      <c r="M29" s="41">
        <v>0.5</v>
      </c>
      <c r="N29" s="41">
        <v>-0.2</v>
      </c>
      <c r="O29" s="41">
        <v>-0.05</v>
      </c>
      <c r="P29" s="41">
        <v>0</v>
      </c>
      <c r="Q29" s="41">
        <v>0</v>
      </c>
      <c r="R29" s="41">
        <v>0</v>
      </c>
      <c r="S29" s="41">
        <v>0</v>
      </c>
      <c r="T29" s="41">
        <v>0</v>
      </c>
      <c r="U29" s="41">
        <v>0</v>
      </c>
    </row>
    <row r="30" spans="1:29" s="40" customFormat="1">
      <c r="A30" s="40" t="s">
        <v>142</v>
      </c>
      <c r="B30" s="42">
        <f>B28/B$44</f>
        <v>0.14345991561181434</v>
      </c>
      <c r="C30" s="42">
        <f t="shared" ref="C30:U30" si="50">C28/C$44</f>
        <v>0.44534132841328411</v>
      </c>
      <c r="D30" s="42">
        <f t="shared" si="50"/>
        <v>8.8739290085679309E-2</v>
      </c>
      <c r="E30" s="42">
        <f t="shared" si="50"/>
        <v>4.271119208505339E-2</v>
      </c>
      <c r="F30" s="42">
        <f t="shared" si="50"/>
        <v>2.8100535640708697E-2</v>
      </c>
      <c r="G30" s="42">
        <f t="shared" si="50"/>
        <v>1.8303686517143591E-2</v>
      </c>
      <c r="H30" s="42">
        <f t="shared" si="50"/>
        <v>2.2193040052527906E-2</v>
      </c>
      <c r="I30" s="42">
        <f t="shared" si="50"/>
        <v>2.8224735024061885E-2</v>
      </c>
      <c r="J30" s="42">
        <f t="shared" si="50"/>
        <v>4.8785992970689716E-2</v>
      </c>
      <c r="K30" s="74">
        <f t="shared" si="50"/>
        <v>7.4058998713065538E-2</v>
      </c>
      <c r="L30" s="42">
        <f t="shared" si="50"/>
        <v>7.5438009150764429E-2</v>
      </c>
      <c r="M30" s="42">
        <f t="shared" si="50"/>
        <v>4.1744739939585607E-2</v>
      </c>
      <c r="N30" s="42">
        <f t="shared" si="50"/>
        <v>3.4789256833757991E-2</v>
      </c>
      <c r="O30" s="42">
        <f t="shared" si="50"/>
        <v>5.7299680016612703E-2</v>
      </c>
      <c r="P30" s="42">
        <f t="shared" si="50"/>
        <v>5.9368672135337149E-2</v>
      </c>
      <c r="Q30" s="42">
        <f t="shared" si="50"/>
        <v>4.0065594449974533E-2</v>
      </c>
      <c r="R30" s="42">
        <f t="shared" si="50"/>
        <v>3.328949602126028E-2</v>
      </c>
      <c r="S30" s="42">
        <f t="shared" si="50"/>
        <v>5.4709922278203885E-2</v>
      </c>
      <c r="T30" s="42">
        <f t="shared" si="50"/>
        <v>5.6747521142310818E-2</v>
      </c>
      <c r="U30" s="42">
        <f t="shared" si="50"/>
        <v>3.8442242444870864E-2</v>
      </c>
    </row>
    <row r="32" spans="1:29">
      <c r="A32" s="3" t="s">
        <v>6</v>
      </c>
      <c r="B32" s="3">
        <v>-3.25</v>
      </c>
      <c r="C32" s="3">
        <v>-2.2599999999999998</v>
      </c>
      <c r="D32" s="3">
        <v>-1.44</v>
      </c>
      <c r="E32" s="33">
        <f>Y32-SUM(B32,C32,D32)</f>
        <v>-1.0760000000000005</v>
      </c>
      <c r="F32" s="3">
        <v>-1.03</v>
      </c>
      <c r="G32" s="3">
        <v>-1.5</v>
      </c>
      <c r="H32" s="3">
        <v>-0.27</v>
      </c>
      <c r="I32" s="33">
        <f>Z32-SUM(F32,G32,H32)</f>
        <v>-0.47399999999999975</v>
      </c>
      <c r="J32" s="3">
        <v>-0.96</v>
      </c>
      <c r="K32" s="13">
        <f>G32*(1+K33)</f>
        <v>-1.4249999999999998</v>
      </c>
      <c r="L32" s="33">
        <f t="shared" ref="L32:U32" si="51">H32*(1+L33)</f>
        <v>-0.25650000000000001</v>
      </c>
      <c r="M32" s="33">
        <f t="shared" si="51"/>
        <v>-0.45029999999999976</v>
      </c>
      <c r="N32" s="33">
        <f t="shared" si="51"/>
        <v>-0.91199999999999992</v>
      </c>
      <c r="O32" s="33">
        <f t="shared" si="51"/>
        <v>-1.3537499999999998</v>
      </c>
      <c r="P32" s="33">
        <f t="shared" si="51"/>
        <v>-0.243675</v>
      </c>
      <c r="Q32" s="33">
        <f t="shared" si="51"/>
        <v>-0.42778499999999975</v>
      </c>
      <c r="R32" s="33">
        <f t="shared" si="51"/>
        <v>-0.86639999999999984</v>
      </c>
      <c r="S32" s="33">
        <f t="shared" si="51"/>
        <v>-1.2860624999999997</v>
      </c>
      <c r="T32" s="33">
        <f t="shared" si="51"/>
        <v>-0.23149124999999998</v>
      </c>
      <c r="U32" s="33">
        <f t="shared" si="51"/>
        <v>-0.40639574999999972</v>
      </c>
      <c r="Y32" s="3">
        <v>-8.0259999999999998</v>
      </c>
      <c r="Z32" s="3">
        <v>-3.274</v>
      </c>
      <c r="AA32" s="3">
        <f>SUM(J32:M32)</f>
        <v>-3.0917999999999997</v>
      </c>
      <c r="AB32" s="33">
        <f>SUM(N32:Q32)</f>
        <v>-2.9372099999999994</v>
      </c>
      <c r="AC32" s="33">
        <f>SUM(R32:U32)</f>
        <v>-2.7903494999999991</v>
      </c>
    </row>
    <row r="33" spans="1:29" s="40" customFormat="1">
      <c r="A33" s="40" t="s">
        <v>141</v>
      </c>
      <c r="B33" s="58"/>
      <c r="F33" s="42">
        <f>F32/B32-1</f>
        <v>-0.68307692307692314</v>
      </c>
      <c r="G33" s="42">
        <f t="shared" ref="G33" si="52">G32/C32-1</f>
        <v>-0.33628318584070793</v>
      </c>
      <c r="H33" s="42">
        <f t="shared" ref="H33" si="53">H32/D32-1</f>
        <v>-0.8125</v>
      </c>
      <c r="I33" s="42">
        <f t="shared" ref="I33" si="54">I32/E32-1</f>
        <v>-0.55947955390334614</v>
      </c>
      <c r="J33" s="42">
        <f t="shared" ref="J33" si="55">J32/F32-1</f>
        <v>-6.796116504854377E-2</v>
      </c>
      <c r="K33" s="73">
        <v>-0.05</v>
      </c>
      <c r="L33" s="41">
        <v>-0.05</v>
      </c>
      <c r="M33" s="41">
        <v>-0.05</v>
      </c>
      <c r="N33" s="41">
        <v>-0.05</v>
      </c>
      <c r="O33" s="41">
        <v>-0.05</v>
      </c>
      <c r="P33" s="41">
        <v>-0.05</v>
      </c>
      <c r="Q33" s="41">
        <v>-0.05</v>
      </c>
      <c r="R33" s="41">
        <v>-0.05</v>
      </c>
      <c r="S33" s="41">
        <v>-0.05</v>
      </c>
      <c r="T33" s="41">
        <v>-0.05</v>
      </c>
      <c r="U33" s="41">
        <v>-0.05</v>
      </c>
    </row>
    <row r="34" spans="1:29" s="40" customFormat="1">
      <c r="A34" s="40" t="s">
        <v>142</v>
      </c>
      <c r="B34" s="42">
        <f>B32/B$44</f>
        <v>-5.0789185810282862E-2</v>
      </c>
      <c r="C34" s="42">
        <f t="shared" ref="C34:U34" si="56">C32/C$44</f>
        <v>-0.13030442804428041</v>
      </c>
      <c r="D34" s="42">
        <f t="shared" si="56"/>
        <v>-2.2031823745410035E-2</v>
      </c>
      <c r="E34" s="42">
        <f t="shared" si="56"/>
        <v>-1.2407462927515513E-2</v>
      </c>
      <c r="F34" s="42">
        <f t="shared" si="56"/>
        <v>-8.4878450762257938E-3</v>
      </c>
      <c r="G34" s="42">
        <f t="shared" si="56"/>
        <v>-7.7339520494972922E-3</v>
      </c>
      <c r="H34" s="42">
        <f t="shared" si="56"/>
        <v>-1.1818778726198295E-3</v>
      </c>
      <c r="I34" s="42">
        <f t="shared" si="56"/>
        <v>-1.5549191540452495E-3</v>
      </c>
      <c r="J34" s="42">
        <f t="shared" si="56"/>
        <v>-3.0954760906716536E-3</v>
      </c>
      <c r="K34" s="74">
        <f t="shared" si="56"/>
        <v>-6.6062017631373007E-3</v>
      </c>
      <c r="L34" s="42">
        <f t="shared" si="56"/>
        <v>-1.2721794442584534E-3</v>
      </c>
      <c r="M34" s="42">
        <f t="shared" si="56"/>
        <v>-1.4565052219739183E-3</v>
      </c>
      <c r="N34" s="42">
        <f t="shared" si="56"/>
        <v>-2.6212658817239992E-3</v>
      </c>
      <c r="O34" s="42">
        <f t="shared" si="56"/>
        <v>-5.1112390625147478E-3</v>
      </c>
      <c r="P34" s="42">
        <f t="shared" si="56"/>
        <v>-9.5112828287825628E-4</v>
      </c>
      <c r="Q34" s="42">
        <f t="shared" si="56"/>
        <v>-1.3280226500683673E-3</v>
      </c>
      <c r="R34" s="42">
        <f t="shared" si="56"/>
        <v>-2.3828502439540568E-3</v>
      </c>
      <c r="S34" s="42">
        <f t="shared" si="56"/>
        <v>-4.6362164184111732E-3</v>
      </c>
      <c r="T34" s="42">
        <f t="shared" si="56"/>
        <v>-8.636788036577881E-4</v>
      </c>
      <c r="U34" s="42">
        <f t="shared" si="56"/>
        <v>-1.2105039477812737E-3</v>
      </c>
    </row>
    <row r="36" spans="1:29">
      <c r="A36" s="3" t="s">
        <v>144</v>
      </c>
      <c r="B36" s="3">
        <v>-9.9499999999999993</v>
      </c>
      <c r="C36" s="3">
        <v>-1.42</v>
      </c>
      <c r="D36" s="3">
        <v>-1.86</v>
      </c>
      <c r="E36" s="33">
        <f>Y36-SUM(B36,C36,D36)</f>
        <v>-0.33600000000000207</v>
      </c>
      <c r="F36" s="3">
        <v>2.8</v>
      </c>
      <c r="G36" s="3">
        <v>4.5999999999999996</v>
      </c>
      <c r="H36" s="3">
        <v>13.23</v>
      </c>
      <c r="I36" s="33">
        <f>Z36-SUM(F36,G36,H36)</f>
        <v>9.3240000000000016</v>
      </c>
      <c r="J36" s="3">
        <v>-18.02</v>
      </c>
      <c r="K36" s="13">
        <f>G36*(1+K37)</f>
        <v>-18.399999999999999</v>
      </c>
      <c r="L36" s="33">
        <f t="shared" ref="L36:U36" si="57">H36*(1+L37)</f>
        <v>-13.23</v>
      </c>
      <c r="M36" s="33">
        <f t="shared" si="57"/>
        <v>9.3240000000000016</v>
      </c>
      <c r="N36" s="33">
        <f t="shared" si="57"/>
        <v>-18.02</v>
      </c>
      <c r="O36" s="33">
        <f t="shared" si="57"/>
        <v>-18.399999999999999</v>
      </c>
      <c r="P36" s="33">
        <f t="shared" si="57"/>
        <v>-13.23</v>
      </c>
      <c r="Q36" s="33">
        <f t="shared" si="57"/>
        <v>9.3240000000000016</v>
      </c>
      <c r="R36" s="33">
        <f t="shared" si="57"/>
        <v>-18.02</v>
      </c>
      <c r="S36" s="33">
        <f t="shared" si="57"/>
        <v>-18.399999999999999</v>
      </c>
      <c r="T36" s="33">
        <f t="shared" si="57"/>
        <v>-13.23</v>
      </c>
      <c r="U36" s="33">
        <f t="shared" si="57"/>
        <v>9.3240000000000016</v>
      </c>
      <c r="Y36" s="3">
        <v>-13.566000000000001</v>
      </c>
      <c r="Z36" s="3">
        <v>29.954000000000001</v>
      </c>
      <c r="AA36" s="3">
        <f>SUM(J36:M36)</f>
        <v>-40.326000000000008</v>
      </c>
      <c r="AB36" s="33">
        <f>SUM(N36:Q36)</f>
        <v>-40.326000000000008</v>
      </c>
      <c r="AC36" s="33">
        <f>SUM(R36:U36)</f>
        <v>-40.326000000000008</v>
      </c>
    </row>
    <row r="37" spans="1:29" s="40" customFormat="1">
      <c r="A37" s="40" t="s">
        <v>141</v>
      </c>
      <c r="B37" s="58"/>
      <c r="F37" s="42">
        <f>F36/B36-1</f>
        <v>-1.2814070351758793</v>
      </c>
      <c r="G37" s="42">
        <f t="shared" ref="G37" si="58">G36/C36-1</f>
        <v>-4.23943661971831</v>
      </c>
      <c r="H37" s="42">
        <f t="shared" ref="H37" si="59">H36/D36-1</f>
        <v>-8.112903225806452</v>
      </c>
      <c r="I37" s="42">
        <f t="shared" ref="I37" si="60">I36/E36-1</f>
        <v>-28.749999999999833</v>
      </c>
      <c r="J37" s="42">
        <f t="shared" ref="J37" si="61">J36/F36-1</f>
        <v>-7.4357142857142859</v>
      </c>
      <c r="K37" s="73">
        <f>-500%</f>
        <v>-5</v>
      </c>
      <c r="L37" s="41">
        <f>-200%</f>
        <v>-2</v>
      </c>
      <c r="M37" s="41">
        <v>0</v>
      </c>
      <c r="N37" s="41">
        <v>0</v>
      </c>
      <c r="O37" s="41">
        <v>0</v>
      </c>
      <c r="P37" s="41">
        <v>0</v>
      </c>
      <c r="Q37" s="41">
        <v>0</v>
      </c>
      <c r="R37" s="41">
        <v>0</v>
      </c>
      <c r="S37" s="41">
        <v>0</v>
      </c>
      <c r="T37" s="41">
        <v>0</v>
      </c>
      <c r="U37" s="41">
        <v>0</v>
      </c>
    </row>
    <row r="38" spans="1:29" s="40" customFormat="1">
      <c r="A38" s="40" t="s">
        <v>142</v>
      </c>
      <c r="B38" s="42">
        <f>B36/B$44</f>
        <v>-0.15549304578840445</v>
      </c>
      <c r="C38" s="42">
        <f t="shared" ref="C38:U38" si="62">C36/C$44</f>
        <v>-8.1872693726937257E-2</v>
      </c>
      <c r="D38" s="42">
        <f t="shared" si="62"/>
        <v>-2.8457772337821298E-2</v>
      </c>
      <c r="E38" s="42">
        <f t="shared" si="62"/>
        <v>-3.8744493900048668E-3</v>
      </c>
      <c r="F38" s="42">
        <f t="shared" si="62"/>
        <v>2.3073753605274E-2</v>
      </c>
      <c r="G38" s="42">
        <f t="shared" si="62"/>
        <v>2.3717452951791694E-2</v>
      </c>
      <c r="H38" s="42">
        <f t="shared" si="62"/>
        <v>5.7912015758371641E-2</v>
      </c>
      <c r="I38" s="42">
        <f t="shared" si="62"/>
        <v>3.0586637536535691E-2</v>
      </c>
      <c r="J38" s="42">
        <f t="shared" si="62"/>
        <v>-5.8104665785315833E-2</v>
      </c>
      <c r="K38" s="74">
        <f t="shared" si="62"/>
        <v>-8.5301131538053562E-2</v>
      </c>
      <c r="L38" s="42">
        <f t="shared" si="62"/>
        <v>-6.561767659859391E-2</v>
      </c>
      <c r="M38" s="42">
        <f t="shared" si="62"/>
        <v>3.0158682411025591E-2</v>
      </c>
      <c r="N38" s="42">
        <f t="shared" si="62"/>
        <v>-5.1792994724414988E-2</v>
      </c>
      <c r="O38" s="42">
        <f t="shared" si="62"/>
        <v>-6.9471319483118271E-2</v>
      </c>
      <c r="P38" s="42">
        <f t="shared" si="62"/>
        <v>-5.1640205940204499E-2</v>
      </c>
      <c r="Q38" s="42">
        <f t="shared" si="62"/>
        <v>2.8945575906676173E-2</v>
      </c>
      <c r="R38" s="42">
        <f t="shared" si="62"/>
        <v>-4.9560204750752665E-2</v>
      </c>
      <c r="S38" s="42">
        <f t="shared" si="62"/>
        <v>-6.633144353308304E-2</v>
      </c>
      <c r="T38" s="42">
        <f t="shared" si="62"/>
        <v>-4.936026986934728E-2</v>
      </c>
      <c r="U38" s="42">
        <f t="shared" si="62"/>
        <v>2.7772777665889974E-2</v>
      </c>
    </row>
    <row r="40" spans="1:29">
      <c r="A40" s="3" t="s">
        <v>167</v>
      </c>
      <c r="B40" s="33">
        <f>SUM(B28,B32,B36)</f>
        <v>-4.0199999999999996</v>
      </c>
      <c r="C40" s="33">
        <f>SUM(C28,C32,C36)</f>
        <v>4.0440000000000005</v>
      </c>
      <c r="D40" s="33">
        <f>SUM(D28,D32,D36)</f>
        <v>2.4999999999999991</v>
      </c>
      <c r="E40" s="33">
        <f>SUM(E28,E32,E36)</f>
        <v>2.291999999999998</v>
      </c>
      <c r="F40" s="33">
        <f t="shared" ref="F40:G40" si="63">SUM(F28,F32,F36)</f>
        <v>5.18</v>
      </c>
      <c r="G40" s="33">
        <f t="shared" si="63"/>
        <v>6.6499999999999995</v>
      </c>
      <c r="H40" s="33">
        <f>SUM(H28,H32,H36)</f>
        <v>18.03</v>
      </c>
      <c r="I40" s="33">
        <f>SUM(I28,I32,I36)</f>
        <v>17.454000000000001</v>
      </c>
      <c r="J40" s="33">
        <f>SUM(J28,J32,J36)</f>
        <v>-3.8499999999999979</v>
      </c>
      <c r="K40" s="71">
        <f>SUM(K28,K32,K36)</f>
        <v>-3.8499999999999979</v>
      </c>
      <c r="L40" s="33">
        <f>SUM(L28,L32,L36)</f>
        <v>1.7234999999999996</v>
      </c>
      <c r="M40" s="33">
        <f t="shared" ref="M40:U40" si="64">SUM(M28,M32,M36)</f>
        <v>21.779699999999998</v>
      </c>
      <c r="N40" s="33">
        <f t="shared" si="64"/>
        <v>-6.8279999999999994</v>
      </c>
      <c r="O40" s="33">
        <f t="shared" si="64"/>
        <v>-4.5774999999999988</v>
      </c>
      <c r="P40" s="33">
        <f t="shared" si="64"/>
        <v>1.7363250000000008</v>
      </c>
      <c r="Q40" s="33">
        <f t="shared" si="64"/>
        <v>21.802215</v>
      </c>
      <c r="R40" s="33">
        <f t="shared" si="64"/>
        <v>-6.7823999999999991</v>
      </c>
      <c r="S40" s="33">
        <f t="shared" si="64"/>
        <v>-4.5098124999999989</v>
      </c>
      <c r="T40" s="33">
        <f t="shared" si="64"/>
        <v>1.7485087500000009</v>
      </c>
      <c r="U40" s="33">
        <f t="shared" si="64"/>
        <v>21.823604250000002</v>
      </c>
      <c r="Y40" s="3">
        <f>SUM(Y28,Y32,Y36)</f>
        <v>4.8160000000000007</v>
      </c>
      <c r="Z40" s="3">
        <f>SUM(Z28,Z32,Z36)</f>
        <v>47.314</v>
      </c>
      <c r="AA40" s="3">
        <f>SUM(J40:M40)</f>
        <v>15.803200000000002</v>
      </c>
      <c r="AB40" s="33">
        <f>SUM(N40:Q40)</f>
        <v>12.133040000000003</v>
      </c>
      <c r="AC40" s="33">
        <f>SUM(R40:U40)</f>
        <v>12.279900500000005</v>
      </c>
    </row>
    <row r="41" spans="1:29" s="40" customFormat="1">
      <c r="A41" s="40" t="s">
        <v>141</v>
      </c>
      <c r="B41" s="58"/>
      <c r="F41" s="42">
        <f>F40/B40-1</f>
        <v>-2.2885572139303481</v>
      </c>
      <c r="G41" s="42">
        <f t="shared" ref="G41" si="65">G40/C40-1</f>
        <v>0.64441147378832797</v>
      </c>
      <c r="H41" s="42">
        <f t="shared" ref="H41" si="66">H40/D40-1</f>
        <v>6.2120000000000033</v>
      </c>
      <c r="I41" s="42">
        <f t="shared" ref="I41" si="67">I40/E40-1</f>
        <v>6.6151832460733049</v>
      </c>
      <c r="J41" s="42">
        <f t="shared" ref="J41" si="68">J40/F40-1</f>
        <v>-1.743243243243243</v>
      </c>
      <c r="K41" s="74">
        <f t="shared" ref="K41" si="69">K40/G40-1</f>
        <v>-1.5789473684210522</v>
      </c>
      <c r="L41" s="42">
        <f t="shared" ref="L41" si="70">L40/H40-1</f>
        <v>-0.90440931780366063</v>
      </c>
      <c r="M41" s="42">
        <f t="shared" ref="M41" si="71">M40/I40-1</f>
        <v>0.24783430732210365</v>
      </c>
      <c r="N41" s="42">
        <f t="shared" ref="N41" si="72">N40/J40-1</f>
        <v>0.77350649350649436</v>
      </c>
      <c r="O41" s="42">
        <f t="shared" ref="O41" si="73">O40/K40-1</f>
        <v>0.18896103896103922</v>
      </c>
      <c r="P41" s="42">
        <f t="shared" ref="P41" si="74">P40/L40-1</f>
        <v>7.4412532637082585E-3</v>
      </c>
      <c r="Q41" s="42">
        <f t="shared" ref="Q41" si="75">Q40/M40-1</f>
        <v>1.0337607956032446E-3</v>
      </c>
      <c r="R41" s="42">
        <f t="shared" ref="R41" si="76">R40/N40-1</f>
        <v>-6.6783831282952733E-3</v>
      </c>
      <c r="S41" s="42">
        <f t="shared" ref="S41" si="77">S40/O40-1</f>
        <v>-1.4787001638448927E-2</v>
      </c>
      <c r="T41" s="42">
        <f t="shared" ref="T41" si="78">T40/P40-1</f>
        <v>7.0169755086173513E-3</v>
      </c>
      <c r="U41" s="42">
        <f t="shared" ref="U41" si="79">U40/Q40-1</f>
        <v>9.8105857592911683E-4</v>
      </c>
    </row>
    <row r="42" spans="1:29" s="40" customFormat="1">
      <c r="A42" s="40" t="s">
        <v>142</v>
      </c>
      <c r="B42" s="42">
        <f>B40/B$44</f>
        <v>-6.2822315986872948E-2</v>
      </c>
      <c r="C42" s="42">
        <f t="shared" ref="C42:J42" si="80">C40/C$44</f>
        <v>0.23316420664206644</v>
      </c>
      <c r="D42" s="42">
        <f t="shared" si="80"/>
        <v>3.8249694002447966E-2</v>
      </c>
      <c r="E42" s="42">
        <f t="shared" si="80"/>
        <v>2.6429279767533013E-2</v>
      </c>
      <c r="F42" s="42">
        <f t="shared" si="80"/>
        <v>4.26864441697569E-2</v>
      </c>
      <c r="G42" s="42">
        <f t="shared" si="80"/>
        <v>3.4287187419437995E-2</v>
      </c>
      <c r="H42" s="42">
        <f t="shared" si="80"/>
        <v>7.8923177938279715E-2</v>
      </c>
      <c r="I42" s="42">
        <f t="shared" si="80"/>
        <v>5.7256453406552325E-2</v>
      </c>
      <c r="J42" s="42">
        <f t="shared" si="80"/>
        <v>-1.2414148905297772E-2</v>
      </c>
      <c r="K42" s="74">
        <f t="shared" ref="K42:U42" si="81">K40/K$44</f>
        <v>-1.784833458812533E-2</v>
      </c>
      <c r="L42" s="42">
        <f t="shared" si="81"/>
        <v>8.5481531079120605E-3</v>
      </c>
      <c r="M42" s="42">
        <f t="shared" si="81"/>
        <v>7.0446917128637265E-2</v>
      </c>
      <c r="N42" s="42">
        <f t="shared" si="81"/>
        <v>-1.9625003772380994E-2</v>
      </c>
      <c r="O42" s="42">
        <f t="shared" si="81"/>
        <v>-1.7282878529020315E-2</v>
      </c>
      <c r="P42" s="42">
        <f t="shared" si="81"/>
        <v>6.7773379122543923E-3</v>
      </c>
      <c r="Q42" s="42">
        <f t="shared" si="81"/>
        <v>6.7683147706582333E-2</v>
      </c>
      <c r="R42" s="42">
        <f t="shared" si="81"/>
        <v>-1.8653558973446439E-2</v>
      </c>
      <c r="S42" s="42">
        <f t="shared" si="81"/>
        <v>-1.6257737673290328E-2</v>
      </c>
      <c r="T42" s="42">
        <f t="shared" si="81"/>
        <v>6.5235724693057532E-3</v>
      </c>
      <c r="U42" s="42">
        <f t="shared" si="81"/>
        <v>6.5004516162979573E-2</v>
      </c>
    </row>
    <row r="44" spans="1:29" s="31" customFormat="1">
      <c r="A44" s="29" t="s">
        <v>0</v>
      </c>
      <c r="B44" s="30">
        <f t="shared" ref="B44:U44" si="82">SUM(B22,B40)</f>
        <v>63.989999999999995</v>
      </c>
      <c r="C44" s="30">
        <f t="shared" si="82"/>
        <v>17.344000000000001</v>
      </c>
      <c r="D44" s="30">
        <f t="shared" si="82"/>
        <v>65.36</v>
      </c>
      <c r="E44" s="30">
        <f t="shared" si="82"/>
        <v>86.722000000000008</v>
      </c>
      <c r="F44" s="30">
        <f t="shared" si="82"/>
        <v>121.35</v>
      </c>
      <c r="G44" s="30">
        <f t="shared" si="82"/>
        <v>193.95000000000002</v>
      </c>
      <c r="H44" s="30">
        <f t="shared" si="82"/>
        <v>228.45</v>
      </c>
      <c r="I44" s="30">
        <f t="shared" si="82"/>
        <v>304.83899999999994</v>
      </c>
      <c r="J44" s="30">
        <f t="shared" si="82"/>
        <v>310.13</v>
      </c>
      <c r="K44" s="76">
        <f t="shared" si="82"/>
        <v>215.7064</v>
      </c>
      <c r="L44" s="30">
        <f t="shared" si="82"/>
        <v>201.6225</v>
      </c>
      <c r="M44" s="30">
        <f t="shared" si="82"/>
        <v>309.16469999999993</v>
      </c>
      <c r="N44" s="30">
        <f t="shared" si="82"/>
        <v>347.92350000000005</v>
      </c>
      <c r="O44" s="30">
        <f t="shared" si="82"/>
        <v>264.85750000000002</v>
      </c>
      <c r="P44" s="30">
        <f t="shared" si="82"/>
        <v>256.19572500000004</v>
      </c>
      <c r="Q44" s="30">
        <f t="shared" si="82"/>
        <v>322.12176499999993</v>
      </c>
      <c r="R44" s="30">
        <f t="shared" si="82"/>
        <v>363.59817500000003</v>
      </c>
      <c r="S44" s="30">
        <f t="shared" si="82"/>
        <v>277.39483750000005</v>
      </c>
      <c r="T44" s="30">
        <f t="shared" si="82"/>
        <v>268.02932874999999</v>
      </c>
      <c r="U44" s="30">
        <f t="shared" si="82"/>
        <v>335.72443174999995</v>
      </c>
      <c r="Y44" s="30">
        <f>SUM(B44:E44)</f>
        <v>233.41600000000003</v>
      </c>
      <c r="Z44" s="30">
        <f>SUM(F44:I44)</f>
        <v>848.58899999999994</v>
      </c>
      <c r="AA44" s="31">
        <f>SUM(J44:M44)</f>
        <v>1036.6235999999999</v>
      </c>
      <c r="AB44" s="30">
        <f>SUM(N44:Q44)</f>
        <v>1191.0984900000001</v>
      </c>
      <c r="AC44" s="30">
        <f>SUM(R44:U44)</f>
        <v>1244.7467730000001</v>
      </c>
    </row>
    <row r="45" spans="1:29">
      <c r="B45" s="33"/>
      <c r="F45" s="34"/>
      <c r="G45" s="34"/>
      <c r="H45" s="34"/>
      <c r="I45" s="34"/>
      <c r="J45" s="34"/>
    </row>
    <row r="46" spans="1:29">
      <c r="B46" s="34"/>
      <c r="C46" s="34"/>
      <c r="D46" s="34"/>
      <c r="E46" s="34"/>
      <c r="F46" s="34"/>
      <c r="G46" s="34"/>
      <c r="H46" s="34"/>
      <c r="I46" s="34"/>
      <c r="J46" s="34"/>
    </row>
    <row r="47" spans="1:29">
      <c r="A47" s="17" t="s">
        <v>162</v>
      </c>
      <c r="F47" s="34">
        <f>F44/B44-1</f>
        <v>0.896390060947023</v>
      </c>
      <c r="G47" s="34">
        <f t="shared" ref="G47:J47" si="83">G44/C44-1</f>
        <v>10.18254151291513</v>
      </c>
      <c r="H47" s="34">
        <f t="shared" si="83"/>
        <v>2.4952570379436962</v>
      </c>
      <c r="I47" s="34">
        <f t="shared" si="83"/>
        <v>2.5151288023800178</v>
      </c>
      <c r="J47" s="34">
        <f t="shared" si="83"/>
        <v>1.5556654305727236</v>
      </c>
      <c r="K47" s="80">
        <f t="shared" ref="K47" si="84">K44/G44-1</f>
        <v>0.11217530291312183</v>
      </c>
      <c r="L47" s="34">
        <f t="shared" ref="L47" si="85">L44/H44-1</f>
        <v>-0.11743269862114247</v>
      </c>
      <c r="M47" s="34">
        <f t="shared" ref="M47" si="86">M44/I44-1</f>
        <v>1.419011346973309E-2</v>
      </c>
      <c r="N47" s="34">
        <f t="shared" ref="N47" si="87">N44/J44-1</f>
        <v>0.12186341211749929</v>
      </c>
      <c r="O47" s="34">
        <f t="shared" ref="O47" si="88">O44/K44-1</f>
        <v>0.22786111121413177</v>
      </c>
      <c r="P47" s="34">
        <f t="shared" ref="P47" si="89">P44/L44-1</f>
        <v>0.27067031209314463</v>
      </c>
      <c r="Q47" s="34">
        <f t="shared" ref="Q47" si="90">Q44/M44-1</f>
        <v>4.1909910801589012E-2</v>
      </c>
      <c r="R47" s="34">
        <f t="shared" ref="R47" si="91">R44/N44-1</f>
        <v>4.5052073228741385E-2</v>
      </c>
      <c r="S47" s="34">
        <f t="shared" ref="S47" si="92">S44/O44-1</f>
        <v>4.7336161898379414E-2</v>
      </c>
      <c r="T47" s="34">
        <f t="shared" ref="T47" si="93">T44/P44-1</f>
        <v>4.6189700277004864E-2</v>
      </c>
      <c r="U47" s="34">
        <f t="shared" ref="U47" si="94">U44/Q44-1</f>
        <v>4.2228337939226313E-2</v>
      </c>
    </row>
    <row r="48" spans="1:29">
      <c r="A48" s="3" t="s">
        <v>163</v>
      </c>
      <c r="F48" s="34">
        <f>F14/B14-1</f>
        <v>0.77569317615806099</v>
      </c>
      <c r="G48" s="34">
        <f t="shared" ref="G48:J48" si="95">G14/C14-1</f>
        <v>21.218134034165573</v>
      </c>
      <c r="H48" s="34">
        <f t="shared" si="95"/>
        <v>2.4406901509705246</v>
      </c>
      <c r="I48" s="34">
        <f t="shared" si="95"/>
        <v>2.3693814553837726</v>
      </c>
      <c r="J48" s="34">
        <f t="shared" si="95"/>
        <v>1.5414679756895744</v>
      </c>
      <c r="K48" s="80">
        <f t="shared" ref="K48" si="96">K14/G14-1</f>
        <v>0.17999999999999994</v>
      </c>
      <c r="L48" s="34">
        <f t="shared" ref="L48" si="97">L14/H14-1</f>
        <v>-5.0000000000000044E-2</v>
      </c>
      <c r="M48" s="34">
        <f t="shared" ref="M48" si="98">M14/I14-1</f>
        <v>0</v>
      </c>
      <c r="N48" s="34">
        <f t="shared" ref="N48" si="99">N14/J14-1</f>
        <v>0.14999999999999991</v>
      </c>
      <c r="O48" s="34">
        <f t="shared" ref="O48" si="100">O14/K14-1</f>
        <v>0.25</v>
      </c>
      <c r="P48" s="34">
        <f t="shared" ref="P48" si="101">P14/L14-1</f>
        <v>0.30000000000000004</v>
      </c>
      <c r="Q48" s="34">
        <f t="shared" ref="Q48" si="102">Q14/M14-1</f>
        <v>5.0000000000000044E-2</v>
      </c>
      <c r="R48" s="34">
        <f t="shared" ref="R48" si="103">R14/N14-1</f>
        <v>5.0000000000000044E-2</v>
      </c>
      <c r="S48" s="34">
        <f t="shared" ref="S48" si="104">S14/O14-1</f>
        <v>5.0000000000000044E-2</v>
      </c>
      <c r="T48" s="34">
        <f t="shared" ref="T48" si="105">T14/P14-1</f>
        <v>5.0000000000000044E-2</v>
      </c>
      <c r="U48" s="34">
        <f t="shared" ref="U48" si="106">U14/Q14-1</f>
        <v>5.0000000000000044E-2</v>
      </c>
    </row>
    <row r="49" spans="1:21">
      <c r="A49" s="3" t="s">
        <v>168</v>
      </c>
      <c r="F49" s="34">
        <f>F18/B18-1</f>
        <v>0.18508997429305918</v>
      </c>
      <c r="G49" s="34">
        <f t="shared" ref="G49:J49" si="107">G18/C18-1</f>
        <v>2.2021089630931456</v>
      </c>
      <c r="H49" s="34">
        <f t="shared" si="107"/>
        <v>1.628808864265928</v>
      </c>
      <c r="I49" s="34">
        <f t="shared" si="107"/>
        <v>2.7493793283679611</v>
      </c>
      <c r="J49" s="34">
        <f t="shared" si="107"/>
        <v>3.5737527114967458</v>
      </c>
      <c r="K49" s="80">
        <f t="shared" ref="K49" si="108">K18/G18-1</f>
        <v>0.10000000000000009</v>
      </c>
      <c r="L49" s="34">
        <f t="shared" ref="L49" si="109">L18/H18-1</f>
        <v>-5.0000000000000044E-2</v>
      </c>
      <c r="M49" s="34">
        <f t="shared" ref="M49" si="110">M18/I18-1</f>
        <v>0</v>
      </c>
      <c r="N49" s="34">
        <f t="shared" ref="N49" si="111">N18/J18-1</f>
        <v>0</v>
      </c>
      <c r="O49" s="34">
        <f t="shared" ref="O49" si="112">O18/K18-1</f>
        <v>0</v>
      </c>
      <c r="P49" s="34">
        <f t="shared" ref="P49" si="113">P18/L18-1</f>
        <v>0</v>
      </c>
      <c r="Q49" s="34">
        <f t="shared" ref="Q49" si="114">Q18/M18-1</f>
        <v>0</v>
      </c>
      <c r="R49" s="34">
        <f t="shared" ref="R49" si="115">R18/N18-1</f>
        <v>0</v>
      </c>
      <c r="S49" s="34">
        <f t="shared" ref="S49" si="116">S18/O18-1</f>
        <v>0</v>
      </c>
      <c r="T49" s="34">
        <f t="shared" ref="T49" si="117">T18/P18-1</f>
        <v>0</v>
      </c>
      <c r="U49" s="34">
        <f t="shared" ref="U49" si="118">U18/Q18-1</f>
        <v>0</v>
      </c>
    </row>
    <row r="50" spans="1:21">
      <c r="A50" s="3" t="s">
        <v>169</v>
      </c>
      <c r="F50" s="34">
        <f>-(F40/B40-1)</f>
        <v>2.2885572139303481</v>
      </c>
      <c r="G50" s="34">
        <f t="shared" ref="G50:I50" si="119">G40/C40-1</f>
        <v>0.64441147378832797</v>
      </c>
      <c r="H50" s="34">
        <f t="shared" si="119"/>
        <v>6.2120000000000033</v>
      </c>
      <c r="I50" s="34">
        <f t="shared" si="119"/>
        <v>6.6151832460733049</v>
      </c>
      <c r="J50" s="34">
        <f>J40/F40-1</f>
        <v>-1.743243243243243</v>
      </c>
      <c r="K50" s="80">
        <f t="shared" ref="K50:U50" si="120">K40/G40-1</f>
        <v>-1.5789473684210522</v>
      </c>
      <c r="L50" s="34">
        <f t="shared" si="120"/>
        <v>-0.90440931780366063</v>
      </c>
      <c r="M50" s="34">
        <f t="shared" si="120"/>
        <v>0.24783430732210365</v>
      </c>
      <c r="N50" s="34">
        <f t="shared" si="120"/>
        <v>0.77350649350649436</v>
      </c>
      <c r="O50" s="34">
        <f t="shared" si="120"/>
        <v>0.18896103896103922</v>
      </c>
      <c r="P50" s="34">
        <f t="shared" si="120"/>
        <v>7.4412532637082585E-3</v>
      </c>
      <c r="Q50" s="34">
        <f t="shared" si="120"/>
        <v>1.0337607956032446E-3</v>
      </c>
      <c r="R50" s="34">
        <f t="shared" si="120"/>
        <v>-6.6783831282952733E-3</v>
      </c>
      <c r="S50" s="34">
        <f t="shared" si="120"/>
        <v>-1.4787001638448927E-2</v>
      </c>
      <c r="T50" s="34">
        <f t="shared" si="120"/>
        <v>7.0169755086173513E-3</v>
      </c>
      <c r="U50" s="34">
        <f t="shared" si="120"/>
        <v>9.8105857592911683E-4</v>
      </c>
    </row>
  </sheetData>
  <conditionalFormatting sqref="F31:X31 Z31:XFD31 F28:J28 F32:J32 A28:D28 A17:XFD17 A15:D15 F15:J15 A16:J16 A19:A20 V20:XFD20 A25:XFD27 A23:A24 V23:XFD24 A31:D32 A29:A30 A35:D36 A33:A34 F35:XFD35 A37:A38 A41:A42 V41:XFD42 A45:A46 K45:XFD46 A47:XFD1048576 A18:J18 F36:J36 L19:XFD19 K15:XFD16 V18:XFD18 A21:XFD22 A1:XFD14 V28:XFD30 V32:XFD34 V36:XFD38 A39:XFD40 A43:XFD44">
    <cfRule type="cellIs" dxfId="31" priority="15" operator="lessThan">
      <formula>0</formula>
    </cfRule>
  </conditionalFormatting>
  <conditionalFormatting sqref="E28">
    <cfRule type="cellIs" dxfId="30" priority="14" operator="lessThan">
      <formula>0</formula>
    </cfRule>
  </conditionalFormatting>
  <conditionalFormatting sqref="E32">
    <cfRule type="cellIs" dxfId="29" priority="13" operator="lessThan">
      <formula>0</formula>
    </cfRule>
  </conditionalFormatting>
  <conditionalFormatting sqref="E36">
    <cfRule type="cellIs" dxfId="28" priority="12" operator="lessThan">
      <formula>0</formula>
    </cfRule>
  </conditionalFormatting>
  <conditionalFormatting sqref="B19:D19 F19:J19 B20:U20">
    <cfRule type="cellIs" dxfId="27" priority="11" operator="lessThan">
      <formula>0</formula>
    </cfRule>
  </conditionalFormatting>
  <conditionalFormatting sqref="B23:D23 F23:U23 B24:U24">
    <cfRule type="cellIs" dxfId="26" priority="10" operator="lessThan">
      <formula>0</formula>
    </cfRule>
  </conditionalFormatting>
  <conditionalFormatting sqref="B29:D29 F29:J29 B30:U30">
    <cfRule type="cellIs" dxfId="25" priority="9" operator="lessThan">
      <formula>0</formula>
    </cfRule>
  </conditionalFormatting>
  <conditionalFormatting sqref="B33:D33 F33:J33 B34:U34">
    <cfRule type="cellIs" dxfId="24" priority="8" operator="lessThan">
      <formula>0</formula>
    </cfRule>
  </conditionalFormatting>
  <conditionalFormatting sqref="B37:D37 F37:J37 B38:U38">
    <cfRule type="cellIs" dxfId="23" priority="7" operator="lessThan">
      <formula>0</formula>
    </cfRule>
  </conditionalFormatting>
  <conditionalFormatting sqref="B41:D41 F41:U41 B42:U42">
    <cfRule type="cellIs" dxfId="22" priority="6" operator="lessThan">
      <formula>0</formula>
    </cfRule>
  </conditionalFormatting>
  <conditionalFormatting sqref="B45:D45 F45:J45 B46:J46">
    <cfRule type="cellIs" dxfId="21" priority="5" operator="lessThan">
      <formula>0</formula>
    </cfRule>
  </conditionalFormatting>
  <conditionalFormatting sqref="K18:K19 L18:U18">
    <cfRule type="cellIs" dxfId="20" priority="4" operator="lessThan">
      <formula>0</formula>
    </cfRule>
  </conditionalFormatting>
  <conditionalFormatting sqref="K28:U29">
    <cfRule type="cellIs" dxfId="19" priority="3" operator="lessThan">
      <formula>0</formula>
    </cfRule>
  </conditionalFormatting>
  <conditionalFormatting sqref="K32:U33">
    <cfRule type="cellIs" dxfId="18" priority="2" operator="lessThan">
      <formula>0</formula>
    </cfRule>
  </conditionalFormatting>
  <conditionalFormatting sqref="K36:U37">
    <cfRule type="cellIs" dxfId="17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E476-3775-874F-BFEF-AADF695B4A82}">
  <sheetPr>
    <tabColor rgb="FFBD352B"/>
  </sheetPr>
  <dimension ref="A1:AE101"/>
  <sheetViews>
    <sheetView workbookViewId="0">
      <pane xSplit="1" ySplit="7" topLeftCell="D12" activePane="bottomRight" state="frozen"/>
      <selection pane="topRight" activeCell="B1" sqref="B1"/>
      <selection pane="bottomLeft" activeCell="A8" sqref="A8"/>
      <selection pane="bottomRight" activeCell="J83" sqref="J83"/>
    </sheetView>
  </sheetViews>
  <sheetFormatPr baseColWidth="10" defaultRowHeight="16"/>
  <cols>
    <col min="1" max="1" width="49.1640625" style="3" bestFit="1" customWidth="1"/>
    <col min="2" max="2" width="8.33203125" style="3" hidden="1" customWidth="1"/>
    <col min="3" max="3" width="9.1640625" style="3" hidden="1" customWidth="1"/>
    <col min="4" max="6" width="8" style="3" bestFit="1" customWidth="1"/>
    <col min="7" max="7" width="9.1640625" style="3" bestFit="1" customWidth="1"/>
    <col min="8" max="8" width="8.33203125" style="3" bestFit="1" customWidth="1"/>
    <col min="9" max="10" width="8.83203125" style="3" bestFit="1" customWidth="1"/>
    <col min="11" max="11" width="9.1640625" style="3" bestFit="1" customWidth="1"/>
    <col min="12" max="12" width="8.83203125" style="3" bestFit="1" customWidth="1"/>
    <col min="13" max="13" width="8.1640625" style="13" bestFit="1" customWidth="1"/>
    <col min="14" max="14" width="8.1640625" style="3" bestFit="1" customWidth="1"/>
    <col min="15" max="15" width="9.1640625" style="3" bestFit="1" customWidth="1"/>
    <col min="16" max="18" width="8.1640625" style="3" bestFit="1" customWidth="1"/>
    <col min="19" max="19" width="9.1640625" style="3" bestFit="1" customWidth="1"/>
    <col min="20" max="22" width="8.1640625" style="3" bestFit="1" customWidth="1"/>
    <col min="23" max="23" width="9.1640625" style="3" bestFit="1" customWidth="1"/>
    <col min="24" max="26" width="10.83203125" style="3"/>
    <col min="27" max="28" width="8.1640625" style="3" bestFit="1" customWidth="1"/>
    <col min="29" max="31" width="8.6640625" style="3" bestFit="1" customWidth="1"/>
    <col min="32" max="16384" width="10.83203125" style="3"/>
  </cols>
  <sheetData>
    <row r="1" spans="1:31" ht="81" customHeight="1">
      <c r="A1" s="1"/>
    </row>
    <row r="2" spans="1:31" ht="26">
      <c r="A2" s="2" t="s">
        <v>134</v>
      </c>
    </row>
    <row r="3" spans="1:31">
      <c r="A3" s="3" t="s">
        <v>133</v>
      </c>
    </row>
    <row r="4" spans="1:31">
      <c r="A4" s="36"/>
    </row>
    <row r="6" spans="1:31" s="24" customFormat="1">
      <c r="A6" s="23"/>
      <c r="B6" s="23" t="s">
        <v>104</v>
      </c>
      <c r="C6" s="24" t="s">
        <v>105</v>
      </c>
      <c r="D6" s="24" t="s">
        <v>106</v>
      </c>
      <c r="E6" s="24" t="s">
        <v>107</v>
      </c>
      <c r="F6" s="24" t="s">
        <v>108</v>
      </c>
      <c r="G6" s="24" t="s">
        <v>109</v>
      </c>
      <c r="H6" s="24" t="s">
        <v>110</v>
      </c>
      <c r="I6" s="24" t="s">
        <v>111</v>
      </c>
      <c r="J6" s="24" t="s">
        <v>112</v>
      </c>
      <c r="K6" s="24" t="s">
        <v>113</v>
      </c>
      <c r="L6" s="24" t="s">
        <v>114</v>
      </c>
      <c r="M6" s="69" t="s">
        <v>115</v>
      </c>
      <c r="N6" s="24" t="s">
        <v>116</v>
      </c>
      <c r="O6" s="24" t="s">
        <v>117</v>
      </c>
      <c r="P6" s="24" t="s">
        <v>118</v>
      </c>
      <c r="Q6" s="24" t="s">
        <v>119</v>
      </c>
      <c r="R6" s="24" t="s">
        <v>120</v>
      </c>
      <c r="S6" s="24" t="s">
        <v>121</v>
      </c>
      <c r="T6" s="24" t="s">
        <v>122</v>
      </c>
      <c r="U6" s="24" t="s">
        <v>123</v>
      </c>
      <c r="V6" s="24" t="s">
        <v>124</v>
      </c>
      <c r="W6" s="25" t="s">
        <v>125</v>
      </c>
      <c r="AA6" s="23" t="s">
        <v>126</v>
      </c>
      <c r="AB6" s="24" t="s">
        <v>127</v>
      </c>
      <c r="AC6" s="24" t="s">
        <v>129</v>
      </c>
      <c r="AD6" s="24" t="s">
        <v>130</v>
      </c>
      <c r="AE6" s="25" t="s">
        <v>131</v>
      </c>
    </row>
    <row r="7" spans="1:31" s="27" customFormat="1">
      <c r="A7" s="54" t="s">
        <v>135</v>
      </c>
      <c r="B7" s="37">
        <v>43738</v>
      </c>
      <c r="C7" s="38">
        <v>43830</v>
      </c>
      <c r="D7" s="38">
        <v>43921</v>
      </c>
      <c r="E7" s="38">
        <v>44012</v>
      </c>
      <c r="F7" s="38">
        <v>44104</v>
      </c>
      <c r="G7" s="38">
        <v>44196</v>
      </c>
      <c r="H7" s="38">
        <v>44286</v>
      </c>
      <c r="I7" s="38">
        <v>44377</v>
      </c>
      <c r="J7" s="38">
        <v>44469</v>
      </c>
      <c r="K7" s="38">
        <v>44561</v>
      </c>
      <c r="L7" s="38">
        <v>44651</v>
      </c>
      <c r="M7" s="70">
        <f>I7+365</f>
        <v>44742</v>
      </c>
      <c r="N7" s="38">
        <f t="shared" ref="N7:S7" si="0">J7+365</f>
        <v>44834</v>
      </c>
      <c r="O7" s="38">
        <f t="shared" si="0"/>
        <v>44926</v>
      </c>
      <c r="P7" s="38">
        <f t="shared" si="0"/>
        <v>45016</v>
      </c>
      <c r="Q7" s="38">
        <f t="shared" si="0"/>
        <v>45107</v>
      </c>
      <c r="R7" s="38">
        <f t="shared" si="0"/>
        <v>45199</v>
      </c>
      <c r="S7" s="38">
        <f t="shared" si="0"/>
        <v>45291</v>
      </c>
      <c r="T7" s="38">
        <f>P7+366</f>
        <v>45382</v>
      </c>
      <c r="U7" s="38">
        <f t="shared" ref="U7:W7" si="1">Q7+366</f>
        <v>45473</v>
      </c>
      <c r="V7" s="38">
        <f t="shared" si="1"/>
        <v>45565</v>
      </c>
      <c r="W7" s="39">
        <f t="shared" si="1"/>
        <v>45657</v>
      </c>
      <c r="AA7" s="26" t="s">
        <v>128</v>
      </c>
      <c r="AB7" s="27" t="s">
        <v>128</v>
      </c>
      <c r="AC7" s="27" t="s">
        <v>128</v>
      </c>
      <c r="AD7" s="27" t="s">
        <v>132</v>
      </c>
      <c r="AE7" s="28" t="s">
        <v>128</v>
      </c>
    </row>
    <row r="9" spans="1:31">
      <c r="A9" s="3" t="s">
        <v>137</v>
      </c>
      <c r="B9" s="3">
        <v>47.9</v>
      </c>
      <c r="C9" s="3">
        <v>61.15</v>
      </c>
      <c r="D9" s="33">
        <f>'Revenue Build'!B22</f>
        <v>68.009999999999991</v>
      </c>
      <c r="E9" s="33">
        <f>'Revenue Build'!C22</f>
        <v>13.3</v>
      </c>
      <c r="F9" s="33">
        <f>'Revenue Build'!D22</f>
        <v>62.86</v>
      </c>
      <c r="G9" s="33">
        <f>'Revenue Build'!E22</f>
        <v>84.43</v>
      </c>
      <c r="H9" s="33">
        <f>'Revenue Build'!F22</f>
        <v>116.17</v>
      </c>
      <c r="I9" s="33">
        <f>'Revenue Build'!G22</f>
        <v>187.3</v>
      </c>
      <c r="J9" s="33">
        <f>'Revenue Build'!H22</f>
        <v>210.42</v>
      </c>
      <c r="K9" s="33">
        <f>'Revenue Build'!I22</f>
        <v>287.38499999999993</v>
      </c>
      <c r="L9" s="33">
        <f>'Revenue Build'!J22</f>
        <v>313.98</v>
      </c>
      <c r="M9" s="71">
        <f>'Revenue Build'!K22</f>
        <v>219.5564</v>
      </c>
      <c r="N9" s="33">
        <f>'Revenue Build'!L22</f>
        <v>199.899</v>
      </c>
      <c r="O9" s="33">
        <f>'Revenue Build'!M22</f>
        <v>287.38499999999993</v>
      </c>
      <c r="P9" s="33">
        <f>'Revenue Build'!N22</f>
        <v>354.75150000000002</v>
      </c>
      <c r="Q9" s="33">
        <f>'Revenue Build'!O22</f>
        <v>269.435</v>
      </c>
      <c r="R9" s="33">
        <f>'Revenue Build'!P22</f>
        <v>254.45940000000002</v>
      </c>
      <c r="S9" s="33">
        <f>'Revenue Build'!Q22</f>
        <v>300.31954999999994</v>
      </c>
      <c r="T9" s="33">
        <f>'Revenue Build'!R22</f>
        <v>370.38057500000002</v>
      </c>
      <c r="U9" s="33">
        <f>'Revenue Build'!S22</f>
        <v>281.90465000000006</v>
      </c>
      <c r="V9" s="33">
        <f>'Revenue Build'!T22</f>
        <v>266.28082000000001</v>
      </c>
      <c r="W9" s="33">
        <f>'Revenue Build'!U22</f>
        <v>313.90082749999993</v>
      </c>
      <c r="AA9" s="33">
        <f>SUM(D9:G9)</f>
        <v>228.6</v>
      </c>
      <c r="AB9" s="33">
        <f>SUM(H9:K9)</f>
        <v>801.27499999999986</v>
      </c>
      <c r="AC9" s="33">
        <f>SUM(L9:O9)</f>
        <v>1020.8203999999998</v>
      </c>
      <c r="AD9" s="33">
        <f>SUM(P9:S9)</f>
        <v>1178.9654499999999</v>
      </c>
      <c r="AE9" s="33">
        <f>SUM(T9:W9)</f>
        <v>1232.4668724999999</v>
      </c>
    </row>
    <row r="10" spans="1:31">
      <c r="A10" s="3" t="s">
        <v>145</v>
      </c>
      <c r="B10" s="3">
        <v>1.59</v>
      </c>
      <c r="C10" s="3">
        <v>1.42</v>
      </c>
      <c r="D10" s="33">
        <f>SUM('Revenue Build'!B28,'Revenue Build'!B32)</f>
        <v>5.93</v>
      </c>
      <c r="E10" s="33">
        <f>SUM('Revenue Build'!C28,'Revenue Build'!C32)</f>
        <v>5.4640000000000004</v>
      </c>
      <c r="F10" s="33">
        <f>SUM('Revenue Build'!D28,'Revenue Build'!D32)</f>
        <v>4.3599999999999994</v>
      </c>
      <c r="G10" s="33">
        <f>SUM('Revenue Build'!E28,'Revenue Build'!E32)</f>
        <v>2.6280000000000001</v>
      </c>
      <c r="H10" s="33">
        <f>SUM('Revenue Build'!F28,'Revenue Build'!F32)</f>
        <v>2.38</v>
      </c>
      <c r="I10" s="33">
        <f>SUM('Revenue Build'!G28,'Revenue Build'!G32)</f>
        <v>2.0499999999999998</v>
      </c>
      <c r="J10" s="33">
        <f>SUM('Revenue Build'!H28,'Revenue Build'!H32)</f>
        <v>4.8000000000000007</v>
      </c>
      <c r="K10" s="33">
        <f>SUM('Revenue Build'!I28,'Revenue Build'!I32)</f>
        <v>8.129999999999999</v>
      </c>
      <c r="L10" s="33">
        <f>SUM('Revenue Build'!J28,'Revenue Build'!J32)</f>
        <v>14.170000000000002</v>
      </c>
      <c r="M10" s="71">
        <f>SUM('Revenue Build'!K32,'Revenue Build'!K36)</f>
        <v>-19.824999999999999</v>
      </c>
      <c r="N10" s="33">
        <f>SUM('Revenue Build'!L32,'Revenue Build'!L36)</f>
        <v>-13.486500000000001</v>
      </c>
      <c r="O10" s="33">
        <f>SUM('Revenue Build'!M32,'Revenue Build'!M36)</f>
        <v>8.8737000000000013</v>
      </c>
      <c r="P10" s="33">
        <f>SUM('Revenue Build'!N32,'Revenue Build'!N36)</f>
        <v>-18.931999999999999</v>
      </c>
      <c r="Q10" s="33">
        <f>SUM('Revenue Build'!O32,'Revenue Build'!O36)</f>
        <v>-19.753749999999997</v>
      </c>
      <c r="R10" s="33">
        <f>SUM('Revenue Build'!P32,'Revenue Build'!P36)</f>
        <v>-13.473675</v>
      </c>
      <c r="S10" s="33">
        <f>SUM('Revenue Build'!Q32,'Revenue Build'!Q36)</f>
        <v>8.8962150000000015</v>
      </c>
      <c r="T10" s="33">
        <f>SUM('Revenue Build'!R32,'Revenue Build'!R36)</f>
        <v>-18.886399999999998</v>
      </c>
      <c r="U10" s="33">
        <f>SUM('Revenue Build'!S32,'Revenue Build'!S36)</f>
        <v>-19.686062499999998</v>
      </c>
      <c r="V10" s="33">
        <f>SUM('Revenue Build'!T32,'Revenue Build'!T36)</f>
        <v>-13.46149125</v>
      </c>
      <c r="W10" s="33">
        <f>SUM('Revenue Build'!U32,'Revenue Build'!U36)</f>
        <v>8.9176042500000019</v>
      </c>
      <c r="AA10" s="33">
        <f>SUM(D10:G10)</f>
        <v>18.381999999999998</v>
      </c>
      <c r="AB10" s="33">
        <f>SUM(H10:K10)</f>
        <v>17.36</v>
      </c>
      <c r="AC10" s="33">
        <f>SUM(L10:O10)</f>
        <v>-10.267799999999999</v>
      </c>
      <c r="AD10" s="33">
        <f>SUM(P10:S10)</f>
        <v>-43.263210000000001</v>
      </c>
      <c r="AE10" s="33">
        <f>SUM(T10:W10)</f>
        <v>-43.116349499999998</v>
      </c>
    </row>
    <row r="11" spans="1:31">
      <c r="A11" s="3" t="s">
        <v>144</v>
      </c>
      <c r="C11" s="3">
        <v>5.78</v>
      </c>
      <c r="D11" s="3">
        <f>'Revenue Build'!B36</f>
        <v>-9.9499999999999993</v>
      </c>
      <c r="E11" s="3">
        <f>'Revenue Build'!C36</f>
        <v>-1.42</v>
      </c>
      <c r="F11" s="3">
        <f>'Revenue Build'!D36</f>
        <v>-1.86</v>
      </c>
      <c r="G11" s="33">
        <f>'Revenue Build'!E36</f>
        <v>-0.33600000000000207</v>
      </c>
      <c r="H11" s="33">
        <f>'Revenue Build'!F36</f>
        <v>2.8</v>
      </c>
      <c r="I11" s="33">
        <f>'Revenue Build'!G36</f>
        <v>4.5999999999999996</v>
      </c>
      <c r="J11" s="33">
        <f>'Revenue Build'!H36</f>
        <v>13.23</v>
      </c>
      <c r="K11" s="33">
        <f>'Revenue Build'!I36</f>
        <v>9.3240000000000016</v>
      </c>
      <c r="L11" s="33">
        <f>'Revenue Build'!J36</f>
        <v>-18.02</v>
      </c>
      <c r="M11" s="71">
        <f>'Revenue Build'!K36</f>
        <v>-18.399999999999999</v>
      </c>
      <c r="N11" s="33">
        <f>'Revenue Build'!L36</f>
        <v>-13.23</v>
      </c>
      <c r="O11" s="33">
        <f>'Revenue Build'!M36</f>
        <v>9.3240000000000016</v>
      </c>
      <c r="P11" s="33">
        <f>'Revenue Build'!N36</f>
        <v>-18.02</v>
      </c>
      <c r="Q11" s="33">
        <f>'Revenue Build'!O36</f>
        <v>-18.399999999999999</v>
      </c>
      <c r="R11" s="33">
        <f>'Revenue Build'!P36</f>
        <v>-13.23</v>
      </c>
      <c r="S11" s="33">
        <f>'Revenue Build'!Q36</f>
        <v>9.3240000000000016</v>
      </c>
      <c r="T11" s="33">
        <f>'Revenue Build'!R36</f>
        <v>-18.02</v>
      </c>
      <c r="U11" s="33">
        <f>'Revenue Build'!S36</f>
        <v>-18.399999999999999</v>
      </c>
      <c r="V11" s="33">
        <f>'Revenue Build'!T36</f>
        <v>-13.23</v>
      </c>
      <c r="W11" s="33">
        <f>'Revenue Build'!U36</f>
        <v>9.3240000000000016</v>
      </c>
      <c r="AA11" s="33">
        <f>SUM(D11:G11)</f>
        <v>-13.566000000000001</v>
      </c>
      <c r="AB11" s="33">
        <f>SUM(H11:K11)</f>
        <v>29.954000000000001</v>
      </c>
      <c r="AC11" s="33">
        <f>SUM(L11:O11)</f>
        <v>-40.326000000000008</v>
      </c>
      <c r="AD11" s="33">
        <f>SUM(P11:S11)</f>
        <v>-40.326000000000008</v>
      </c>
      <c r="AE11" s="33">
        <f>SUM(T11:W11)</f>
        <v>-40.326000000000008</v>
      </c>
    </row>
    <row r="13" spans="1:31" s="47" customFormat="1">
      <c r="A13" s="46" t="s">
        <v>0</v>
      </c>
      <c r="B13" s="47">
        <f t="shared" ref="B13:K13" si="2">SUM(B9,B10,B11)</f>
        <v>49.49</v>
      </c>
      <c r="C13" s="47">
        <f t="shared" si="2"/>
        <v>68.349999999999994</v>
      </c>
      <c r="D13" s="48">
        <f t="shared" si="2"/>
        <v>63.989999999999995</v>
      </c>
      <c r="E13" s="48">
        <f t="shared" si="2"/>
        <v>17.344000000000001</v>
      </c>
      <c r="F13" s="48">
        <f t="shared" si="2"/>
        <v>65.36</v>
      </c>
      <c r="G13" s="48">
        <f t="shared" si="2"/>
        <v>86.722000000000008</v>
      </c>
      <c r="H13" s="48">
        <f t="shared" si="2"/>
        <v>121.35</v>
      </c>
      <c r="I13" s="48">
        <f t="shared" si="2"/>
        <v>193.95000000000002</v>
      </c>
      <c r="J13" s="48">
        <f t="shared" si="2"/>
        <v>228.45</v>
      </c>
      <c r="K13" s="48">
        <f t="shared" si="2"/>
        <v>304.83899999999994</v>
      </c>
      <c r="L13" s="48">
        <f>SUM(L9,L10,L11)</f>
        <v>310.13000000000005</v>
      </c>
      <c r="M13" s="72">
        <f t="shared" ref="M13:W13" si="3">SUM(M9,M10,M11)</f>
        <v>181.3314</v>
      </c>
      <c r="N13" s="48">
        <f t="shared" si="3"/>
        <v>173.1825</v>
      </c>
      <c r="O13" s="48">
        <f t="shared" si="3"/>
        <v>305.58269999999993</v>
      </c>
      <c r="P13" s="48">
        <f t="shared" si="3"/>
        <v>317.79950000000002</v>
      </c>
      <c r="Q13" s="48">
        <f t="shared" si="3"/>
        <v>231.28125</v>
      </c>
      <c r="R13" s="48">
        <f t="shared" si="3"/>
        <v>227.75572500000001</v>
      </c>
      <c r="S13" s="48">
        <f t="shared" si="3"/>
        <v>318.53976499999993</v>
      </c>
      <c r="T13" s="48">
        <f t="shared" si="3"/>
        <v>333.47417500000006</v>
      </c>
      <c r="U13" s="48">
        <f t="shared" si="3"/>
        <v>243.81858750000006</v>
      </c>
      <c r="V13" s="48">
        <f t="shared" si="3"/>
        <v>239.58932875000002</v>
      </c>
      <c r="W13" s="48">
        <f t="shared" si="3"/>
        <v>332.14243174999996</v>
      </c>
      <c r="AA13" s="48">
        <f>SUM(D13:G13)</f>
        <v>233.41600000000003</v>
      </c>
      <c r="AB13" s="48">
        <f>SUM(H13:K13)</f>
        <v>848.58899999999994</v>
      </c>
      <c r="AC13" s="48">
        <f>SUM(L13:O13)</f>
        <v>970.22659999999996</v>
      </c>
      <c r="AD13" s="48">
        <f>SUM(P13:S13)</f>
        <v>1095.3762400000001</v>
      </c>
      <c r="AE13" s="48">
        <f>SUM(T13:W13)</f>
        <v>1149.024523</v>
      </c>
    </row>
    <row r="14" spans="1:31" s="40" customFormat="1">
      <c r="A14" s="40" t="s">
        <v>1</v>
      </c>
      <c r="F14" s="41">
        <f>F13/B13-1</f>
        <v>0.32067084259446355</v>
      </c>
      <c r="G14" s="41">
        <f t="shared" ref="G14:L14" si="4">G13/C13-1</f>
        <v>0.26879297732260454</v>
      </c>
      <c r="H14" s="41">
        <f t="shared" si="4"/>
        <v>0.896390060947023</v>
      </c>
      <c r="I14" s="41">
        <f t="shared" si="4"/>
        <v>10.18254151291513</v>
      </c>
      <c r="J14" s="41">
        <f t="shared" si="4"/>
        <v>2.4952570379436962</v>
      </c>
      <c r="K14" s="41">
        <f t="shared" si="4"/>
        <v>2.5151288023800178</v>
      </c>
      <c r="L14" s="41">
        <f t="shared" si="4"/>
        <v>1.555665430572724</v>
      </c>
      <c r="M14" s="73">
        <f t="shared" ref="M14" si="5">M13/I13-1</f>
        <v>-6.5061098221191105E-2</v>
      </c>
      <c r="N14" s="41">
        <f t="shared" ref="N14" si="6">N13/J13-1</f>
        <v>-0.24192383453709776</v>
      </c>
      <c r="O14" s="41">
        <f t="shared" ref="O14" si="7">O13/K13-1</f>
        <v>2.4396484701760812E-3</v>
      </c>
      <c r="P14" s="41">
        <f t="shared" ref="P14" si="8">P13/L13-1</f>
        <v>2.4729951955631435E-2</v>
      </c>
      <c r="Q14" s="41">
        <f t="shared" ref="Q14" si="9">Q13/M13-1</f>
        <v>0.27546166852514231</v>
      </c>
      <c r="R14" s="41">
        <f t="shared" ref="R14" si="10">R13/N13-1</f>
        <v>0.31511974362305661</v>
      </c>
      <c r="S14" s="41">
        <f t="shared" ref="S14" si="11">S13/O13-1</f>
        <v>4.240117323395598E-2</v>
      </c>
      <c r="T14" s="41">
        <f t="shared" ref="T14" si="12">T13/P13-1</f>
        <v>4.9322528827137946E-2</v>
      </c>
      <c r="U14" s="41">
        <f t="shared" ref="U14" si="13">U13/Q13-1</f>
        <v>5.4208188082691899E-2</v>
      </c>
      <c r="V14" s="41">
        <f t="shared" ref="V14" si="14">V13/R13-1</f>
        <v>5.1957437074304114E-2</v>
      </c>
      <c r="W14" s="41">
        <f t="shared" ref="W14" si="15">W13/S13-1</f>
        <v>4.2703198296137446E-2</v>
      </c>
      <c r="AB14" s="42">
        <f>AB13/AA13-1</f>
        <v>2.6355219864962121</v>
      </c>
      <c r="AC14" s="42">
        <f t="shared" ref="AC14:AE14" si="16">AC13/AB13-1</f>
        <v>0.14334100489164969</v>
      </c>
      <c r="AD14" s="42">
        <f t="shared" si="16"/>
        <v>0.12899011426815155</v>
      </c>
      <c r="AE14" s="42">
        <f t="shared" si="16"/>
        <v>4.8977037332852857E-2</v>
      </c>
    </row>
    <row r="15" spans="1:31" s="40" customFormat="1">
      <c r="A15" s="40" t="s">
        <v>146</v>
      </c>
      <c r="C15" s="42">
        <f>C13/B13-1</f>
        <v>0.38108708830066673</v>
      </c>
      <c r="D15" s="42">
        <f t="shared" ref="D15:L15" si="17">D13/C13-1</f>
        <v>-6.3789319678127288E-2</v>
      </c>
      <c r="E15" s="42">
        <f t="shared" si="17"/>
        <v>-0.728957649632755</v>
      </c>
      <c r="F15" s="42">
        <f t="shared" si="17"/>
        <v>2.7684501845018445</v>
      </c>
      <c r="G15" s="42">
        <f t="shared" si="17"/>
        <v>0.32683598531211766</v>
      </c>
      <c r="H15" s="42">
        <f t="shared" si="17"/>
        <v>0.39929890915799882</v>
      </c>
      <c r="I15" s="42">
        <f t="shared" si="17"/>
        <v>0.5982694684796046</v>
      </c>
      <c r="J15" s="42">
        <f t="shared" si="17"/>
        <v>0.17788089713843758</v>
      </c>
      <c r="K15" s="42">
        <f t="shared" si="17"/>
        <v>0.33437951411687439</v>
      </c>
      <c r="L15" s="42">
        <f t="shared" si="17"/>
        <v>1.7356703046526478E-2</v>
      </c>
      <c r="M15" s="74">
        <f t="shared" ref="M15" si="18">M13/L13-1</f>
        <v>-0.41530519459581472</v>
      </c>
      <c r="N15" s="42">
        <f t="shared" ref="N15" si="19">N13/M13-1</f>
        <v>-4.4939265896584923E-2</v>
      </c>
      <c r="O15" s="42">
        <f t="shared" ref="O15" si="20">O13/N13-1</f>
        <v>0.76451258065913086</v>
      </c>
      <c r="P15" s="42">
        <f t="shared" ref="P15" si="21">P13/O13-1</f>
        <v>3.9978702982858882E-2</v>
      </c>
      <c r="Q15" s="42">
        <f t="shared" ref="Q15" si="22">Q13/P13-1</f>
        <v>-0.27224161774955602</v>
      </c>
      <c r="R15" s="42">
        <f t="shared" ref="R15" si="23">R13/Q13-1</f>
        <v>-1.5243453587353017E-2</v>
      </c>
      <c r="S15" s="42">
        <f t="shared" ref="S15" si="24">S13/R13-1</f>
        <v>0.39860266959260815</v>
      </c>
      <c r="T15" s="42">
        <f t="shared" ref="T15" si="25">T13/S13-1</f>
        <v>4.6883973810931012E-2</v>
      </c>
      <c r="U15" s="42">
        <f t="shared" ref="U15" si="26">U13/T13-1</f>
        <v>-0.26885316531632464</v>
      </c>
      <c r="V15" s="42">
        <f t="shared" ref="V15" si="27">V13/U13-1</f>
        <v>-1.7345924251981115E-2</v>
      </c>
      <c r="W15" s="42">
        <f t="shared" ref="W15" si="28">W13/V13-1</f>
        <v>0.38629893694712369</v>
      </c>
    </row>
    <row r="16" spans="1:31">
      <c r="A16" s="40"/>
      <c r="B16" s="40"/>
      <c r="C16" s="42"/>
      <c r="D16" s="42"/>
      <c r="E16" s="42"/>
      <c r="F16" s="42"/>
      <c r="G16" s="42"/>
      <c r="H16" s="42"/>
      <c r="I16" s="42"/>
      <c r="J16" s="42"/>
      <c r="K16" s="42"/>
      <c r="L16" s="42"/>
    </row>
    <row r="17" spans="1:31">
      <c r="A17" s="43" t="s">
        <v>147</v>
      </c>
      <c r="B17" s="40"/>
      <c r="C17" s="40"/>
      <c r="D17" s="40"/>
      <c r="E17" s="40"/>
      <c r="F17" s="44"/>
      <c r="G17" s="44"/>
      <c r="H17" s="44"/>
      <c r="I17" s="44"/>
      <c r="J17" s="44"/>
      <c r="K17" s="44"/>
      <c r="L17" s="44"/>
    </row>
    <row r="18" spans="1:31">
      <c r="A18" s="3" t="s">
        <v>152</v>
      </c>
      <c r="B18" s="3">
        <v>-6.69</v>
      </c>
      <c r="C18" s="3">
        <v>-8.35</v>
      </c>
      <c r="D18" s="3">
        <v>-8.81</v>
      </c>
      <c r="E18" s="3">
        <v>-6.62</v>
      </c>
      <c r="F18" s="3">
        <v>-9.36</v>
      </c>
      <c r="G18" s="3">
        <v>-12.79</v>
      </c>
      <c r="H18" s="3">
        <v>-17.39</v>
      </c>
      <c r="I18" s="3">
        <v>-24.16</v>
      </c>
      <c r="J18" s="3">
        <v>-34.979999999999997</v>
      </c>
      <c r="K18" s="3">
        <v>-41.05</v>
      </c>
      <c r="L18" s="3">
        <v>-48.41</v>
      </c>
      <c r="M18" s="71">
        <f>-M19*M$13</f>
        <v>-32.639651999999998</v>
      </c>
      <c r="N18" s="33">
        <f t="shared" ref="N18:W18" si="29">-N19*N$13</f>
        <v>-31.17285</v>
      </c>
      <c r="O18" s="33">
        <f t="shared" si="29"/>
        <v>-55.004885999999985</v>
      </c>
      <c r="P18" s="33">
        <f t="shared" si="29"/>
        <v>-57.20391</v>
      </c>
      <c r="Q18" s="33">
        <f t="shared" si="29"/>
        <v>-41.630625000000002</v>
      </c>
      <c r="R18" s="33">
        <f t="shared" si="29"/>
        <v>-40.996030500000003</v>
      </c>
      <c r="S18" s="33">
        <f t="shared" si="29"/>
        <v>-57.337157699999985</v>
      </c>
      <c r="T18" s="33">
        <f t="shared" si="29"/>
        <v>-60.025351500000006</v>
      </c>
      <c r="U18" s="33">
        <f t="shared" si="29"/>
        <v>-43.887345750000009</v>
      </c>
      <c r="V18" s="33">
        <f t="shared" si="29"/>
        <v>-43.126079175000001</v>
      </c>
      <c r="W18" s="33">
        <f t="shared" si="29"/>
        <v>-59.785637714999993</v>
      </c>
      <c r="AA18" s="33">
        <f>SUM(D18:G18)</f>
        <v>-37.58</v>
      </c>
      <c r="AB18" s="33">
        <f>SUM(H18:K18)</f>
        <v>-117.58</v>
      </c>
      <c r="AC18" s="33">
        <f>SUM(L18:O18)</f>
        <v>-167.22738799999996</v>
      </c>
      <c r="AD18" s="33">
        <f>SUM(P18:S18)</f>
        <v>-197.16772319999998</v>
      </c>
      <c r="AE18" s="33">
        <f>SUM(T18:W18)</f>
        <v>-206.82441413999999</v>
      </c>
    </row>
    <row r="19" spans="1:31" s="40" customFormat="1">
      <c r="A19" s="40" t="s">
        <v>142</v>
      </c>
      <c r="B19" s="42">
        <f t="shared" ref="B19:L19" si="30">-B18/B13</f>
        <v>0.13517882400484946</v>
      </c>
      <c r="C19" s="42">
        <f t="shared" si="30"/>
        <v>0.12216532553035846</v>
      </c>
      <c r="D19" s="42">
        <f t="shared" si="30"/>
        <v>0.137677762150336</v>
      </c>
      <c r="E19" s="42">
        <f t="shared" si="30"/>
        <v>0.38168819188191883</v>
      </c>
      <c r="F19" s="42">
        <f t="shared" si="30"/>
        <v>0.14320685434516522</v>
      </c>
      <c r="G19" s="42">
        <f t="shared" si="30"/>
        <v>0.14748276100643434</v>
      </c>
      <c r="H19" s="42">
        <f t="shared" si="30"/>
        <v>0.14330449114132676</v>
      </c>
      <c r="I19" s="42">
        <f t="shared" si="30"/>
        <v>0.12456818767723639</v>
      </c>
      <c r="J19" s="42">
        <f t="shared" si="30"/>
        <v>0.15311884438608009</v>
      </c>
      <c r="K19" s="42">
        <f t="shared" si="30"/>
        <v>0.13466124741256863</v>
      </c>
      <c r="L19" s="42">
        <f t="shared" si="30"/>
        <v>0.15609583078064035</v>
      </c>
      <c r="M19" s="73">
        <v>0.18</v>
      </c>
      <c r="N19" s="41">
        <v>0.18</v>
      </c>
      <c r="O19" s="41">
        <v>0.18</v>
      </c>
      <c r="P19" s="41">
        <v>0.18</v>
      </c>
      <c r="Q19" s="41">
        <v>0.18</v>
      </c>
      <c r="R19" s="41">
        <v>0.18</v>
      </c>
      <c r="S19" s="41">
        <v>0.18</v>
      </c>
      <c r="T19" s="41">
        <v>0.18</v>
      </c>
      <c r="U19" s="41">
        <v>0.18</v>
      </c>
      <c r="V19" s="41">
        <v>0.18</v>
      </c>
      <c r="W19" s="41">
        <v>0.18</v>
      </c>
    </row>
    <row r="22" spans="1:31" s="47" customFormat="1">
      <c r="A22" s="46" t="s">
        <v>2</v>
      </c>
      <c r="B22" s="47">
        <v>42.8</v>
      </c>
      <c r="C22" s="47">
        <v>58.58</v>
      </c>
      <c r="D22" s="48">
        <f t="shared" ref="D22:L22" si="31">D13+D18</f>
        <v>55.179999999999993</v>
      </c>
      <c r="E22" s="48">
        <f t="shared" si="31"/>
        <v>10.724</v>
      </c>
      <c r="F22" s="48">
        <f t="shared" si="31"/>
        <v>56</v>
      </c>
      <c r="G22" s="48">
        <f t="shared" si="31"/>
        <v>73.932000000000016</v>
      </c>
      <c r="H22" s="48">
        <f t="shared" si="31"/>
        <v>103.96</v>
      </c>
      <c r="I22" s="48">
        <f t="shared" si="31"/>
        <v>169.79000000000002</v>
      </c>
      <c r="J22" s="48">
        <f t="shared" si="31"/>
        <v>193.47</v>
      </c>
      <c r="K22" s="48">
        <f t="shared" si="31"/>
        <v>263.78899999999993</v>
      </c>
      <c r="L22" s="48">
        <f t="shared" si="31"/>
        <v>261.72000000000003</v>
      </c>
      <c r="M22" s="72">
        <f t="shared" ref="M22:W22" si="32">M13+M18</f>
        <v>148.69174800000002</v>
      </c>
      <c r="N22" s="48">
        <f t="shared" si="32"/>
        <v>142.00964999999999</v>
      </c>
      <c r="O22" s="48">
        <f t="shared" si="32"/>
        <v>250.57781399999993</v>
      </c>
      <c r="P22" s="48">
        <f t="shared" si="32"/>
        <v>260.59559000000002</v>
      </c>
      <c r="Q22" s="48">
        <f t="shared" si="32"/>
        <v>189.65062499999999</v>
      </c>
      <c r="R22" s="48">
        <f t="shared" si="32"/>
        <v>186.75969450000002</v>
      </c>
      <c r="S22" s="48">
        <f t="shared" si="32"/>
        <v>261.20260729999995</v>
      </c>
      <c r="T22" s="48">
        <f t="shared" si="32"/>
        <v>273.44882350000006</v>
      </c>
      <c r="U22" s="48">
        <f t="shared" si="32"/>
        <v>199.93124175000005</v>
      </c>
      <c r="V22" s="48">
        <f t="shared" si="32"/>
        <v>196.46324957500002</v>
      </c>
      <c r="W22" s="48">
        <f t="shared" si="32"/>
        <v>272.35679403499995</v>
      </c>
      <c r="AA22" s="48">
        <f>SUM(D22:G22)</f>
        <v>195.83600000000001</v>
      </c>
      <c r="AB22" s="48">
        <f>SUM(H22:K22)</f>
        <v>731.00900000000001</v>
      </c>
      <c r="AC22" s="48">
        <f>SUM(L22:O22)</f>
        <v>802.99921199999994</v>
      </c>
      <c r="AD22" s="48">
        <f>SUM(P22:S22)</f>
        <v>898.20851679999998</v>
      </c>
      <c r="AE22" s="48">
        <f>SUM(T22:W22)</f>
        <v>942.20010886</v>
      </c>
    </row>
    <row r="23" spans="1:31">
      <c r="A23" s="40" t="s">
        <v>1</v>
      </c>
      <c r="B23" s="40"/>
      <c r="C23" s="40"/>
      <c r="D23" s="40"/>
      <c r="E23" s="40"/>
      <c r="F23" s="41">
        <v>0.34200000000000003</v>
      </c>
      <c r="G23" s="41">
        <v>0.28000000000000003</v>
      </c>
      <c r="H23" s="41">
        <v>0.79700000000000004</v>
      </c>
      <c r="I23" s="41">
        <v>12.183999999999999</v>
      </c>
      <c r="J23" s="41">
        <v>2.3730000000000002</v>
      </c>
      <c r="K23" s="41">
        <v>2.524</v>
      </c>
      <c r="L23" s="41">
        <v>1.502</v>
      </c>
      <c r="M23" s="73">
        <f>M22/I22-1</f>
        <v>-0.12426086341951825</v>
      </c>
      <c r="N23" s="41">
        <f>N22/J22-1</f>
        <v>-0.2659861994107614</v>
      </c>
      <c r="O23" s="41">
        <f t="shared" ref="O23:R23" si="33">O22/K22-1</f>
        <v>-5.0082399190261917E-2</v>
      </c>
      <c r="P23" s="41">
        <f t="shared" si="33"/>
        <v>-4.296232615008444E-3</v>
      </c>
      <c r="Q23" s="41">
        <f t="shared" si="33"/>
        <v>0.27546166852514209</v>
      </c>
      <c r="R23" s="41">
        <f t="shared" si="33"/>
        <v>0.31511974362305684</v>
      </c>
      <c r="S23" s="41">
        <f t="shared" ref="S23" si="34">S22/O22-1</f>
        <v>4.240117323395598E-2</v>
      </c>
      <c r="T23" s="41">
        <f t="shared" ref="T23" si="35">T22/P22-1</f>
        <v>4.9322528827137946E-2</v>
      </c>
      <c r="U23" s="41">
        <f t="shared" ref="U23:V23" si="36">U22/Q22-1</f>
        <v>5.4208188082691899E-2</v>
      </c>
      <c r="V23" s="41">
        <f t="shared" si="36"/>
        <v>5.1957437074304114E-2</v>
      </c>
      <c r="W23" s="41">
        <f>W22/S22-1</f>
        <v>4.2703198296137446E-2</v>
      </c>
      <c r="AA23" s="41"/>
    </row>
    <row r="24" spans="1:31">
      <c r="A24" s="40" t="s">
        <v>3</v>
      </c>
      <c r="B24" s="41">
        <v>0.86499999999999999</v>
      </c>
      <c r="C24" s="41">
        <v>0.875</v>
      </c>
      <c r="D24" s="41">
        <v>0.86899999999999999</v>
      </c>
      <c r="E24" s="41">
        <v>0.66200000000000003</v>
      </c>
      <c r="F24" s="41">
        <v>0.86</v>
      </c>
      <c r="G24" s="41">
        <v>0.85399999999999998</v>
      </c>
      <c r="H24" s="41">
        <v>0.85799999999999998</v>
      </c>
      <c r="I24" s="41">
        <v>0.876</v>
      </c>
      <c r="J24" s="41">
        <v>0.84699999999999998</v>
      </c>
      <c r="K24" s="41">
        <v>0.86599999999999999</v>
      </c>
      <c r="L24" s="41">
        <v>0.84399999999999997</v>
      </c>
      <c r="M24" s="73">
        <f>M22/M$13</f>
        <v>0.82000000000000006</v>
      </c>
      <c r="N24" s="41">
        <f>N22/N$13</f>
        <v>0.82</v>
      </c>
      <c r="O24" s="41">
        <f t="shared" ref="O24:T24" si="37">O22/O$13</f>
        <v>0.82</v>
      </c>
      <c r="P24" s="41">
        <f t="shared" si="37"/>
        <v>0.82</v>
      </c>
      <c r="Q24" s="41">
        <f t="shared" si="37"/>
        <v>0.82</v>
      </c>
      <c r="R24" s="41">
        <f t="shared" si="37"/>
        <v>0.82000000000000006</v>
      </c>
      <c r="S24" s="41">
        <f t="shared" si="37"/>
        <v>0.82000000000000006</v>
      </c>
      <c r="T24" s="41">
        <f t="shared" si="37"/>
        <v>0.82000000000000006</v>
      </c>
      <c r="U24" s="41">
        <v>0.84399999999999997</v>
      </c>
      <c r="V24" s="41">
        <v>0.84399999999999997</v>
      </c>
      <c r="W24" s="41">
        <v>0.84399999999999997</v>
      </c>
      <c r="AA24" s="41"/>
    </row>
    <row r="25" spans="1:31">
      <c r="A25" s="40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</row>
    <row r="26" spans="1:31" s="31" customFormat="1">
      <c r="A26" s="29" t="s">
        <v>149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75"/>
      <c r="AA26" s="30">
        <f>SUM(D26:G26)</f>
        <v>0</v>
      </c>
      <c r="AB26" s="30">
        <f>SUM(H26:K26)</f>
        <v>0</v>
      </c>
      <c r="AC26" s="30">
        <f>SUM(L26:O26)</f>
        <v>0</v>
      </c>
      <c r="AD26" s="30">
        <f>SUM(P26:S26)</f>
        <v>0</v>
      </c>
      <c r="AE26" s="30">
        <f>SUM(T26:W26)</f>
        <v>0</v>
      </c>
    </row>
    <row r="28" spans="1:31">
      <c r="A28" s="3" t="s">
        <v>24</v>
      </c>
      <c r="B28" s="3">
        <v>-27.33</v>
      </c>
      <c r="C28" s="3">
        <v>-31.94</v>
      </c>
      <c r="D28" s="3">
        <v>-35.950000000000003</v>
      </c>
      <c r="E28" s="3">
        <v>-5.44</v>
      </c>
      <c r="F28" s="3">
        <v>-23.73</v>
      </c>
      <c r="G28" s="3">
        <v>-34.549999999999997</v>
      </c>
      <c r="H28" s="3">
        <v>-49.38</v>
      </c>
      <c r="I28" s="3">
        <v>-75.92</v>
      </c>
      <c r="J28" s="3">
        <v>-93.35</v>
      </c>
      <c r="K28" s="3">
        <v>-114.82</v>
      </c>
      <c r="L28" s="3">
        <v>-133.44999999999999</v>
      </c>
      <c r="M28" s="71">
        <f>M29*M$13</f>
        <v>-72.532560000000004</v>
      </c>
      <c r="N28" s="33">
        <f t="shared" ref="N28" si="38">N29*N$13</f>
        <v>-65.809350000000009</v>
      </c>
      <c r="O28" s="33">
        <f t="shared" ref="O28" si="39">O29*O$13</f>
        <v>-116.12142599999997</v>
      </c>
      <c r="P28" s="33">
        <f t="shared" ref="P28" si="40">P29*P$13</f>
        <v>-114.40782</v>
      </c>
      <c r="Q28" s="33">
        <f t="shared" ref="Q28" si="41">Q29*Q$13</f>
        <v>-83.261250000000004</v>
      </c>
      <c r="R28" s="33">
        <f t="shared" ref="R28" si="42">R29*R$13</f>
        <v>-81.992061000000007</v>
      </c>
      <c r="S28" s="33">
        <f t="shared" ref="S28" si="43">S29*S$13</f>
        <v>-114.67431539999997</v>
      </c>
      <c r="T28" s="33">
        <f t="shared" ref="T28" si="44">T29*T$13</f>
        <v>-120.05070300000001</v>
      </c>
      <c r="U28" s="33">
        <f t="shared" ref="U28" si="45">U29*U$13</f>
        <v>-87.774691500000017</v>
      </c>
      <c r="V28" s="33">
        <f t="shared" ref="V28" si="46">V29*V$13</f>
        <v>-86.252158350000002</v>
      </c>
      <c r="W28" s="33">
        <f t="shared" ref="W28" si="47">W29*W$13</f>
        <v>-119.57127542999999</v>
      </c>
      <c r="AA28" s="33">
        <f>SUM(D28:G28)</f>
        <v>-99.67</v>
      </c>
      <c r="AB28" s="33">
        <f>SUM(H28:K28)</f>
        <v>-333.47</v>
      </c>
      <c r="AC28" s="33">
        <f>SUM(L28:O28)</f>
        <v>-387.91333599999996</v>
      </c>
      <c r="AD28" s="33">
        <f>SUM(P28:S28)</f>
        <v>-394.33544639999997</v>
      </c>
      <c r="AE28" s="33">
        <f>SUM(T28:W28)</f>
        <v>-413.64882827999998</v>
      </c>
    </row>
    <row r="29" spans="1:31" s="40" customFormat="1">
      <c r="A29" s="40" t="s">
        <v>142</v>
      </c>
      <c r="B29" s="42">
        <f>B28/B$13</f>
        <v>-0.5522327742978379</v>
      </c>
      <c r="C29" s="42">
        <f t="shared" ref="C29:L29" si="48">C28/C$13</f>
        <v>-0.46730065837600593</v>
      </c>
      <c r="D29" s="42">
        <f t="shared" si="48"/>
        <v>-0.56180653227066735</v>
      </c>
      <c r="E29" s="42">
        <f t="shared" si="48"/>
        <v>-0.31365313653136534</v>
      </c>
      <c r="F29" s="42">
        <f t="shared" si="48"/>
        <v>-0.36306609547123625</v>
      </c>
      <c r="G29" s="42">
        <f t="shared" si="48"/>
        <v>-0.39839948340674791</v>
      </c>
      <c r="H29" s="42">
        <f t="shared" si="48"/>
        <v>-0.40692212608158224</v>
      </c>
      <c r="I29" s="42">
        <f t="shared" si="48"/>
        <v>-0.39144109306522296</v>
      </c>
      <c r="J29" s="42">
        <f t="shared" si="48"/>
        <v>-0.40862333114467059</v>
      </c>
      <c r="K29" s="42">
        <f t="shared" si="48"/>
        <v>-0.3766578423364465</v>
      </c>
      <c r="L29" s="42">
        <f t="shared" si="48"/>
        <v>-0.43030342114597092</v>
      </c>
      <c r="M29" s="73">
        <v>-0.4</v>
      </c>
      <c r="N29" s="92">
        <v>-0.38</v>
      </c>
      <c r="O29" s="92">
        <v>-0.38</v>
      </c>
      <c r="P29" s="92">
        <v>-0.36</v>
      </c>
      <c r="Q29" s="92">
        <v>-0.36</v>
      </c>
      <c r="R29" s="92">
        <v>-0.36</v>
      </c>
      <c r="S29" s="92">
        <v>-0.36</v>
      </c>
      <c r="T29" s="92">
        <v>-0.36</v>
      </c>
      <c r="U29" s="92">
        <v>-0.36</v>
      </c>
      <c r="V29" s="92">
        <v>-0.36</v>
      </c>
      <c r="W29" s="92">
        <v>-0.36</v>
      </c>
      <c r="AA29" s="42">
        <f t="shared" ref="AA29:AE29" si="49">AA28/AA$13</f>
        <v>-0.42700586078075192</v>
      </c>
      <c r="AB29" s="42">
        <f t="shared" si="49"/>
        <v>-0.39296997722101046</v>
      </c>
      <c r="AC29" s="42">
        <f t="shared" si="49"/>
        <v>-0.39981725506185872</v>
      </c>
      <c r="AD29" s="42">
        <f t="shared" si="49"/>
        <v>-0.35999999999999993</v>
      </c>
      <c r="AE29" s="42">
        <f t="shared" si="49"/>
        <v>-0.36</v>
      </c>
    </row>
    <row r="30" spans="1:31">
      <c r="A30" s="3" t="s">
        <v>140</v>
      </c>
    </row>
    <row r="31" spans="1:31">
      <c r="A31" s="3" t="s">
        <v>25</v>
      </c>
      <c r="B31" s="3">
        <v>-8.42</v>
      </c>
      <c r="C31" s="3">
        <v>-9.3000000000000007</v>
      </c>
      <c r="D31" s="3">
        <v>-11.66</v>
      </c>
      <c r="E31" s="3">
        <v>-9.02</v>
      </c>
      <c r="F31" s="3">
        <v>-10.1</v>
      </c>
      <c r="G31" s="3">
        <v>-14.83</v>
      </c>
      <c r="H31" s="3">
        <v>-20.02</v>
      </c>
      <c r="I31" s="3">
        <v>-26.12</v>
      </c>
      <c r="J31" s="3">
        <v>-34.44</v>
      </c>
      <c r="K31" s="3">
        <v>-42.08</v>
      </c>
      <c r="L31" s="3">
        <v>-43.46</v>
      </c>
      <c r="M31" s="71">
        <f>M32*M$13</f>
        <v>-36.266280000000002</v>
      </c>
      <c r="N31" s="33">
        <f t="shared" ref="N31:P31" si="50">N32*N$13</f>
        <v>-34.636500000000005</v>
      </c>
      <c r="O31" s="33">
        <f t="shared" si="50"/>
        <v>-39.725750999999995</v>
      </c>
      <c r="P31" s="33">
        <f t="shared" si="50"/>
        <v>-47.669924999999999</v>
      </c>
      <c r="Q31" s="33">
        <f t="shared" ref="Q31" si="51">Q32*Q$13</f>
        <v>-34.692187499999996</v>
      </c>
      <c r="R31" s="33">
        <f t="shared" ref="R31" si="52">R32*R$13</f>
        <v>-34.16335875</v>
      </c>
      <c r="S31" s="33">
        <f t="shared" ref="S31" si="53">S32*S$13</f>
        <v>-47.780964749999988</v>
      </c>
      <c r="T31" s="33">
        <f t="shared" ref="T31" si="54">T32*T$13</f>
        <v>-50.021126250000009</v>
      </c>
      <c r="U31" s="33">
        <f t="shared" ref="U31" si="55">U32*U$13</f>
        <v>-36.57278812500001</v>
      </c>
      <c r="V31" s="33">
        <f t="shared" ref="V31" si="56">V32*V$13</f>
        <v>-35.938399312500003</v>
      </c>
      <c r="W31" s="33">
        <f t="shared" ref="W31" si="57">W32*W$13</f>
        <v>-49.821364762499989</v>
      </c>
      <c r="AA31" s="33">
        <f>SUM(D31:G31)</f>
        <v>-45.61</v>
      </c>
      <c r="AB31" s="33">
        <f>SUM(H31:K31)</f>
        <v>-122.66</v>
      </c>
      <c r="AC31" s="33">
        <f>SUM(L31:O31)</f>
        <v>-154.08853100000002</v>
      </c>
      <c r="AD31" s="33">
        <f>SUM(P31:S31)</f>
        <v>-164.30643599999999</v>
      </c>
      <c r="AE31" s="33">
        <f>SUM(T31:W31)</f>
        <v>-172.35367845000002</v>
      </c>
    </row>
    <row r="32" spans="1:31" s="40" customFormat="1">
      <c r="A32" s="40" t="s">
        <v>142</v>
      </c>
      <c r="B32" s="42">
        <f>B31/B$13</f>
        <v>-0.17013538088502728</v>
      </c>
      <c r="C32" s="42">
        <f t="shared" ref="C32" si="58">C31/C$13</f>
        <v>-0.13606437454279446</v>
      </c>
      <c r="D32" s="42">
        <f t="shared" ref="D32" si="59">D31/D$13</f>
        <v>-0.18221597124550712</v>
      </c>
      <c r="E32" s="42">
        <f t="shared" ref="E32" si="60">E31/E$13</f>
        <v>-0.52006457564575637</v>
      </c>
      <c r="F32" s="42">
        <f t="shared" ref="F32" si="61">F31/F$13</f>
        <v>-0.15452876376988983</v>
      </c>
      <c r="G32" s="42">
        <f t="shared" ref="G32" si="62">G31/G$13</f>
        <v>-0.17100620373146375</v>
      </c>
      <c r="H32" s="42">
        <f t="shared" ref="H32" si="63">H31/H$13</f>
        <v>-0.16497733827770911</v>
      </c>
      <c r="I32" s="42">
        <f t="shared" ref="I32" si="64">I31/I$13</f>
        <v>-0.13467388502191285</v>
      </c>
      <c r="J32" s="42">
        <f t="shared" ref="J32" si="65">J31/J$13</f>
        <v>-0.15075508864084045</v>
      </c>
      <c r="K32" s="42">
        <f t="shared" ref="K32" si="66">K31/K$13</f>
        <v>-0.13804008017346864</v>
      </c>
      <c r="L32" s="42">
        <f t="shared" ref="L32" si="67">L31/L$13</f>
        <v>-0.14013478218811465</v>
      </c>
      <c r="M32" s="73">
        <v>-0.2</v>
      </c>
      <c r="N32" s="41">
        <v>-0.2</v>
      </c>
      <c r="O32" s="41">
        <v>-0.13</v>
      </c>
      <c r="P32" s="41">
        <v>-0.15</v>
      </c>
      <c r="Q32" s="41">
        <v>-0.15</v>
      </c>
      <c r="R32" s="41">
        <v>-0.15</v>
      </c>
      <c r="S32" s="41">
        <v>-0.15</v>
      </c>
      <c r="T32" s="41">
        <v>-0.15</v>
      </c>
      <c r="U32" s="41">
        <v>-0.15</v>
      </c>
      <c r="V32" s="41">
        <v>-0.15</v>
      </c>
      <c r="W32" s="41">
        <v>-0.15</v>
      </c>
      <c r="AA32" s="42">
        <f t="shared" ref="AA32:AE32" si="68">AA31/AA$13</f>
        <v>-0.19540220036329983</v>
      </c>
      <c r="AB32" s="42">
        <f t="shared" si="68"/>
        <v>-0.14454582842813188</v>
      </c>
      <c r="AC32" s="42">
        <f t="shared" si="68"/>
        <v>-0.15881705469629467</v>
      </c>
      <c r="AD32" s="42">
        <f t="shared" si="68"/>
        <v>-0.15</v>
      </c>
      <c r="AE32" s="42">
        <f t="shared" si="68"/>
        <v>-0.15000000000000002</v>
      </c>
    </row>
    <row r="34" spans="1:31">
      <c r="A34" s="3" t="s">
        <v>148</v>
      </c>
      <c r="B34" s="3">
        <f t="shared" ref="B34:W34" si="69">SUM(B28,B31)</f>
        <v>-35.75</v>
      </c>
      <c r="C34" s="3">
        <f t="shared" si="69"/>
        <v>-41.24</v>
      </c>
      <c r="D34" s="3">
        <f t="shared" si="69"/>
        <v>-47.61</v>
      </c>
      <c r="E34" s="3">
        <f t="shared" si="69"/>
        <v>-14.46</v>
      </c>
      <c r="F34" s="3">
        <f t="shared" si="69"/>
        <v>-33.83</v>
      </c>
      <c r="G34" s="3">
        <f t="shared" si="69"/>
        <v>-49.379999999999995</v>
      </c>
      <c r="H34" s="3">
        <f t="shared" si="69"/>
        <v>-69.400000000000006</v>
      </c>
      <c r="I34" s="3">
        <f t="shared" si="69"/>
        <v>-102.04</v>
      </c>
      <c r="J34" s="3">
        <f t="shared" si="69"/>
        <v>-127.78999999999999</v>
      </c>
      <c r="K34" s="3">
        <f t="shared" si="69"/>
        <v>-156.89999999999998</v>
      </c>
      <c r="L34" s="3">
        <f t="shared" si="69"/>
        <v>-176.91</v>
      </c>
      <c r="M34" s="71">
        <f t="shared" si="69"/>
        <v>-108.79884000000001</v>
      </c>
      <c r="N34" s="33">
        <f t="shared" si="69"/>
        <v>-100.44585000000001</v>
      </c>
      <c r="O34" s="33">
        <f t="shared" si="69"/>
        <v>-155.84717699999996</v>
      </c>
      <c r="P34" s="33">
        <f t="shared" si="69"/>
        <v>-162.07774499999999</v>
      </c>
      <c r="Q34" s="33">
        <f t="shared" si="69"/>
        <v>-117.95343750000001</v>
      </c>
      <c r="R34" s="33">
        <f t="shared" si="69"/>
        <v>-116.15541975000001</v>
      </c>
      <c r="S34" s="33">
        <f t="shared" si="69"/>
        <v>-162.45528014999996</v>
      </c>
      <c r="T34" s="33">
        <f t="shared" si="69"/>
        <v>-170.07182925000001</v>
      </c>
      <c r="U34" s="33">
        <f t="shared" si="69"/>
        <v>-124.34747962500003</v>
      </c>
      <c r="V34" s="33">
        <f t="shared" si="69"/>
        <v>-122.1905576625</v>
      </c>
      <c r="W34" s="33">
        <f t="shared" si="69"/>
        <v>-169.39264019249998</v>
      </c>
      <c r="AA34" s="33">
        <f>SUM(D34:G34)</f>
        <v>-145.28</v>
      </c>
      <c r="AB34" s="33">
        <f>SUM(H34:K34)</f>
        <v>-456.13</v>
      </c>
      <c r="AC34" s="33">
        <f>SUM(L34:O34)</f>
        <v>-542.00186699999995</v>
      </c>
      <c r="AD34" s="33">
        <f>SUM(P34:S34)</f>
        <v>-558.64188239999999</v>
      </c>
      <c r="AE34" s="33">
        <f>SUM(T34:W34)</f>
        <v>-586.00250673000005</v>
      </c>
    </row>
    <row r="35" spans="1:31" s="40" customFormat="1">
      <c r="A35" s="40" t="s">
        <v>142</v>
      </c>
      <c r="B35" s="42">
        <f>B34/B$13</f>
        <v>-0.72236815518286523</v>
      </c>
      <c r="C35" s="42">
        <f t="shared" ref="C35" si="70">C34/C$13</f>
        <v>-0.60336503291880039</v>
      </c>
      <c r="D35" s="42">
        <f t="shared" ref="D35" si="71">D34/D$13</f>
        <v>-0.74402250351617449</v>
      </c>
      <c r="E35" s="42">
        <f t="shared" ref="E35" si="72">E34/E$13</f>
        <v>-0.83371771217712176</v>
      </c>
      <c r="F35" s="42">
        <f t="shared" ref="F35" si="73">F34/F$13</f>
        <v>-0.51759485924112603</v>
      </c>
      <c r="G35" s="42">
        <f t="shared" ref="G35" si="74">G34/G$13</f>
        <v>-0.5694056871382116</v>
      </c>
      <c r="H35" s="42">
        <f t="shared" ref="H35" si="75">H34/H$13</f>
        <v>-0.5718994643592914</v>
      </c>
      <c r="I35" s="42">
        <f t="shared" ref="I35" si="76">I34/I$13</f>
        <v>-0.52611497808713581</v>
      </c>
      <c r="J35" s="42">
        <f t="shared" ref="J35" si="77">J34/J$13</f>
        <v>-0.55937841978551106</v>
      </c>
      <c r="K35" s="42">
        <f t="shared" ref="K35" si="78">K34/K$13</f>
        <v>-0.51469792250991508</v>
      </c>
      <c r="L35" s="42">
        <f t="shared" ref="L35:W35" si="79">L34/L$13</f>
        <v>-0.57043820333408557</v>
      </c>
      <c r="M35" s="74">
        <f t="shared" si="79"/>
        <v>-0.60000000000000009</v>
      </c>
      <c r="N35" s="42">
        <f t="shared" si="79"/>
        <v>-0.58000000000000007</v>
      </c>
      <c r="O35" s="42">
        <f t="shared" si="79"/>
        <v>-0.51</v>
      </c>
      <c r="P35" s="42">
        <f t="shared" si="79"/>
        <v>-0.5099999999999999</v>
      </c>
      <c r="Q35" s="42">
        <f t="shared" si="79"/>
        <v>-0.51</v>
      </c>
      <c r="R35" s="42">
        <f t="shared" si="79"/>
        <v>-0.51</v>
      </c>
      <c r="S35" s="42">
        <f t="shared" si="79"/>
        <v>-0.51</v>
      </c>
      <c r="T35" s="42">
        <f t="shared" si="79"/>
        <v>-0.5099999999999999</v>
      </c>
      <c r="U35" s="42">
        <f t="shared" si="79"/>
        <v>-0.51</v>
      </c>
      <c r="V35" s="42">
        <f t="shared" si="79"/>
        <v>-0.5099999999999999</v>
      </c>
      <c r="W35" s="42">
        <f t="shared" si="79"/>
        <v>-0.51</v>
      </c>
      <c r="AA35" s="42">
        <f t="shared" ref="AA35:AE35" si="80">AA34/AA$13</f>
        <v>-0.62240806114405178</v>
      </c>
      <c r="AB35" s="42">
        <f t="shared" si="80"/>
        <v>-0.53751580564914236</v>
      </c>
      <c r="AC35" s="42">
        <f t="shared" si="80"/>
        <v>-0.55863430975815342</v>
      </c>
      <c r="AD35" s="42">
        <f t="shared" si="80"/>
        <v>-0.51</v>
      </c>
      <c r="AE35" s="42">
        <f t="shared" si="80"/>
        <v>-0.51</v>
      </c>
    </row>
    <row r="37" spans="1:31">
      <c r="A37" s="3" t="s">
        <v>151</v>
      </c>
      <c r="B37" s="3">
        <v>-5.0599999999999996</v>
      </c>
      <c r="C37" s="3">
        <v>-7.3</v>
      </c>
      <c r="D37" s="3">
        <v>-7.02</v>
      </c>
      <c r="E37" s="3">
        <v>-7.67</v>
      </c>
      <c r="F37" s="3">
        <v>-9.9700000000000006</v>
      </c>
      <c r="G37" s="3">
        <v>-14.15</v>
      </c>
      <c r="H37" s="3">
        <v>-18.989999999999998</v>
      </c>
      <c r="I37" s="3">
        <v>-31.43</v>
      </c>
      <c r="J37" s="3">
        <v>-37.090000000000003</v>
      </c>
      <c r="K37" s="3">
        <v>-46.5</v>
      </c>
      <c r="L37" s="3">
        <v>-49.99</v>
      </c>
      <c r="M37" s="71">
        <f>M38*M$13</f>
        <v>-36.266280000000002</v>
      </c>
      <c r="N37" s="33">
        <f t="shared" ref="N37" si="81">N38*N$13</f>
        <v>-34.636500000000005</v>
      </c>
      <c r="O37" s="33">
        <f t="shared" ref="O37" si="82">O38*O$13</f>
        <v>-61.116539999999986</v>
      </c>
      <c r="P37" s="33">
        <f t="shared" ref="P37" si="83">P38*P$13</f>
        <v>-63.559900000000006</v>
      </c>
      <c r="Q37" s="33">
        <f t="shared" ref="Q37" si="84">Q38*Q$13</f>
        <v>-41.630625000000002</v>
      </c>
      <c r="R37" s="33">
        <f t="shared" ref="R37" si="85">R38*R$13</f>
        <v>-36.440916000000001</v>
      </c>
      <c r="S37" s="33">
        <f t="shared" ref="S37" si="86">S38*S$13</f>
        <v>-50.966362399999987</v>
      </c>
      <c r="T37" s="33">
        <f t="shared" ref="T37" si="87">T38*T$13</f>
        <v>-53.355868000000008</v>
      </c>
      <c r="U37" s="33">
        <f t="shared" ref="U37" si="88">U38*U$13</f>
        <v>-39.010974000000012</v>
      </c>
      <c r="V37" s="33">
        <f t="shared" ref="V37" si="89">V38*V$13</f>
        <v>-38.334292600000005</v>
      </c>
      <c r="W37" s="33">
        <f t="shared" ref="W37" si="90">W38*W$13</f>
        <v>-53.142789079999993</v>
      </c>
      <c r="AA37" s="33">
        <f>SUM(D37:G37)</f>
        <v>-38.81</v>
      </c>
      <c r="AB37" s="33">
        <f>SUM(H37:K37)</f>
        <v>-134.01</v>
      </c>
      <c r="AC37" s="33">
        <f>SUM(L37:O37)</f>
        <v>-182.00932</v>
      </c>
      <c r="AD37" s="33">
        <f>SUM(P37:S37)</f>
        <v>-192.59780339999998</v>
      </c>
      <c r="AE37" s="33">
        <f>SUM(T37:W37)</f>
        <v>-183.84392368000002</v>
      </c>
    </row>
    <row r="38" spans="1:31" s="40" customFormat="1">
      <c r="A38" s="40" t="s">
        <v>142</v>
      </c>
      <c r="B38" s="42">
        <f>B37/B$13</f>
        <v>-0.10224287734895937</v>
      </c>
      <c r="C38" s="42">
        <f t="shared" ref="C38" si="91">C37/C$13</f>
        <v>-0.10680321872713973</v>
      </c>
      <c r="D38" s="42">
        <f t="shared" ref="D38" si="92">D37/D$13</f>
        <v>-0.10970464135021098</v>
      </c>
      <c r="E38" s="42">
        <f t="shared" ref="E38" si="93">E37/E$13</f>
        <v>-0.44222785977859774</v>
      </c>
      <c r="F38" s="42">
        <f t="shared" ref="F38" si="94">F37/F$13</f>
        <v>-0.15253977968176255</v>
      </c>
      <c r="G38" s="42">
        <f t="shared" ref="G38" si="95">G37/G$13</f>
        <v>-0.16316505615645394</v>
      </c>
      <c r="H38" s="42">
        <f t="shared" ref="H38" si="96">H37/H$13</f>
        <v>-0.15648949320148331</v>
      </c>
      <c r="I38" s="42">
        <f t="shared" ref="I38" si="97">I37/I$13</f>
        <v>-0.16205207527713328</v>
      </c>
      <c r="J38" s="42">
        <f t="shared" ref="J38" si="98">J37/J$13</f>
        <v>-0.16235500109433137</v>
      </c>
      <c r="K38" s="42">
        <f t="shared" ref="K38" si="99">K37/K$13</f>
        <v>-0.1525395372639328</v>
      </c>
      <c r="L38" s="42">
        <f t="shared" ref="L38" si="100">L37/L$13</f>
        <v>-0.16119046851320412</v>
      </c>
      <c r="M38" s="73">
        <v>-0.2</v>
      </c>
      <c r="N38" s="41">
        <v>-0.2</v>
      </c>
      <c r="O38" s="41">
        <v>-0.2</v>
      </c>
      <c r="P38" s="41">
        <v>-0.2</v>
      </c>
      <c r="Q38" s="41">
        <v>-0.18</v>
      </c>
      <c r="R38" s="41">
        <v>-0.16</v>
      </c>
      <c r="S38" s="41">
        <v>-0.16</v>
      </c>
      <c r="T38" s="41">
        <v>-0.16</v>
      </c>
      <c r="U38" s="41">
        <v>-0.16</v>
      </c>
      <c r="V38" s="41">
        <v>-0.16</v>
      </c>
      <c r="W38" s="41">
        <v>-0.16</v>
      </c>
      <c r="AA38" s="42">
        <f t="shared" ref="AA38:AE38" si="101">AA37/AA$13</f>
        <v>-0.16626966446173355</v>
      </c>
      <c r="AB38" s="42">
        <f t="shared" si="101"/>
        <v>-0.15792097234350197</v>
      </c>
      <c r="AC38" s="42">
        <f t="shared" si="101"/>
        <v>-0.18759465056925878</v>
      </c>
      <c r="AD38" s="42">
        <f t="shared" si="101"/>
        <v>-0.17582799075503042</v>
      </c>
      <c r="AE38" s="42">
        <f t="shared" si="101"/>
        <v>-0.16</v>
      </c>
    </row>
    <row r="40" spans="1:31">
      <c r="A40" s="3" t="s">
        <v>150</v>
      </c>
      <c r="B40" s="3">
        <v>-40.81</v>
      </c>
      <c r="C40" s="3">
        <v>-50.7</v>
      </c>
      <c r="D40" s="3">
        <v>-54.63</v>
      </c>
      <c r="E40" s="3">
        <v>-22.12</v>
      </c>
      <c r="F40" s="3">
        <v>-43.79</v>
      </c>
      <c r="G40" s="3">
        <v>-63.53</v>
      </c>
      <c r="H40" s="3">
        <v>-88.38</v>
      </c>
      <c r="I40" s="3">
        <v>-133.47</v>
      </c>
      <c r="J40" s="3">
        <v>-164.87</v>
      </c>
      <c r="K40" s="3">
        <v>-203.39</v>
      </c>
      <c r="L40" s="3">
        <f>SUM(L34,L37)</f>
        <v>-226.9</v>
      </c>
      <c r="M40" s="71">
        <f t="shared" ref="M40:W40" si="102">SUM(M34,M37)</f>
        <v>-145.06512000000001</v>
      </c>
      <c r="N40" s="33">
        <f t="shared" si="102"/>
        <v>-135.08235000000002</v>
      </c>
      <c r="O40" s="33">
        <f t="shared" si="102"/>
        <v>-216.96371699999995</v>
      </c>
      <c r="P40" s="33">
        <f t="shared" si="102"/>
        <v>-225.63764499999999</v>
      </c>
      <c r="Q40" s="33">
        <f t="shared" si="102"/>
        <v>-159.58406250000002</v>
      </c>
      <c r="R40" s="33">
        <f t="shared" si="102"/>
        <v>-152.59633575000001</v>
      </c>
      <c r="S40" s="33">
        <f t="shared" si="102"/>
        <v>-213.42164254999994</v>
      </c>
      <c r="T40" s="33">
        <f t="shared" si="102"/>
        <v>-223.42769725000002</v>
      </c>
      <c r="U40" s="33">
        <f t="shared" si="102"/>
        <v>-163.35845362500004</v>
      </c>
      <c r="V40" s="33">
        <f t="shared" si="102"/>
        <v>-160.5248502625</v>
      </c>
      <c r="W40" s="33">
        <f t="shared" si="102"/>
        <v>-222.53542927249998</v>
      </c>
      <c r="AA40" s="33">
        <f>SUM(D40:G40)</f>
        <v>-184.07</v>
      </c>
      <c r="AB40" s="33">
        <f>SUM(H40:K40)</f>
        <v>-590.11</v>
      </c>
      <c r="AC40" s="33">
        <f>SUM(L40:O40)</f>
        <v>-724.01118699999995</v>
      </c>
      <c r="AD40" s="33">
        <f>SUM(P40:S40)</f>
        <v>-751.23968579999996</v>
      </c>
      <c r="AE40" s="33">
        <f>SUM(T40:W40)</f>
        <v>-769.84643041000004</v>
      </c>
    </row>
    <row r="41" spans="1:31" s="40" customFormat="1">
      <c r="A41" s="40" t="s">
        <v>142</v>
      </c>
      <c r="B41" s="42">
        <f>B40/B$13</f>
        <v>-0.82461103253182466</v>
      </c>
      <c r="C41" s="42">
        <f t="shared" ref="C41" si="103">C40/C$13</f>
        <v>-0.74177029992684718</v>
      </c>
      <c r="D41" s="42">
        <f t="shared" ref="D41" si="104">D40/D$13</f>
        <v>-0.85372714486638546</v>
      </c>
      <c r="E41" s="42">
        <f t="shared" ref="E41" si="105">E40/E$13</f>
        <v>-1.2753690036900369</v>
      </c>
      <c r="F41" s="42">
        <f t="shared" ref="F41" si="106">F40/F$13</f>
        <v>-0.66998164014687878</v>
      </c>
      <c r="G41" s="42">
        <f t="shared" ref="G41" si="107">G40/G$13</f>
        <v>-0.73257074329466565</v>
      </c>
      <c r="H41" s="42">
        <f t="shared" ref="H41" si="108">H40/H$13</f>
        <v>-0.72830655129789867</v>
      </c>
      <c r="I41" s="42">
        <f t="shared" ref="I41" si="109">I40/I$13</f>
        <v>-0.68816705336426909</v>
      </c>
      <c r="J41" s="42">
        <f t="shared" ref="J41" si="110">J40/J$13</f>
        <v>-0.72168964762530097</v>
      </c>
      <c r="K41" s="42">
        <f t="shared" ref="K41" si="111">K40/K$13</f>
        <v>-0.66720465557228581</v>
      </c>
      <c r="L41" s="42">
        <f t="shared" ref="L41:W41" si="112">L40/L$13</f>
        <v>-0.73162867184728975</v>
      </c>
      <c r="M41" s="74">
        <f t="shared" si="112"/>
        <v>-0.8</v>
      </c>
      <c r="N41" s="42">
        <f t="shared" si="112"/>
        <v>-0.78000000000000014</v>
      </c>
      <c r="O41" s="42">
        <f t="shared" si="112"/>
        <v>-0.71</v>
      </c>
      <c r="P41" s="42">
        <f t="shared" si="112"/>
        <v>-0.71</v>
      </c>
      <c r="Q41" s="42">
        <f t="shared" si="112"/>
        <v>-0.69000000000000006</v>
      </c>
      <c r="R41" s="42">
        <f t="shared" si="112"/>
        <v>-0.67</v>
      </c>
      <c r="S41" s="42">
        <f t="shared" si="112"/>
        <v>-0.66999999999999993</v>
      </c>
      <c r="T41" s="42">
        <f t="shared" si="112"/>
        <v>-0.66999999999999993</v>
      </c>
      <c r="U41" s="42">
        <f t="shared" si="112"/>
        <v>-0.66999999999999993</v>
      </c>
      <c r="V41" s="42">
        <f t="shared" si="112"/>
        <v>-0.66999999999999993</v>
      </c>
      <c r="W41" s="42">
        <f t="shared" si="112"/>
        <v>-0.67</v>
      </c>
      <c r="AA41" s="42">
        <f t="shared" ref="AA41:AE41" si="113">AA40/AA$13</f>
        <v>-0.78859204167666297</v>
      </c>
      <c r="AB41" s="42">
        <f t="shared" si="113"/>
        <v>-0.69540142518934378</v>
      </c>
      <c r="AC41" s="42">
        <f t="shared" si="113"/>
        <v>-0.74622896032741215</v>
      </c>
      <c r="AD41" s="42">
        <f t="shared" si="113"/>
        <v>-0.68582799075503031</v>
      </c>
      <c r="AE41" s="42">
        <f t="shared" si="113"/>
        <v>-0.67</v>
      </c>
    </row>
    <row r="43" spans="1:31" s="31" customFormat="1">
      <c r="A43" s="29" t="s">
        <v>4</v>
      </c>
      <c r="B43" s="31">
        <f t="shared" ref="B43:L43" si="114">SUM(B22,B40)</f>
        <v>1.9899999999999949</v>
      </c>
      <c r="C43" s="31">
        <f t="shared" si="114"/>
        <v>7.8799999999999955</v>
      </c>
      <c r="D43" s="31">
        <f t="shared" si="114"/>
        <v>0.54999999999999005</v>
      </c>
      <c r="E43" s="30">
        <f t="shared" si="114"/>
        <v>-11.396000000000001</v>
      </c>
      <c r="F43" s="31">
        <f t="shared" si="114"/>
        <v>12.21</v>
      </c>
      <c r="G43" s="30">
        <f t="shared" si="114"/>
        <v>10.402000000000015</v>
      </c>
      <c r="H43" s="31">
        <f t="shared" si="114"/>
        <v>15.579999999999998</v>
      </c>
      <c r="I43" s="31">
        <f t="shared" si="114"/>
        <v>36.320000000000022</v>
      </c>
      <c r="J43" s="31">
        <f t="shared" si="114"/>
        <v>28.599999999999994</v>
      </c>
      <c r="K43" s="30">
        <f t="shared" si="114"/>
        <v>60.398999999999944</v>
      </c>
      <c r="L43" s="30">
        <f t="shared" si="114"/>
        <v>34.820000000000022</v>
      </c>
      <c r="M43" s="76">
        <f t="shared" ref="M43:W43" si="115">SUM(M22,M40)</f>
        <v>3.6266280000000108</v>
      </c>
      <c r="N43" s="30">
        <f t="shared" si="115"/>
        <v>6.927299999999974</v>
      </c>
      <c r="O43" s="30">
        <f t="shared" si="115"/>
        <v>33.614096999999987</v>
      </c>
      <c r="P43" s="30">
        <f t="shared" si="115"/>
        <v>34.957945000000024</v>
      </c>
      <c r="Q43" s="30">
        <f t="shared" si="115"/>
        <v>30.066562499999975</v>
      </c>
      <c r="R43" s="30">
        <f t="shared" si="115"/>
        <v>34.163358750000015</v>
      </c>
      <c r="S43" s="30">
        <f t="shared" si="115"/>
        <v>47.78096475000001</v>
      </c>
      <c r="T43" s="30">
        <f t="shared" si="115"/>
        <v>50.021126250000037</v>
      </c>
      <c r="U43" s="30">
        <f t="shared" si="115"/>
        <v>36.572788125000017</v>
      </c>
      <c r="V43" s="30">
        <f t="shared" si="115"/>
        <v>35.938399312500025</v>
      </c>
      <c r="W43" s="30">
        <f t="shared" si="115"/>
        <v>49.821364762499968</v>
      </c>
      <c r="AA43" s="30">
        <f>SUM(D43:G43)</f>
        <v>11.766000000000005</v>
      </c>
      <c r="AB43" s="30">
        <f>SUM(H43:K43)</f>
        <v>140.89899999999994</v>
      </c>
      <c r="AC43" s="30">
        <f>SUM(L43:O43)</f>
        <v>78.988024999999993</v>
      </c>
      <c r="AD43" s="30">
        <f>SUM(P43:S43)</f>
        <v>146.96883100000002</v>
      </c>
      <c r="AE43" s="30">
        <f>SUM(T43:W43)</f>
        <v>172.35367845000005</v>
      </c>
    </row>
    <row r="44" spans="1:31">
      <c r="A44" s="40" t="s">
        <v>1</v>
      </c>
      <c r="B44" s="40"/>
      <c r="C44" s="40"/>
      <c r="D44" s="41"/>
      <c r="E44" s="41"/>
      <c r="F44" s="41">
        <f>F43/B43-1</f>
        <v>5.1356783919598152</v>
      </c>
      <c r="G44" s="41">
        <f t="shared" ref="G44:L44" si="116">G43/C43-1</f>
        <v>0.32005076142132238</v>
      </c>
      <c r="H44" s="41">
        <f t="shared" si="116"/>
        <v>27.327272727273236</v>
      </c>
      <c r="I44" s="41">
        <f t="shared" si="116"/>
        <v>-4.1870831870831893</v>
      </c>
      <c r="J44" s="41">
        <f t="shared" si="116"/>
        <v>1.3423423423423415</v>
      </c>
      <c r="K44" s="41">
        <f t="shared" si="116"/>
        <v>4.8064795231686075</v>
      </c>
      <c r="L44" s="41">
        <f t="shared" si="116"/>
        <v>1.2349165596919143</v>
      </c>
      <c r="M44" s="73">
        <f t="shared" ref="M44" si="117">M43/I43-1</f>
        <v>-0.90014790748898654</v>
      </c>
      <c r="N44" s="41">
        <f t="shared" ref="N44" si="118">N43/J43-1</f>
        <v>-0.75778671328671421</v>
      </c>
      <c r="O44" s="41">
        <f t="shared" ref="O44" si="119">O43/K43-1</f>
        <v>-0.44346600109273304</v>
      </c>
      <c r="P44" s="41">
        <f t="shared" ref="P44" si="120">P43/L43-1</f>
        <v>3.961659965537212E-3</v>
      </c>
      <c r="Q44" s="41">
        <f t="shared" ref="Q44" si="121">Q43/M43-1</f>
        <v>7.2905008454133942</v>
      </c>
      <c r="R44" s="41">
        <f t="shared" ref="R44" si="122">R43/N43-1</f>
        <v>3.9316990385864825</v>
      </c>
      <c r="S44" s="41">
        <f t="shared" ref="S44" si="123">S43/O43-1</f>
        <v>0.42145614531903175</v>
      </c>
      <c r="T44" s="41">
        <f t="shared" ref="T44" si="124">T43/P43-1</f>
        <v>0.4308943574915518</v>
      </c>
      <c r="U44" s="41">
        <f t="shared" ref="U44" si="125">U43/Q43-1</f>
        <v>0.216394063172338</v>
      </c>
      <c r="V44" s="41">
        <f t="shared" ref="V44" si="126">V43/R43-1</f>
        <v>5.1957437074304336E-2</v>
      </c>
      <c r="W44" s="41">
        <f t="shared" ref="W44" si="127">W43/S43-1</f>
        <v>4.2703198296136557E-2</v>
      </c>
      <c r="AB44" s="34">
        <f>AB43/AA43-1</f>
        <v>10.975097739248673</v>
      </c>
      <c r="AC44" s="34">
        <f t="shared" ref="AC44:AE44" si="128">AC43/AB43-1</f>
        <v>-0.43939967636392008</v>
      </c>
      <c r="AD44" s="34">
        <f t="shared" si="128"/>
        <v>0.86064699047735438</v>
      </c>
      <c r="AE44" s="34">
        <f t="shared" si="128"/>
        <v>0.17272266015370308</v>
      </c>
    </row>
    <row r="45" spans="1:31">
      <c r="A45" s="40" t="s">
        <v>5</v>
      </c>
      <c r="B45" s="44">
        <f>B43/B$13</f>
        <v>4.0210143463325819E-2</v>
      </c>
      <c r="C45" s="44">
        <f t="shared" ref="C45:L45" si="129">C43/C$13</f>
        <v>0.11528895391367953</v>
      </c>
      <c r="D45" s="41">
        <f t="shared" si="129"/>
        <v>8.5950929832784833E-3</v>
      </c>
      <c r="E45" s="41">
        <f t="shared" si="129"/>
        <v>-0.65705719557195574</v>
      </c>
      <c r="F45" s="41">
        <f t="shared" si="129"/>
        <v>0.18681150550795594</v>
      </c>
      <c r="G45" s="41">
        <f t="shared" si="129"/>
        <v>0.11994649569890009</v>
      </c>
      <c r="H45" s="41">
        <f t="shared" si="129"/>
        <v>0.12838895756077462</v>
      </c>
      <c r="I45" s="41">
        <f t="shared" si="129"/>
        <v>0.18726475895849456</v>
      </c>
      <c r="J45" s="41">
        <f t="shared" si="129"/>
        <v>0.12519150798861894</v>
      </c>
      <c r="K45" s="41">
        <f t="shared" si="129"/>
        <v>0.19813409701514556</v>
      </c>
      <c r="L45" s="41">
        <f t="shared" si="129"/>
        <v>0.11227549737206982</v>
      </c>
      <c r="M45" s="73">
        <f t="shared" ref="M45:W45" si="130">M43/M$13</f>
        <v>2.0000000000000059E-2</v>
      </c>
      <c r="N45" s="41">
        <f t="shared" si="130"/>
        <v>3.9999999999999848E-2</v>
      </c>
      <c r="O45" s="41">
        <f t="shared" si="130"/>
        <v>0.10999999999999999</v>
      </c>
      <c r="P45" s="41">
        <f t="shared" si="130"/>
        <v>0.11000000000000007</v>
      </c>
      <c r="Q45" s="41">
        <f t="shared" si="130"/>
        <v>0.12999999999999989</v>
      </c>
      <c r="R45" s="41">
        <f t="shared" si="130"/>
        <v>0.15000000000000005</v>
      </c>
      <c r="S45" s="41">
        <f t="shared" si="130"/>
        <v>0.15000000000000005</v>
      </c>
      <c r="T45" s="41">
        <f t="shared" si="130"/>
        <v>0.15000000000000008</v>
      </c>
      <c r="U45" s="41">
        <f t="shared" si="130"/>
        <v>0.15000000000000002</v>
      </c>
      <c r="V45" s="41">
        <f t="shared" si="130"/>
        <v>0.15000000000000008</v>
      </c>
      <c r="W45" s="41">
        <f t="shared" si="130"/>
        <v>0.14999999999999991</v>
      </c>
      <c r="AA45" s="41">
        <f t="shared" ref="AA45:AE45" si="131">AA43/AA$13</f>
        <v>5.0407855502621945E-2</v>
      </c>
      <c r="AB45" s="41">
        <f t="shared" si="131"/>
        <v>0.16603915440808206</v>
      </c>
      <c r="AC45" s="41">
        <f t="shared" si="131"/>
        <v>8.1411935108767375E-2</v>
      </c>
      <c r="AD45" s="41">
        <f t="shared" si="131"/>
        <v>0.13417200924496958</v>
      </c>
      <c r="AE45" s="41">
        <f t="shared" si="131"/>
        <v>0.15000000000000002</v>
      </c>
    </row>
    <row r="46" spans="1:31">
      <c r="A46" s="40"/>
      <c r="B46" s="44"/>
      <c r="C46" s="44"/>
      <c r="D46" s="41"/>
      <c r="E46" s="41"/>
      <c r="F46" s="41"/>
      <c r="G46" s="41"/>
      <c r="H46" s="41"/>
      <c r="I46" s="41"/>
      <c r="J46" s="41"/>
      <c r="K46" s="41"/>
      <c r="L46" s="41"/>
      <c r="M46" s="73"/>
      <c r="N46" s="41"/>
      <c r="O46" s="41"/>
      <c r="P46" s="41"/>
      <c r="Q46" s="41"/>
      <c r="R46" s="41"/>
      <c r="S46" s="41"/>
      <c r="T46" s="41"/>
      <c r="U46" s="41"/>
      <c r="V46" s="41"/>
      <c r="W46" s="41"/>
    </row>
    <row r="47" spans="1:31">
      <c r="A47" s="3" t="s">
        <v>6</v>
      </c>
      <c r="C47" s="3">
        <v>-4.3600000000000003</v>
      </c>
      <c r="D47" s="3">
        <v>-3.26</v>
      </c>
      <c r="E47" s="3">
        <v>-2.2599999999999998</v>
      </c>
      <c r="F47" s="3">
        <v>-1.44</v>
      </c>
      <c r="G47" s="3">
        <v>-1.07</v>
      </c>
      <c r="H47" s="3">
        <v>-1.03</v>
      </c>
      <c r="I47" s="3">
        <v>-1.5</v>
      </c>
      <c r="J47" s="3">
        <v>-0.27</v>
      </c>
      <c r="K47" s="3">
        <v>-0.48</v>
      </c>
      <c r="L47" s="3">
        <v>-2.16</v>
      </c>
      <c r="M47" s="13">
        <v>-2</v>
      </c>
      <c r="N47" s="3">
        <v>-2</v>
      </c>
      <c r="O47" s="3">
        <v>-2</v>
      </c>
      <c r="P47" s="3">
        <v>-2</v>
      </c>
      <c r="Q47" s="3">
        <v>-2</v>
      </c>
      <c r="R47" s="3">
        <v>-2</v>
      </c>
      <c r="S47" s="3">
        <v>-2</v>
      </c>
      <c r="T47" s="3">
        <v>-2</v>
      </c>
      <c r="U47" s="3">
        <v>-2</v>
      </c>
      <c r="V47" s="3">
        <v>-2</v>
      </c>
      <c r="W47" s="3">
        <v>-2</v>
      </c>
      <c r="AA47" s="33">
        <f>SUM(D47:G47)</f>
        <v>-8.0299999999999994</v>
      </c>
      <c r="AB47" s="33">
        <f>SUM(H47:K47)</f>
        <v>-3.2800000000000002</v>
      </c>
      <c r="AC47" s="33">
        <f>SUM(L47:O47)</f>
        <v>-8.16</v>
      </c>
      <c r="AD47" s="33">
        <f>SUM(P47:S47)</f>
        <v>-8</v>
      </c>
      <c r="AE47" s="33">
        <f>SUM(T47:W47)</f>
        <v>-8</v>
      </c>
    </row>
    <row r="48" spans="1:31">
      <c r="A48" s="3" t="s">
        <v>7</v>
      </c>
      <c r="C48" s="3">
        <v>1.04</v>
      </c>
      <c r="D48" s="3">
        <v>0.15</v>
      </c>
      <c r="F48" s="3">
        <v>0.05</v>
      </c>
      <c r="G48" s="3">
        <v>0.05</v>
      </c>
      <c r="I48" s="3">
        <v>0.02</v>
      </c>
      <c r="J48" s="3">
        <v>0.02</v>
      </c>
      <c r="K48" s="3">
        <v>0.02</v>
      </c>
      <c r="AA48" s="33">
        <f>SUM(D48:G48)</f>
        <v>0.25</v>
      </c>
      <c r="AB48" s="33">
        <f>SUM(H48:K48)</f>
        <v>0.06</v>
      </c>
      <c r="AC48" s="33">
        <f>SUM(L48:O48)</f>
        <v>0</v>
      </c>
      <c r="AD48" s="33">
        <f>SUM(P48:S48)</f>
        <v>0</v>
      </c>
      <c r="AE48" s="33">
        <f>SUM(T48:W48)</f>
        <v>0</v>
      </c>
    </row>
    <row r="49" spans="1:31">
      <c r="A49" s="3" t="s">
        <v>8</v>
      </c>
      <c r="B49" s="3">
        <v>-2.19</v>
      </c>
      <c r="C49" s="3">
        <v>0.39</v>
      </c>
      <c r="D49" s="3">
        <v>0.28999999999999998</v>
      </c>
      <c r="E49" s="3">
        <v>-0.02</v>
      </c>
      <c r="F49" s="3">
        <v>-2.59</v>
      </c>
      <c r="G49" s="3">
        <v>-9.0500000000000007</v>
      </c>
      <c r="H49" s="3">
        <v>-10.55</v>
      </c>
      <c r="I49" s="3">
        <v>-0.01</v>
      </c>
      <c r="J49" s="3">
        <v>-0.78</v>
      </c>
      <c r="K49" s="3">
        <v>-1.17</v>
      </c>
      <c r="L49" s="3">
        <v>-0.92</v>
      </c>
      <c r="AA49" s="33">
        <f>SUM(D49:G49)</f>
        <v>-11.370000000000001</v>
      </c>
      <c r="AB49" s="33">
        <f>SUM(H49:K49)</f>
        <v>-12.51</v>
      </c>
      <c r="AC49" s="33">
        <f>SUM(L49:O49)</f>
        <v>-0.92</v>
      </c>
      <c r="AD49" s="33">
        <f>SUM(P49:S49)</f>
        <v>0</v>
      </c>
      <c r="AE49" s="33">
        <f>SUM(T49:W49)</f>
        <v>0</v>
      </c>
    </row>
    <row r="51" spans="1:31">
      <c r="A51" s="3" t="s">
        <v>9</v>
      </c>
      <c r="B51" s="3">
        <v>-0.21</v>
      </c>
      <c r="C51" s="3">
        <v>4.9400000000000004</v>
      </c>
      <c r="D51" s="3">
        <f>SUM(D43,D48,D49)</f>
        <v>0.98999999999999</v>
      </c>
      <c r="E51" s="3">
        <v>-11.41</v>
      </c>
      <c r="F51" s="3">
        <v>9.67</v>
      </c>
      <c r="G51" s="3">
        <v>1.4</v>
      </c>
      <c r="H51" s="3">
        <v>5.0199999999999996</v>
      </c>
      <c r="I51" s="3">
        <v>36.31</v>
      </c>
      <c r="J51" s="3">
        <v>27.85</v>
      </c>
      <c r="K51" s="3">
        <v>59.27</v>
      </c>
      <c r="L51" s="3">
        <v>32.71</v>
      </c>
      <c r="M51" s="71">
        <f t="shared" ref="M51:W51" si="132">M43+M47</f>
        <v>1.6266280000000108</v>
      </c>
      <c r="N51" s="33">
        <f t="shared" si="132"/>
        <v>4.927299999999974</v>
      </c>
      <c r="O51" s="33">
        <f t="shared" si="132"/>
        <v>31.614096999999987</v>
      </c>
      <c r="P51" s="33">
        <f t="shared" si="132"/>
        <v>32.957945000000024</v>
      </c>
      <c r="Q51" s="33">
        <f t="shared" si="132"/>
        <v>28.066562499999975</v>
      </c>
      <c r="R51" s="33">
        <f t="shared" si="132"/>
        <v>32.163358750000015</v>
      </c>
      <c r="S51" s="33">
        <f t="shared" si="132"/>
        <v>45.78096475000001</v>
      </c>
      <c r="T51" s="33">
        <f t="shared" si="132"/>
        <v>48.021126250000037</v>
      </c>
      <c r="U51" s="33">
        <f t="shared" si="132"/>
        <v>34.572788125000017</v>
      </c>
      <c r="V51" s="33">
        <f t="shared" si="132"/>
        <v>33.938399312500025</v>
      </c>
      <c r="W51" s="33">
        <f t="shared" si="132"/>
        <v>47.821364762499968</v>
      </c>
      <c r="AA51" s="33">
        <f>SUM(D51:G51)</f>
        <v>0.64999999999998925</v>
      </c>
      <c r="AB51" s="33">
        <f>SUM(H51:K51)</f>
        <v>128.45000000000002</v>
      </c>
      <c r="AC51" s="33">
        <f>SUM(L51:O51)</f>
        <v>70.87802499999998</v>
      </c>
      <c r="AD51" s="33">
        <f>SUM(P51:S51)</f>
        <v>138.96883100000002</v>
      </c>
      <c r="AE51" s="33">
        <f>SUM(T51:W51)</f>
        <v>164.35367845000005</v>
      </c>
    </row>
    <row r="52" spans="1:31">
      <c r="AA52" s="33"/>
      <c r="AB52" s="33"/>
      <c r="AC52" s="33"/>
      <c r="AD52" s="33"/>
      <c r="AE52" s="33"/>
    </row>
    <row r="53" spans="1:31">
      <c r="A53" s="3" t="s">
        <v>10</v>
      </c>
      <c r="I53" s="3">
        <v>-0.02</v>
      </c>
      <c r="AA53" s="33">
        <f>SUM(D53:G53)</f>
        <v>0</v>
      </c>
      <c r="AB53" s="33">
        <f>SUM(H53:K53)</f>
        <v>-0.02</v>
      </c>
      <c r="AC53" s="33">
        <f>SUM(L53:O53)</f>
        <v>0</v>
      </c>
      <c r="AD53" s="33">
        <f>SUM(P53:S53)</f>
        <v>0</v>
      </c>
      <c r="AE53" s="33">
        <f>SUM(T53:W53)</f>
        <v>0</v>
      </c>
    </row>
    <row r="54" spans="1:31">
      <c r="A54" s="3" t="s">
        <v>11</v>
      </c>
      <c r="E54" s="3">
        <v>5.3</v>
      </c>
      <c r="H54" s="3">
        <v>5.3</v>
      </c>
      <c r="AA54" s="33">
        <f>SUM(D54:G54)</f>
        <v>5.3</v>
      </c>
      <c r="AB54" s="33">
        <f>SUM(H54:K54)</f>
        <v>5.3</v>
      </c>
      <c r="AC54" s="33">
        <f>SUM(L54:O54)</f>
        <v>0</v>
      </c>
      <c r="AD54" s="33">
        <f>SUM(P54:S54)</f>
        <v>0</v>
      </c>
      <c r="AE54" s="33">
        <f>SUM(T54:W54)</f>
        <v>0</v>
      </c>
    </row>
    <row r="56" spans="1:31">
      <c r="A56" s="3" t="s">
        <v>12</v>
      </c>
      <c r="B56" s="3">
        <v>-0.21</v>
      </c>
      <c r="C56" s="3">
        <v>4.9400000000000004</v>
      </c>
      <c r="D56" s="3">
        <f>D51+D53+D54</f>
        <v>0.98999999999999</v>
      </c>
      <c r="E56" s="3">
        <f t="shared" ref="E56:W56" si="133">E51+E53+E54</f>
        <v>-6.11</v>
      </c>
      <c r="F56" s="3">
        <f t="shared" si="133"/>
        <v>9.67</v>
      </c>
      <c r="G56" s="3">
        <f t="shared" si="133"/>
        <v>1.4</v>
      </c>
      <c r="H56" s="3">
        <f t="shared" si="133"/>
        <v>10.32</v>
      </c>
      <c r="I56" s="3">
        <f t="shared" si="133"/>
        <v>36.29</v>
      </c>
      <c r="J56" s="3">
        <f t="shared" si="133"/>
        <v>27.85</v>
      </c>
      <c r="K56" s="3">
        <f t="shared" si="133"/>
        <v>59.27</v>
      </c>
      <c r="L56" s="3">
        <f t="shared" si="133"/>
        <v>32.71</v>
      </c>
      <c r="M56" s="71">
        <f t="shared" si="133"/>
        <v>1.6266280000000108</v>
      </c>
      <c r="N56" s="33">
        <f t="shared" si="133"/>
        <v>4.927299999999974</v>
      </c>
      <c r="O56" s="33">
        <f t="shared" si="133"/>
        <v>31.614096999999987</v>
      </c>
      <c r="P56" s="33">
        <f t="shared" si="133"/>
        <v>32.957945000000024</v>
      </c>
      <c r="Q56" s="33">
        <f t="shared" si="133"/>
        <v>28.066562499999975</v>
      </c>
      <c r="R56" s="33">
        <f t="shared" si="133"/>
        <v>32.163358750000015</v>
      </c>
      <c r="S56" s="33">
        <f t="shared" si="133"/>
        <v>45.78096475000001</v>
      </c>
      <c r="T56" s="33">
        <f t="shared" si="133"/>
        <v>48.021126250000037</v>
      </c>
      <c r="U56" s="33">
        <f t="shared" si="133"/>
        <v>34.572788125000017</v>
      </c>
      <c r="V56" s="33">
        <f t="shared" si="133"/>
        <v>33.938399312500025</v>
      </c>
      <c r="W56" s="33">
        <f t="shared" si="133"/>
        <v>47.821364762499968</v>
      </c>
      <c r="AA56" s="33">
        <f>SUM(D56:G56)</f>
        <v>5.9499999999999904</v>
      </c>
      <c r="AB56" s="33">
        <f>SUM(H56:K56)</f>
        <v>133.73000000000002</v>
      </c>
      <c r="AC56" s="33">
        <f>SUM(L56:O56)</f>
        <v>70.87802499999998</v>
      </c>
      <c r="AD56" s="33">
        <f>SUM(P56:S56)</f>
        <v>138.96883100000002</v>
      </c>
      <c r="AE56" s="33">
        <f>SUM(T56:W56)</f>
        <v>164.35367845000005</v>
      </c>
    </row>
    <row r="57" spans="1:31">
      <c r="M57" s="71"/>
      <c r="N57" s="33"/>
      <c r="O57" s="33"/>
      <c r="P57" s="33"/>
      <c r="Q57" s="33"/>
      <c r="R57" s="33"/>
      <c r="S57" s="33"/>
      <c r="T57" s="33"/>
      <c r="U57" s="33"/>
      <c r="V57" s="33"/>
      <c r="W57" s="33"/>
    </row>
    <row r="58" spans="1:31">
      <c r="A58" s="3" t="s">
        <v>13</v>
      </c>
      <c r="C58" s="3">
        <v>-7.0000000000000007E-2</v>
      </c>
      <c r="G58" s="3">
        <v>-0.37</v>
      </c>
      <c r="H58" s="3">
        <v>-0.22</v>
      </c>
      <c r="I58" s="3">
        <v>0.99</v>
      </c>
      <c r="J58" s="3">
        <v>1.27</v>
      </c>
      <c r="K58" s="3">
        <v>-0.32</v>
      </c>
      <c r="L58" s="3">
        <v>-0.02</v>
      </c>
      <c r="M58" s="71">
        <f>M56*M59</f>
        <v>0.32532560000000221</v>
      </c>
      <c r="N58" s="33">
        <f t="shared" ref="N58:W58" si="134">N56*N59</f>
        <v>0.9854599999999949</v>
      </c>
      <c r="O58" s="33">
        <f t="shared" si="134"/>
        <v>6.3228193999999975</v>
      </c>
      <c r="P58" s="33">
        <f t="shared" si="134"/>
        <v>6.5915890000000052</v>
      </c>
      <c r="Q58" s="33">
        <f t="shared" si="134"/>
        <v>5.6133124999999957</v>
      </c>
      <c r="R58" s="33">
        <f t="shared" si="134"/>
        <v>6.4326717500000035</v>
      </c>
      <c r="S58" s="33">
        <f t="shared" si="134"/>
        <v>9.156192950000003</v>
      </c>
      <c r="T58" s="33">
        <f t="shared" si="134"/>
        <v>9.6042252500000078</v>
      </c>
      <c r="U58" s="33">
        <f t="shared" si="134"/>
        <v>6.914557625000004</v>
      </c>
      <c r="V58" s="33">
        <f t="shared" si="134"/>
        <v>6.7876798625000054</v>
      </c>
      <c r="W58" s="33">
        <f t="shared" si="134"/>
        <v>9.5642729524999943</v>
      </c>
      <c r="AA58" s="33">
        <f>SUM(D58:G58)</f>
        <v>-0.37</v>
      </c>
      <c r="AB58" s="33">
        <f>SUM(H58:K58)</f>
        <v>1.72</v>
      </c>
      <c r="AC58" s="33">
        <f>SUM(L58:O58)</f>
        <v>7.6136049999999944</v>
      </c>
      <c r="AD58" s="33">
        <f>SUM(P58:S58)</f>
        <v>27.793766200000007</v>
      </c>
      <c r="AE58" s="33">
        <f>SUM(T58:W58)</f>
        <v>32.870735690000018</v>
      </c>
    </row>
    <row r="59" spans="1:31">
      <c r="A59" s="3" t="s">
        <v>181</v>
      </c>
      <c r="G59" s="34">
        <f>-G58/G56</f>
        <v>0.26428571428571429</v>
      </c>
      <c r="H59" s="34">
        <f t="shared" ref="H59:L59" si="135">-H58/H56</f>
        <v>2.1317829457364341E-2</v>
      </c>
      <c r="I59" s="34">
        <f t="shared" si="135"/>
        <v>-2.7280242491044365E-2</v>
      </c>
      <c r="J59" s="34">
        <f t="shared" si="135"/>
        <v>-4.5601436265709151E-2</v>
      </c>
      <c r="K59" s="34">
        <f t="shared" si="135"/>
        <v>5.3990214273662894E-3</v>
      </c>
      <c r="L59" s="34">
        <f t="shared" si="135"/>
        <v>6.1143381228981959E-4</v>
      </c>
      <c r="M59" s="77">
        <v>0.2</v>
      </c>
      <c r="N59" s="49">
        <v>0.2</v>
      </c>
      <c r="O59" s="49">
        <v>0.2</v>
      </c>
      <c r="P59" s="49">
        <v>0.2</v>
      </c>
      <c r="Q59" s="49">
        <v>0.2</v>
      </c>
      <c r="R59" s="49">
        <v>0.2</v>
      </c>
      <c r="S59" s="49">
        <v>0.2</v>
      </c>
      <c r="T59" s="49">
        <v>0.2</v>
      </c>
      <c r="U59" s="49">
        <v>0.2</v>
      </c>
      <c r="V59" s="49">
        <v>0.2</v>
      </c>
      <c r="W59" s="49">
        <v>0.2</v>
      </c>
      <c r="AA59" s="33"/>
      <c r="AB59" s="33"/>
      <c r="AC59" s="33"/>
      <c r="AD59" s="33"/>
      <c r="AE59" s="33"/>
    </row>
    <row r="60" spans="1:31">
      <c r="M60" s="71"/>
      <c r="N60" s="33"/>
      <c r="O60" s="33"/>
      <c r="P60" s="33"/>
      <c r="Q60" s="33"/>
      <c r="R60" s="33"/>
      <c r="S60" s="33"/>
      <c r="T60" s="33"/>
      <c r="U60" s="33"/>
      <c r="V60" s="33"/>
      <c r="W60" s="33"/>
    </row>
    <row r="61" spans="1:31">
      <c r="A61" s="3" t="s">
        <v>14</v>
      </c>
      <c r="B61" s="3">
        <v>-0.21</v>
      </c>
      <c r="C61" s="3">
        <v>4.87</v>
      </c>
      <c r="D61" s="3">
        <f t="shared" ref="D61:K61" si="136">D56+D58</f>
        <v>0.98999999999999</v>
      </c>
      <c r="E61" s="3">
        <f t="shared" si="136"/>
        <v>-6.11</v>
      </c>
      <c r="F61" s="3">
        <f t="shared" si="136"/>
        <v>9.67</v>
      </c>
      <c r="G61" s="3">
        <f t="shared" si="136"/>
        <v>1.0299999999999998</v>
      </c>
      <c r="H61" s="3">
        <f t="shared" si="136"/>
        <v>10.1</v>
      </c>
      <c r="I61" s="3">
        <f t="shared" si="136"/>
        <v>37.28</v>
      </c>
      <c r="J61" s="3">
        <f t="shared" si="136"/>
        <v>29.12</v>
      </c>
      <c r="K61" s="3">
        <f t="shared" si="136"/>
        <v>58.95</v>
      </c>
      <c r="L61" s="3">
        <f>L56+L58</f>
        <v>32.69</v>
      </c>
      <c r="M61" s="71">
        <f t="shared" ref="M61:W61" si="137">M56+M58</f>
        <v>1.9519536000000131</v>
      </c>
      <c r="N61" s="33">
        <f t="shared" si="137"/>
        <v>5.9127599999999685</v>
      </c>
      <c r="O61" s="33">
        <f t="shared" si="137"/>
        <v>37.936916399999987</v>
      </c>
      <c r="P61" s="33">
        <f t="shared" si="137"/>
        <v>39.54953400000003</v>
      </c>
      <c r="Q61" s="33">
        <f t="shared" si="137"/>
        <v>33.679874999999967</v>
      </c>
      <c r="R61" s="33">
        <f t="shared" si="137"/>
        <v>38.596030500000019</v>
      </c>
      <c r="S61" s="33">
        <f t="shared" si="137"/>
        <v>54.937157700000014</v>
      </c>
      <c r="T61" s="33">
        <f t="shared" si="137"/>
        <v>57.625351500000043</v>
      </c>
      <c r="U61" s="33">
        <f t="shared" si="137"/>
        <v>41.487345750000017</v>
      </c>
      <c r="V61" s="33">
        <f t="shared" si="137"/>
        <v>40.726079175000031</v>
      </c>
      <c r="W61" s="33">
        <f t="shared" si="137"/>
        <v>57.385637714999959</v>
      </c>
      <c r="AA61" s="33">
        <f>SUM(D61:G61)</f>
        <v>5.5799999999999894</v>
      </c>
      <c r="AB61" s="33">
        <f>SUM(H61:K61)</f>
        <v>135.44999999999999</v>
      </c>
      <c r="AC61" s="33">
        <f>SUM(L61:O61)</f>
        <v>78.491629999999958</v>
      </c>
      <c r="AD61" s="33">
        <f>SUM(P61:S61)</f>
        <v>166.76259720000002</v>
      </c>
      <c r="AE61" s="33">
        <f>SUM(T61:W61)</f>
        <v>197.22441414000002</v>
      </c>
    </row>
    <row r="62" spans="1:31">
      <c r="M62" s="71"/>
      <c r="N62" s="33"/>
      <c r="O62" s="33"/>
      <c r="P62" s="33"/>
      <c r="Q62" s="33"/>
      <c r="R62" s="33"/>
      <c r="S62" s="33"/>
      <c r="T62" s="33"/>
      <c r="U62" s="33"/>
      <c r="V62" s="33"/>
      <c r="W62" s="33"/>
    </row>
    <row r="63" spans="1:31" s="31" customFormat="1">
      <c r="A63" s="29" t="s">
        <v>15</v>
      </c>
      <c r="B63" s="31">
        <v>-0.21</v>
      </c>
      <c r="C63" s="31">
        <v>4.87</v>
      </c>
      <c r="D63" s="31">
        <f>D56+D58</f>
        <v>0.98999999999999</v>
      </c>
      <c r="E63" s="31">
        <f t="shared" ref="E63:W63" si="138">E56+E58</f>
        <v>-6.11</v>
      </c>
      <c r="F63" s="31">
        <f t="shared" si="138"/>
        <v>9.67</v>
      </c>
      <c r="G63" s="31">
        <f t="shared" si="138"/>
        <v>1.0299999999999998</v>
      </c>
      <c r="H63" s="31">
        <f t="shared" si="138"/>
        <v>10.1</v>
      </c>
      <c r="I63" s="31">
        <f t="shared" si="138"/>
        <v>37.28</v>
      </c>
      <c r="J63" s="31">
        <f t="shared" si="138"/>
        <v>29.12</v>
      </c>
      <c r="K63" s="31">
        <f t="shared" si="138"/>
        <v>58.95</v>
      </c>
      <c r="L63" s="31">
        <f t="shared" si="138"/>
        <v>32.69</v>
      </c>
      <c r="M63" s="76">
        <f t="shared" si="138"/>
        <v>1.9519536000000131</v>
      </c>
      <c r="N63" s="30">
        <f t="shared" si="138"/>
        <v>5.9127599999999685</v>
      </c>
      <c r="O63" s="30">
        <f t="shared" si="138"/>
        <v>37.936916399999987</v>
      </c>
      <c r="P63" s="30">
        <f t="shared" si="138"/>
        <v>39.54953400000003</v>
      </c>
      <c r="Q63" s="30">
        <f t="shared" si="138"/>
        <v>33.679874999999967</v>
      </c>
      <c r="R63" s="30">
        <f t="shared" si="138"/>
        <v>38.596030500000019</v>
      </c>
      <c r="S63" s="30">
        <f t="shared" si="138"/>
        <v>54.937157700000014</v>
      </c>
      <c r="T63" s="30">
        <f t="shared" si="138"/>
        <v>57.625351500000043</v>
      </c>
      <c r="U63" s="30">
        <f t="shared" si="138"/>
        <v>41.487345750000017</v>
      </c>
      <c r="V63" s="30">
        <f t="shared" si="138"/>
        <v>40.726079175000031</v>
      </c>
      <c r="W63" s="30">
        <f t="shared" si="138"/>
        <v>57.385637714999959</v>
      </c>
      <c r="AA63" s="30">
        <f>SUM(D63:G63)</f>
        <v>5.5799999999999894</v>
      </c>
      <c r="AB63" s="30">
        <f>SUM(H63:K63)</f>
        <v>135.44999999999999</v>
      </c>
      <c r="AC63" s="30">
        <f>SUM(L63:O63)</f>
        <v>78.491629999999958</v>
      </c>
      <c r="AD63" s="30">
        <f>SUM(P63:S63)</f>
        <v>166.76259720000002</v>
      </c>
      <c r="AE63" s="30">
        <f>SUM(T63:W63)</f>
        <v>197.22441414000002</v>
      </c>
    </row>
    <row r="65" spans="1:31">
      <c r="A65" s="3" t="s">
        <v>16</v>
      </c>
      <c r="B65" s="3">
        <v>-0.12</v>
      </c>
      <c r="C65" s="3">
        <v>1.19</v>
      </c>
      <c r="D65" s="3">
        <v>0.49</v>
      </c>
      <c r="E65" s="3">
        <v>-0.08</v>
      </c>
      <c r="AA65" s="33">
        <f>SUM(D65:G65)</f>
        <v>0.41</v>
      </c>
      <c r="AB65" s="33">
        <f>SUM(H65:K65)</f>
        <v>0</v>
      </c>
      <c r="AC65" s="33">
        <f>SUM(L65:O65)</f>
        <v>0</v>
      </c>
      <c r="AD65" s="33">
        <f>SUM(P65:S65)</f>
        <v>0</v>
      </c>
      <c r="AE65" s="33">
        <f>SUM(T65:W65)</f>
        <v>0</v>
      </c>
    </row>
    <row r="67" spans="1:31" s="31" customFormat="1">
      <c r="A67" s="29" t="s">
        <v>17</v>
      </c>
      <c r="B67" s="31">
        <v>-0.32</v>
      </c>
      <c r="C67" s="31">
        <v>6.05</v>
      </c>
      <c r="D67" s="31">
        <f>D63+D65</f>
        <v>1.47999999999999</v>
      </c>
      <c r="E67" s="31">
        <f t="shared" ref="E67:W67" si="139">E63+E65</f>
        <v>-6.19</v>
      </c>
      <c r="F67" s="31">
        <f t="shared" si="139"/>
        <v>9.67</v>
      </c>
      <c r="G67" s="31">
        <f t="shared" si="139"/>
        <v>1.0299999999999998</v>
      </c>
      <c r="H67" s="31">
        <f t="shared" si="139"/>
        <v>10.1</v>
      </c>
      <c r="I67" s="31">
        <f t="shared" si="139"/>
        <v>37.28</v>
      </c>
      <c r="J67" s="31">
        <f t="shared" si="139"/>
        <v>29.12</v>
      </c>
      <c r="K67" s="31">
        <f t="shared" si="139"/>
        <v>58.95</v>
      </c>
      <c r="L67" s="30">
        <f t="shared" si="139"/>
        <v>32.69</v>
      </c>
      <c r="M67" s="76">
        <f t="shared" si="139"/>
        <v>1.9519536000000131</v>
      </c>
      <c r="N67" s="30">
        <f t="shared" si="139"/>
        <v>5.9127599999999685</v>
      </c>
      <c r="O67" s="30">
        <f t="shared" si="139"/>
        <v>37.936916399999987</v>
      </c>
      <c r="P67" s="30">
        <f t="shared" si="139"/>
        <v>39.54953400000003</v>
      </c>
      <c r="Q67" s="30">
        <f t="shared" si="139"/>
        <v>33.679874999999967</v>
      </c>
      <c r="R67" s="30">
        <f t="shared" si="139"/>
        <v>38.596030500000019</v>
      </c>
      <c r="S67" s="30">
        <f t="shared" si="139"/>
        <v>54.937157700000014</v>
      </c>
      <c r="T67" s="30">
        <f t="shared" si="139"/>
        <v>57.625351500000043</v>
      </c>
      <c r="U67" s="30">
        <f t="shared" si="139"/>
        <v>41.487345750000017</v>
      </c>
      <c r="V67" s="30">
        <f t="shared" si="139"/>
        <v>40.726079175000031</v>
      </c>
      <c r="W67" s="30">
        <f t="shared" si="139"/>
        <v>57.385637714999959</v>
      </c>
      <c r="AA67" s="30">
        <f>SUM(D67:G67)</f>
        <v>5.9899999999999896</v>
      </c>
      <c r="AB67" s="30">
        <f>SUM(H67:K67)</f>
        <v>135.44999999999999</v>
      </c>
      <c r="AC67" s="30">
        <f>SUM(L67:O67)</f>
        <v>78.491629999999958</v>
      </c>
      <c r="AD67" s="30">
        <f>SUM(P67:S67)</f>
        <v>166.76259720000002</v>
      </c>
      <c r="AE67" s="30">
        <f>SUM(T67:W67)</f>
        <v>197.22441414000002</v>
      </c>
    </row>
    <row r="69" spans="1:31">
      <c r="A69" s="3" t="s">
        <v>18</v>
      </c>
      <c r="D69" s="3">
        <v>-1.48</v>
      </c>
      <c r="E69" s="3">
        <v>2.98</v>
      </c>
      <c r="F69" s="3">
        <v>-7.93</v>
      </c>
      <c r="G69" s="3">
        <v>-1.03</v>
      </c>
      <c r="AA69" s="33">
        <f>SUM(D69:G69)</f>
        <v>-7.46</v>
      </c>
      <c r="AB69" s="33">
        <f>SUM(H69:K69)</f>
        <v>0</v>
      </c>
      <c r="AC69" s="33">
        <f>SUM(L69:O69)</f>
        <v>0</v>
      </c>
      <c r="AD69" s="33">
        <f>SUM(P69:S69)</f>
        <v>0</v>
      </c>
      <c r="AE69" s="33">
        <f>SUM(T69:W69)</f>
        <v>0</v>
      </c>
    </row>
    <row r="71" spans="1:31">
      <c r="A71" s="3" t="s">
        <v>184</v>
      </c>
      <c r="B71" s="3">
        <v>-0.32</v>
      </c>
      <c r="C71" s="3">
        <v>6.05</v>
      </c>
      <c r="D71" s="3">
        <f>D67</f>
        <v>1.47999999999999</v>
      </c>
      <c r="E71" s="3">
        <v>-3.22</v>
      </c>
      <c r="F71" s="3">
        <v>1.74</v>
      </c>
      <c r="G71" s="3">
        <v>1.03</v>
      </c>
      <c r="H71" s="3">
        <v>10.1</v>
      </c>
      <c r="I71" s="3">
        <v>37.28</v>
      </c>
      <c r="J71" s="3">
        <v>29.11</v>
      </c>
      <c r="K71" s="3">
        <v>58.94</v>
      </c>
      <c r="L71" s="3">
        <v>32.69</v>
      </c>
      <c r="M71" s="13">
        <v>33.69</v>
      </c>
      <c r="N71" s="3">
        <v>34.69</v>
      </c>
      <c r="O71" s="3">
        <v>35.69</v>
      </c>
      <c r="P71" s="3">
        <v>36.69</v>
      </c>
      <c r="Q71" s="3">
        <v>37.69</v>
      </c>
      <c r="R71" s="3">
        <v>38.69</v>
      </c>
      <c r="S71" s="3">
        <v>39.69</v>
      </c>
      <c r="T71" s="3">
        <v>40.69</v>
      </c>
      <c r="U71" s="3">
        <v>41.69</v>
      </c>
      <c r="V71" s="3">
        <v>42.69</v>
      </c>
      <c r="W71" s="3">
        <v>43.69</v>
      </c>
      <c r="AA71" s="33">
        <f>SUM(D71:G71)</f>
        <v>1.0299999999999898</v>
      </c>
      <c r="AB71" s="33">
        <f>SUM(H71:K71)</f>
        <v>135.43</v>
      </c>
      <c r="AC71" s="33">
        <f>SUM(L71:O71)</f>
        <v>136.76</v>
      </c>
      <c r="AD71" s="33">
        <f>SUM(P71:S71)</f>
        <v>152.76</v>
      </c>
      <c r="AE71" s="33">
        <f>SUM(T71:W71)</f>
        <v>168.76</v>
      </c>
    </row>
    <row r="72" spans="1:31">
      <c r="A72" s="40" t="s">
        <v>183</v>
      </c>
      <c r="B72" s="44">
        <v>-7.0000000000000001E-3</v>
      </c>
      <c r="C72" s="44">
        <v>0.09</v>
      </c>
      <c r="D72" s="41">
        <f t="shared" ref="D72:W72" si="140">D71/D13</f>
        <v>2.3128613845913269E-2</v>
      </c>
      <c r="E72" s="41">
        <f t="shared" si="140"/>
        <v>-0.1856549815498155</v>
      </c>
      <c r="F72" s="41">
        <f t="shared" si="140"/>
        <v>2.6621787025703794E-2</v>
      </c>
      <c r="G72" s="41">
        <f t="shared" si="140"/>
        <v>1.1877032356264845E-2</v>
      </c>
      <c r="H72" s="41">
        <f t="shared" si="140"/>
        <v>8.3230325504738356E-2</v>
      </c>
      <c r="I72" s="41">
        <f t="shared" si="140"/>
        <v>0.19221448827017271</v>
      </c>
      <c r="J72" s="41">
        <f t="shared" si="140"/>
        <v>0.12742394397023418</v>
      </c>
      <c r="K72" s="41">
        <f t="shared" si="140"/>
        <v>0.19334796400723009</v>
      </c>
      <c r="L72" s="41">
        <f t="shared" si="140"/>
        <v>0.10540740979589203</v>
      </c>
      <c r="M72" s="73">
        <f t="shared" si="140"/>
        <v>0.18579242205155863</v>
      </c>
      <c r="N72" s="41">
        <f t="shared" si="140"/>
        <v>0.20030892266828343</v>
      </c>
      <c r="O72" s="41">
        <f t="shared" si="140"/>
        <v>0.11679326087504301</v>
      </c>
      <c r="P72" s="41">
        <f t="shared" si="140"/>
        <v>0.11545015017330107</v>
      </c>
      <c r="Q72" s="41">
        <f t="shared" si="140"/>
        <v>0.16296176192406431</v>
      </c>
      <c r="R72" s="41">
        <f t="shared" si="140"/>
        <v>0.16987498338406201</v>
      </c>
      <c r="S72" s="41">
        <f t="shared" si="140"/>
        <v>0.1245998282192492</v>
      </c>
      <c r="T72" s="41">
        <f t="shared" si="140"/>
        <v>0.12201844415688258</v>
      </c>
      <c r="U72" s="41">
        <f t="shared" si="140"/>
        <v>0.17098778410403181</v>
      </c>
      <c r="V72" s="41">
        <f t="shared" si="140"/>
        <v>0.17817988899056922</v>
      </c>
      <c r="W72" s="41">
        <f t="shared" si="140"/>
        <v>0.1315399534163855</v>
      </c>
    </row>
    <row r="73" spans="1:31">
      <c r="A73" s="40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</row>
    <row r="74" spans="1:31">
      <c r="A74" s="3" t="s">
        <v>20</v>
      </c>
      <c r="B74" s="3">
        <v>14.31</v>
      </c>
      <c r="C74" s="3">
        <v>14.4</v>
      </c>
      <c r="D74" s="3">
        <v>14.63</v>
      </c>
      <c r="E74" s="3">
        <v>14.66</v>
      </c>
      <c r="F74" s="3">
        <v>26.75</v>
      </c>
      <c r="G74" s="3">
        <v>26</v>
      </c>
      <c r="H74" s="3">
        <v>91.45</v>
      </c>
      <c r="I74" s="3">
        <v>94.8</v>
      </c>
      <c r="J74" s="3">
        <v>96.06</v>
      </c>
      <c r="K74" s="3">
        <v>98.8</v>
      </c>
      <c r="L74" s="3">
        <v>95.46</v>
      </c>
      <c r="M74" s="78">
        <v>92</v>
      </c>
      <c r="N74" s="68">
        <v>90</v>
      </c>
      <c r="O74" s="68">
        <v>89</v>
      </c>
      <c r="P74" s="68">
        <v>91</v>
      </c>
      <c r="Q74" s="68">
        <v>94</v>
      </c>
      <c r="R74" s="68">
        <v>96</v>
      </c>
      <c r="S74" s="68">
        <f>R74+2</f>
        <v>98</v>
      </c>
      <c r="T74" s="68">
        <f t="shared" ref="T74:W74" si="141">S74+2</f>
        <v>100</v>
      </c>
      <c r="U74" s="68">
        <f t="shared" si="141"/>
        <v>102</v>
      </c>
      <c r="V74" s="68">
        <f t="shared" si="141"/>
        <v>104</v>
      </c>
      <c r="W74" s="68">
        <f t="shared" si="141"/>
        <v>106</v>
      </c>
    </row>
    <row r="75" spans="1:31">
      <c r="A75" s="40" t="s">
        <v>1</v>
      </c>
      <c r="B75" s="40"/>
      <c r="C75" s="40"/>
      <c r="D75" s="40"/>
      <c r="E75" s="40"/>
      <c r="F75" s="41"/>
      <c r="G75" s="41"/>
      <c r="H75" s="41">
        <f>H74/D74-1</f>
        <v>5.2508544087491451</v>
      </c>
      <c r="I75" s="41">
        <f t="shared" ref="I75" si="142">I74/E74-1</f>
        <v>5.4665757162346518</v>
      </c>
      <c r="J75" s="41">
        <f t="shared" ref="J75" si="143">J74/F74-1</f>
        <v>2.5910280373831776</v>
      </c>
      <c r="K75" s="41">
        <f t="shared" ref="K75" si="144">K74/G74-1</f>
        <v>2.8</v>
      </c>
      <c r="L75" s="41">
        <f t="shared" ref="L75" si="145">L74/H74-1</f>
        <v>4.3849097867687092E-2</v>
      </c>
      <c r="M75" s="73">
        <f t="shared" ref="M75" si="146">M74/I74-1</f>
        <v>-2.9535864978902926E-2</v>
      </c>
      <c r="N75" s="41">
        <f t="shared" ref="N75" si="147">N74/J74-1</f>
        <v>-6.3085571517801364E-2</v>
      </c>
      <c r="O75" s="41">
        <f t="shared" ref="O75" si="148">O74/K74-1</f>
        <v>-9.9190283400809709E-2</v>
      </c>
      <c r="P75" s="41">
        <f t="shared" ref="P75" si="149">P74/L74-1</f>
        <v>-4.6721139744395512E-2</v>
      </c>
      <c r="Q75" s="41">
        <f t="shared" ref="Q75" si="150">Q74/M74-1</f>
        <v>2.1739130434782705E-2</v>
      </c>
      <c r="R75" s="41">
        <f t="shared" ref="R75" si="151">R74/N74-1</f>
        <v>6.6666666666666652E-2</v>
      </c>
      <c r="S75" s="41">
        <f t="shared" ref="S75" si="152">S74/O74-1</f>
        <v>0.101123595505618</v>
      </c>
      <c r="T75" s="41">
        <f t="shared" ref="T75" si="153">T74/P74-1</f>
        <v>9.8901098901098994E-2</v>
      </c>
      <c r="U75" s="41">
        <f t="shared" ref="U75" si="154">U74/Q74-1</f>
        <v>8.5106382978723305E-2</v>
      </c>
      <c r="V75" s="41">
        <f t="shared" ref="V75" si="155">V74/R74-1</f>
        <v>8.3333333333333259E-2</v>
      </c>
      <c r="W75" s="41">
        <f t="shared" ref="W75" si="156">W74/S74-1</f>
        <v>8.163265306122458E-2</v>
      </c>
    </row>
    <row r="76" spans="1:31">
      <c r="A76" s="40"/>
      <c r="B76" s="40"/>
      <c r="C76" s="40"/>
      <c r="D76" s="40"/>
      <c r="E76" s="40"/>
      <c r="F76" s="44"/>
      <c r="G76" s="44"/>
      <c r="H76" s="44"/>
      <c r="I76" s="44"/>
      <c r="J76" s="44"/>
      <c r="K76" s="44"/>
      <c r="L76" s="44"/>
      <c r="M76" s="78"/>
      <c r="N76" s="68"/>
      <c r="O76" s="68"/>
      <c r="P76" s="68"/>
      <c r="Q76" s="68"/>
      <c r="R76" s="68"/>
      <c r="S76" s="68"/>
      <c r="T76" s="68"/>
      <c r="U76" s="68"/>
      <c r="V76" s="68"/>
      <c r="W76" s="68"/>
    </row>
    <row r="77" spans="1:31">
      <c r="A77" s="3" t="s">
        <v>21</v>
      </c>
      <c r="B77" s="3">
        <v>14.31</v>
      </c>
      <c r="C77" s="3">
        <v>14.4</v>
      </c>
      <c r="D77" s="3">
        <v>14.63</v>
      </c>
      <c r="E77" s="3">
        <v>14.66</v>
      </c>
      <c r="F77" s="3">
        <v>14.71</v>
      </c>
      <c r="G77" s="3">
        <v>26</v>
      </c>
      <c r="H77" s="3">
        <v>73.63</v>
      </c>
      <c r="I77" s="3">
        <v>76.67</v>
      </c>
      <c r="J77" s="3">
        <v>79.39</v>
      </c>
      <c r="K77" s="3">
        <v>82.62</v>
      </c>
      <c r="L77" s="3">
        <v>84.23</v>
      </c>
      <c r="M77" s="71">
        <f>L77</f>
        <v>84.23</v>
      </c>
      <c r="N77" s="33">
        <f>M77</f>
        <v>84.23</v>
      </c>
      <c r="O77" s="33">
        <f t="shared" ref="O77:W77" si="157">N77</f>
        <v>84.23</v>
      </c>
      <c r="P77" s="33">
        <f t="shared" si="157"/>
        <v>84.23</v>
      </c>
      <c r="Q77" s="33">
        <f t="shared" si="157"/>
        <v>84.23</v>
      </c>
      <c r="R77" s="33">
        <f t="shared" si="157"/>
        <v>84.23</v>
      </c>
      <c r="S77" s="33">
        <f t="shared" si="157"/>
        <v>84.23</v>
      </c>
      <c r="T77" s="33">
        <f t="shared" si="157"/>
        <v>84.23</v>
      </c>
      <c r="U77" s="33">
        <f t="shared" si="157"/>
        <v>84.23</v>
      </c>
      <c r="V77" s="33">
        <f t="shared" si="157"/>
        <v>84.23</v>
      </c>
      <c r="W77" s="33">
        <f t="shared" si="157"/>
        <v>84.23</v>
      </c>
    </row>
    <row r="78" spans="1:31">
      <c r="A78" s="40" t="s">
        <v>1</v>
      </c>
      <c r="B78" s="40"/>
      <c r="C78" s="40"/>
      <c r="D78" s="40"/>
      <c r="E78" s="40"/>
      <c r="F78" s="41"/>
      <c r="G78" s="41"/>
      <c r="H78" s="41">
        <f>H77/D77-1</f>
        <v>4.0328092959671897</v>
      </c>
      <c r="I78" s="41">
        <f t="shared" ref="I78:L78" si="158">I77/E77-1</f>
        <v>4.2298772169167806</v>
      </c>
      <c r="J78" s="41">
        <f t="shared" si="158"/>
        <v>4.397008837525493</v>
      </c>
      <c r="K78" s="41">
        <f t="shared" si="158"/>
        <v>2.177692307692308</v>
      </c>
      <c r="L78" s="41">
        <f t="shared" si="158"/>
        <v>0.14396305853592306</v>
      </c>
      <c r="M78" s="73">
        <f t="shared" ref="M78" si="159">M77/I77-1</f>
        <v>9.8604408503978114E-2</v>
      </c>
      <c r="N78" s="41">
        <f t="shared" ref="N78" si="160">N77/J77-1</f>
        <v>6.0964857034891073E-2</v>
      </c>
      <c r="O78" s="41">
        <f t="shared" ref="O78" si="161">O77/K77-1</f>
        <v>1.9486807068506362E-2</v>
      </c>
      <c r="P78" s="41">
        <f t="shared" ref="P78" si="162">P77/L77-1</f>
        <v>0</v>
      </c>
      <c r="Q78" s="41">
        <f t="shared" ref="Q78" si="163">Q77/M77-1</f>
        <v>0</v>
      </c>
      <c r="R78" s="41">
        <f t="shared" ref="R78" si="164">R77/N77-1</f>
        <v>0</v>
      </c>
      <c r="S78" s="41">
        <f t="shared" ref="S78" si="165">S77/O77-1</f>
        <v>0</v>
      </c>
      <c r="T78" s="41">
        <f t="shared" ref="T78" si="166">T77/P77-1</f>
        <v>0</v>
      </c>
      <c r="U78" s="41">
        <f t="shared" ref="U78" si="167">U77/Q77-1</f>
        <v>0</v>
      </c>
      <c r="V78" s="41">
        <f t="shared" ref="V78" si="168">V77/R77-1</f>
        <v>0</v>
      </c>
      <c r="W78" s="41">
        <f t="shared" ref="W78" si="169">W77/S77-1</f>
        <v>0</v>
      </c>
    </row>
    <row r="79" spans="1:31">
      <c r="A79" s="40"/>
      <c r="B79" s="40"/>
      <c r="C79" s="40"/>
      <c r="D79" s="40"/>
      <c r="E79" s="40"/>
      <c r="F79" s="44"/>
      <c r="G79" s="44"/>
      <c r="H79" s="44"/>
      <c r="I79" s="44"/>
      <c r="J79" s="44"/>
      <c r="K79" s="44"/>
      <c r="L79" s="44"/>
    </row>
    <row r="80" spans="1:31">
      <c r="A80" s="3" t="s">
        <v>22</v>
      </c>
      <c r="B80" s="3">
        <v>-0.02</v>
      </c>
      <c r="C80" s="3">
        <v>0.42</v>
      </c>
      <c r="D80" s="33">
        <f>D71/D77</f>
        <v>0.10116199589883731</v>
      </c>
      <c r="E80" s="33">
        <f t="shared" ref="E80:L80" si="170">E71/E77</f>
        <v>-0.21964529331514326</v>
      </c>
      <c r="F80" s="33">
        <f t="shared" si="170"/>
        <v>0.11828687967369136</v>
      </c>
      <c r="G80" s="33">
        <f t="shared" si="170"/>
        <v>3.9615384615384615E-2</v>
      </c>
      <c r="H80" s="33">
        <f t="shared" si="170"/>
        <v>0.13717234822762461</v>
      </c>
      <c r="I80" s="33">
        <f t="shared" si="170"/>
        <v>0.48623972870744753</v>
      </c>
      <c r="J80" s="33">
        <f t="shared" si="170"/>
        <v>0.36667086534828064</v>
      </c>
      <c r="K80" s="33">
        <f t="shared" si="170"/>
        <v>0.71338658920358256</v>
      </c>
      <c r="L80" s="33">
        <f t="shared" si="170"/>
        <v>0.38810400094978031</v>
      </c>
      <c r="M80" s="71">
        <f t="shared" ref="M80:W80" si="171">M71/M77</f>
        <v>0.3999762554909177</v>
      </c>
      <c r="N80" s="33">
        <f t="shared" si="171"/>
        <v>0.41184851003205503</v>
      </c>
      <c r="O80" s="33">
        <f t="shared" si="171"/>
        <v>0.42372076457319241</v>
      </c>
      <c r="P80" s="33">
        <f t="shared" si="171"/>
        <v>0.43559301911432974</v>
      </c>
      <c r="Q80" s="33">
        <f t="shared" si="171"/>
        <v>0.44746527365546712</v>
      </c>
      <c r="R80" s="33">
        <f t="shared" si="171"/>
        <v>0.45933752819660451</v>
      </c>
      <c r="S80" s="33">
        <f t="shared" si="171"/>
        <v>0.47120978273774183</v>
      </c>
      <c r="T80" s="33">
        <f t="shared" si="171"/>
        <v>0.48308203727887922</v>
      </c>
      <c r="U80" s="33">
        <f t="shared" si="171"/>
        <v>0.49495429182001655</v>
      </c>
      <c r="V80" s="33">
        <f t="shared" si="171"/>
        <v>0.50682654636115398</v>
      </c>
      <c r="W80" s="33">
        <f t="shared" si="171"/>
        <v>0.51869880090229126</v>
      </c>
    </row>
    <row r="81" spans="1:23">
      <c r="H81" s="41">
        <f>H80/D80-1</f>
        <v>0.35596719903389307</v>
      </c>
      <c r="I81" s="41" t="s">
        <v>185</v>
      </c>
      <c r="J81" s="41">
        <f t="shared" ref="J81" si="172">J80/F80-1</f>
        <v>2.0998439248696599</v>
      </c>
      <c r="K81" s="41">
        <f t="shared" ref="K81" si="173">K80/G80-1</f>
        <v>17.007816814847715</v>
      </c>
      <c r="L81" s="41">
        <f t="shared" ref="L81" si="174">L80/H80-1</f>
        <v>1.8293165930626065</v>
      </c>
      <c r="M81" s="73">
        <f t="shared" ref="M81" si="175">M80/I80-1</f>
        <v>-0.17740934794826557</v>
      </c>
      <c r="N81" s="41">
        <f t="shared" ref="N81" si="176">N80/J80-1</f>
        <v>0.12321034735296621</v>
      </c>
      <c r="O81" s="41">
        <f t="shared" ref="O81" si="177">O80/K80-1</f>
        <v>-0.40604327164850418</v>
      </c>
      <c r="P81" s="41">
        <f t="shared" ref="P81" si="178">P80/L80-1</f>
        <v>0.12236157846436213</v>
      </c>
      <c r="Q81" s="41">
        <f t="shared" ref="Q81" si="179">Q80/M80-1</f>
        <v>0.11872959335114275</v>
      </c>
      <c r="R81" s="41">
        <f t="shared" ref="R81" si="180">R80/N80-1</f>
        <v>0.11530700490054779</v>
      </c>
      <c r="S81" s="41">
        <f t="shared" ref="S81" si="181">S80/O80-1</f>
        <v>0.11207621182404037</v>
      </c>
      <c r="T81" s="41">
        <f t="shared" ref="T81" si="182">T80/P80-1</f>
        <v>0.10902153175252116</v>
      </c>
      <c r="U81" s="41">
        <f t="shared" ref="U81" si="183">U80/Q80-1</f>
        <v>0.10612894667020423</v>
      </c>
      <c r="V81" s="41">
        <f t="shared" ref="V81" si="184">V80/R80-1</f>
        <v>0.10338588782631186</v>
      </c>
      <c r="W81" s="41">
        <f t="shared" ref="W81" si="185">W80/S80-1</f>
        <v>0.10078105316200547</v>
      </c>
    </row>
    <row r="83" spans="1:23">
      <c r="A83" s="3" t="s">
        <v>182</v>
      </c>
      <c r="D83" s="33">
        <f>D71/D74</f>
        <v>0.10116199589883731</v>
      </c>
      <c r="E83" s="33">
        <f t="shared" ref="E83:L83" si="186">E71/E74</f>
        <v>-0.21964529331514326</v>
      </c>
      <c r="F83" s="33">
        <f t="shared" si="186"/>
        <v>6.504672897196262E-2</v>
      </c>
      <c r="G83" s="33">
        <f t="shared" si="186"/>
        <v>3.9615384615384615E-2</v>
      </c>
      <c r="H83" s="33">
        <f t="shared" si="186"/>
        <v>0.11044286495352651</v>
      </c>
      <c r="I83" s="33">
        <f t="shared" si="186"/>
        <v>0.39324894514767933</v>
      </c>
      <c r="J83" s="33">
        <f t="shared" si="186"/>
        <v>0.30303976681240891</v>
      </c>
      <c r="K83" s="33">
        <f t="shared" si="186"/>
        <v>0.59655870445344128</v>
      </c>
      <c r="L83" s="33">
        <f t="shared" si="186"/>
        <v>0.34244709826105174</v>
      </c>
      <c r="M83" s="71">
        <f t="shared" ref="M83:W83" si="187">M71/M74</f>
        <v>0.36619565217391303</v>
      </c>
      <c r="N83" s="33">
        <f t="shared" si="187"/>
        <v>0.38544444444444442</v>
      </c>
      <c r="O83" s="33">
        <f t="shared" si="187"/>
        <v>0.40101123595505617</v>
      </c>
      <c r="P83" s="33">
        <f t="shared" si="187"/>
        <v>0.40318681318681315</v>
      </c>
      <c r="Q83" s="33">
        <f t="shared" si="187"/>
        <v>0.40095744680851059</v>
      </c>
      <c r="R83" s="33">
        <f t="shared" si="187"/>
        <v>0.40302083333333333</v>
      </c>
      <c r="S83" s="33">
        <f t="shared" si="187"/>
        <v>0.40499999999999997</v>
      </c>
      <c r="T83" s="33">
        <f t="shared" si="187"/>
        <v>0.40689999999999998</v>
      </c>
      <c r="U83" s="33">
        <f t="shared" si="187"/>
        <v>0.4087254901960784</v>
      </c>
      <c r="V83" s="33">
        <f t="shared" si="187"/>
        <v>0.4104807692307692</v>
      </c>
      <c r="W83" s="33">
        <f t="shared" si="187"/>
        <v>0.4121698113207547</v>
      </c>
    </row>
    <row r="84" spans="1:23">
      <c r="H84" s="41">
        <f>H83/D83-1</f>
        <v>9.174264477709726E-2</v>
      </c>
      <c r="I84" s="41" t="s">
        <v>185</v>
      </c>
      <c r="J84" s="41">
        <f t="shared" ref="J84" si="188">J83/F83-1</f>
        <v>3.6588010127769754</v>
      </c>
      <c r="K84" s="41">
        <f t="shared" ref="K84" si="189">K83/G83-1</f>
        <v>14.058763413387839</v>
      </c>
      <c r="L84" s="41">
        <f t="shared" ref="L84" si="190">L83/H83-1</f>
        <v>2.1006719936607112</v>
      </c>
      <c r="M84" s="73">
        <f t="shared" ref="M84" si="191">M83/I83-1</f>
        <v>-6.8794317969770535E-2</v>
      </c>
      <c r="N84" s="41">
        <f t="shared" ref="N84" si="192">N83/J83-1</f>
        <v>0.27192694377647997</v>
      </c>
      <c r="O84" s="41">
        <f t="shared" ref="O84" si="193">O83/K83-1</f>
        <v>-0.32779249894198248</v>
      </c>
      <c r="P84" s="41">
        <f t="shared" ref="P84" si="194">P83/L83-1</f>
        <v>0.1773696294528353</v>
      </c>
      <c r="Q84" s="41">
        <f t="shared" ref="Q84" si="195">Q83/M83-1</f>
        <v>9.4926836045799101E-2</v>
      </c>
      <c r="R84" s="41">
        <f t="shared" ref="R84" si="196">R83/N83-1</f>
        <v>4.5600317094263598E-2</v>
      </c>
      <c r="S84" s="41">
        <f t="shared" ref="S84" si="197">S83/O83-1</f>
        <v>9.9467637993835289E-3</v>
      </c>
      <c r="T84" s="41">
        <f t="shared" ref="T84" si="198">T83/P83-1</f>
        <v>9.2095938947942546E-3</v>
      </c>
      <c r="U84" s="41">
        <f t="shared" ref="U84" si="199">U83/Q83-1</f>
        <v>1.9373735166658967E-2</v>
      </c>
      <c r="V84" s="41">
        <f t="shared" ref="V84" si="200">V83/R83-1</f>
        <v>1.8510050301210779E-2</v>
      </c>
      <c r="W84" s="41">
        <f t="shared" ref="W84" si="201">W83/S83-1</f>
        <v>1.7703237829024054E-2</v>
      </c>
    </row>
    <row r="85" spans="1:23">
      <c r="H85" s="41"/>
      <c r="I85" s="41"/>
      <c r="J85" s="41"/>
      <c r="K85" s="41"/>
      <c r="L85" s="41"/>
      <c r="M85" s="73"/>
      <c r="N85" s="41"/>
      <c r="O85" s="41"/>
      <c r="P85" s="41"/>
      <c r="Q85" s="41"/>
      <c r="R85" s="41"/>
      <c r="S85" s="41"/>
      <c r="T85" s="41"/>
      <c r="U85" s="41"/>
      <c r="V85" s="41"/>
      <c r="W85" s="41"/>
    </row>
    <row r="86" spans="1:23" s="47" customFormat="1">
      <c r="A86" s="46" t="s">
        <v>23</v>
      </c>
      <c r="D86" s="48">
        <f>D43+CFS!D15</f>
        <v>1.0699999999999901</v>
      </c>
      <c r="E86" s="48">
        <f>E43+CFS!E15</f>
        <v>-10.856000000000002</v>
      </c>
      <c r="F86" s="48">
        <f>F43+CFS!F15</f>
        <v>12.790000000000001</v>
      </c>
      <c r="G86" s="48">
        <f>G43+CFS!G15</f>
        <v>11.052000000000016</v>
      </c>
      <c r="H86" s="48">
        <f>H43+CFS!H15</f>
        <v>16.399999999999999</v>
      </c>
      <c r="I86" s="48">
        <f>I43+CFS!I15</f>
        <v>38.300000000000018</v>
      </c>
      <c r="J86" s="48">
        <f>J43+CFS!J15</f>
        <v>29.219999999999995</v>
      </c>
      <c r="K86" s="48">
        <f>K43+CFS!K15</f>
        <v>62.168999999999947</v>
      </c>
      <c r="L86" s="48">
        <f>L43+CFS!L15</f>
        <v>37.600000000000023</v>
      </c>
      <c r="M86" s="48">
        <f>M43+CFS!M15</f>
        <v>6.1266280000000108</v>
      </c>
      <c r="N86" s="48">
        <f>N43+CFS!N15</f>
        <v>8.927299999999974</v>
      </c>
      <c r="O86" s="48">
        <f>O43+CFS!O15</f>
        <v>35.614096999999987</v>
      </c>
      <c r="P86" s="48">
        <f>P43+CFS!P15</f>
        <v>36.957945000000024</v>
      </c>
      <c r="Q86" s="48">
        <f>Q43+CFS!Q15</f>
        <v>32.066562499999975</v>
      </c>
      <c r="R86" s="48">
        <f>R43+CFS!R15</f>
        <v>36.163358750000015</v>
      </c>
      <c r="S86" s="48">
        <f>S43+CFS!S15</f>
        <v>49.78096475000001</v>
      </c>
      <c r="T86" s="48">
        <f>T43+CFS!T15</f>
        <v>52.021126250000037</v>
      </c>
      <c r="U86" s="48">
        <f>U43+CFS!U15</f>
        <v>38.572788125000017</v>
      </c>
      <c r="V86" s="48">
        <f>V43+CFS!V15</f>
        <v>37.938399312500025</v>
      </c>
      <c r="W86" s="48">
        <f>W43+CFS!W15</f>
        <v>51.821364762499968</v>
      </c>
    </row>
    <row r="90" spans="1:23" s="62" customFormat="1">
      <c r="A90" s="62" t="s">
        <v>161</v>
      </c>
      <c r="F90" s="63">
        <f t="shared" ref="F90:W90" si="202">F13/B13-1</f>
        <v>0.32067084259446355</v>
      </c>
      <c r="G90" s="63">
        <f t="shared" si="202"/>
        <v>0.26879297732260454</v>
      </c>
      <c r="H90" s="63">
        <f t="shared" si="202"/>
        <v>0.896390060947023</v>
      </c>
      <c r="I90" s="63">
        <f t="shared" si="202"/>
        <v>10.18254151291513</v>
      </c>
      <c r="J90" s="63">
        <f t="shared" si="202"/>
        <v>2.4952570379436962</v>
      </c>
      <c r="K90" s="63">
        <f t="shared" si="202"/>
        <v>2.5151288023800178</v>
      </c>
      <c r="L90" s="63">
        <f t="shared" si="202"/>
        <v>1.555665430572724</v>
      </c>
      <c r="M90" s="79">
        <f t="shared" si="202"/>
        <v>-6.5061098221191105E-2</v>
      </c>
      <c r="N90" s="63">
        <f t="shared" si="202"/>
        <v>-0.24192383453709776</v>
      </c>
      <c r="O90" s="63">
        <f t="shared" si="202"/>
        <v>2.4396484701760812E-3</v>
      </c>
      <c r="P90" s="63">
        <f t="shared" si="202"/>
        <v>2.4729951955631435E-2</v>
      </c>
      <c r="Q90" s="63">
        <f t="shared" si="202"/>
        <v>0.27546166852514231</v>
      </c>
      <c r="R90" s="63">
        <f t="shared" si="202"/>
        <v>0.31511974362305661</v>
      </c>
      <c r="S90" s="63">
        <f t="shared" si="202"/>
        <v>4.240117323395598E-2</v>
      </c>
      <c r="T90" s="63">
        <f t="shared" si="202"/>
        <v>4.9322528827137946E-2</v>
      </c>
      <c r="U90" s="63">
        <f t="shared" si="202"/>
        <v>5.4208188082691899E-2</v>
      </c>
      <c r="V90" s="63">
        <f t="shared" si="202"/>
        <v>5.1957437074304114E-2</v>
      </c>
      <c r="W90" s="63">
        <f t="shared" si="202"/>
        <v>4.2703198296137446E-2</v>
      </c>
    </row>
    <row r="92" spans="1:23" s="40" customFormat="1">
      <c r="A92" s="40" t="s">
        <v>170</v>
      </c>
      <c r="B92" s="41">
        <f t="shared" ref="B92:W92" si="203">B24</f>
        <v>0.86499999999999999</v>
      </c>
      <c r="C92" s="41">
        <f t="shared" si="203"/>
        <v>0.875</v>
      </c>
      <c r="D92" s="41">
        <f t="shared" si="203"/>
        <v>0.86899999999999999</v>
      </c>
      <c r="E92" s="41">
        <f t="shared" si="203"/>
        <v>0.66200000000000003</v>
      </c>
      <c r="F92" s="41">
        <f t="shared" si="203"/>
        <v>0.86</v>
      </c>
      <c r="G92" s="41">
        <f t="shared" si="203"/>
        <v>0.85399999999999998</v>
      </c>
      <c r="H92" s="41">
        <f t="shared" si="203"/>
        <v>0.85799999999999998</v>
      </c>
      <c r="I92" s="41">
        <f t="shared" si="203"/>
        <v>0.876</v>
      </c>
      <c r="J92" s="41">
        <f t="shared" si="203"/>
        <v>0.84699999999999998</v>
      </c>
      <c r="K92" s="41">
        <f t="shared" si="203"/>
        <v>0.86599999999999999</v>
      </c>
      <c r="L92" s="41">
        <f t="shared" si="203"/>
        <v>0.84399999999999997</v>
      </c>
      <c r="M92" s="73">
        <f t="shared" si="203"/>
        <v>0.82000000000000006</v>
      </c>
      <c r="N92" s="41">
        <f t="shared" si="203"/>
        <v>0.82</v>
      </c>
      <c r="O92" s="41">
        <f t="shared" si="203"/>
        <v>0.82</v>
      </c>
      <c r="P92" s="41">
        <f t="shared" si="203"/>
        <v>0.82</v>
      </c>
      <c r="Q92" s="41">
        <f t="shared" si="203"/>
        <v>0.82</v>
      </c>
      <c r="R92" s="41">
        <f t="shared" si="203"/>
        <v>0.82000000000000006</v>
      </c>
      <c r="S92" s="41">
        <f t="shared" si="203"/>
        <v>0.82000000000000006</v>
      </c>
      <c r="T92" s="41">
        <f t="shared" si="203"/>
        <v>0.82000000000000006</v>
      </c>
      <c r="U92" s="41">
        <f t="shared" si="203"/>
        <v>0.84399999999999997</v>
      </c>
      <c r="V92" s="41">
        <f t="shared" si="203"/>
        <v>0.84399999999999997</v>
      </c>
      <c r="W92" s="41">
        <f t="shared" si="203"/>
        <v>0.84399999999999997</v>
      </c>
    </row>
    <row r="93" spans="1:23" s="40" customFormat="1">
      <c r="A93" s="40" t="s">
        <v>172</v>
      </c>
      <c r="B93" s="41">
        <f t="shared" ref="B93:W93" si="204">B41</f>
        <v>-0.82461103253182466</v>
      </c>
      <c r="C93" s="41">
        <f t="shared" si="204"/>
        <v>-0.74177029992684718</v>
      </c>
      <c r="D93" s="41">
        <f t="shared" si="204"/>
        <v>-0.85372714486638546</v>
      </c>
      <c r="E93" s="41">
        <f t="shared" si="204"/>
        <v>-1.2753690036900369</v>
      </c>
      <c r="F93" s="41">
        <f t="shared" si="204"/>
        <v>-0.66998164014687878</v>
      </c>
      <c r="G93" s="41">
        <f t="shared" si="204"/>
        <v>-0.73257074329466565</v>
      </c>
      <c r="H93" s="41">
        <f t="shared" si="204"/>
        <v>-0.72830655129789867</v>
      </c>
      <c r="I93" s="41">
        <f t="shared" si="204"/>
        <v>-0.68816705336426909</v>
      </c>
      <c r="J93" s="41">
        <f t="shared" si="204"/>
        <v>-0.72168964762530097</v>
      </c>
      <c r="K93" s="41">
        <f t="shared" si="204"/>
        <v>-0.66720465557228581</v>
      </c>
      <c r="L93" s="41">
        <f t="shared" si="204"/>
        <v>-0.73162867184728975</v>
      </c>
      <c r="M93" s="73">
        <f t="shared" si="204"/>
        <v>-0.8</v>
      </c>
      <c r="N93" s="41">
        <f t="shared" si="204"/>
        <v>-0.78000000000000014</v>
      </c>
      <c r="O93" s="41">
        <f t="shared" si="204"/>
        <v>-0.71</v>
      </c>
      <c r="P93" s="41">
        <f t="shared" si="204"/>
        <v>-0.71</v>
      </c>
      <c r="Q93" s="41">
        <f t="shared" si="204"/>
        <v>-0.69000000000000006</v>
      </c>
      <c r="R93" s="41">
        <f t="shared" si="204"/>
        <v>-0.67</v>
      </c>
      <c r="S93" s="41">
        <f t="shared" si="204"/>
        <v>-0.66999999999999993</v>
      </c>
      <c r="T93" s="41">
        <f t="shared" si="204"/>
        <v>-0.66999999999999993</v>
      </c>
      <c r="U93" s="41">
        <f t="shared" si="204"/>
        <v>-0.66999999999999993</v>
      </c>
      <c r="V93" s="41">
        <f t="shared" si="204"/>
        <v>-0.66999999999999993</v>
      </c>
      <c r="W93" s="41">
        <f t="shared" si="204"/>
        <v>-0.67</v>
      </c>
    </row>
    <row r="94" spans="1:23" s="40" customFormat="1">
      <c r="A94" s="40" t="s">
        <v>171</v>
      </c>
      <c r="B94" s="44">
        <f t="shared" ref="B94:W94" si="205">B45</f>
        <v>4.0210143463325819E-2</v>
      </c>
      <c r="C94" s="44">
        <f t="shared" si="205"/>
        <v>0.11528895391367953</v>
      </c>
      <c r="D94" s="41">
        <f t="shared" si="205"/>
        <v>8.5950929832784833E-3</v>
      </c>
      <c r="E94" s="41">
        <f t="shared" si="205"/>
        <v>-0.65705719557195574</v>
      </c>
      <c r="F94" s="41">
        <f t="shared" si="205"/>
        <v>0.18681150550795594</v>
      </c>
      <c r="G94" s="41">
        <f t="shared" si="205"/>
        <v>0.11994649569890009</v>
      </c>
      <c r="H94" s="41">
        <f t="shared" si="205"/>
        <v>0.12838895756077462</v>
      </c>
      <c r="I94" s="41">
        <f t="shared" si="205"/>
        <v>0.18726475895849456</v>
      </c>
      <c r="J94" s="41">
        <f t="shared" si="205"/>
        <v>0.12519150798861894</v>
      </c>
      <c r="K94" s="41">
        <f t="shared" si="205"/>
        <v>0.19813409701514556</v>
      </c>
      <c r="L94" s="41">
        <f t="shared" si="205"/>
        <v>0.11227549737206982</v>
      </c>
      <c r="M94" s="73">
        <f t="shared" si="205"/>
        <v>2.0000000000000059E-2</v>
      </c>
      <c r="N94" s="41">
        <f t="shared" si="205"/>
        <v>3.9999999999999848E-2</v>
      </c>
      <c r="O94" s="41">
        <f t="shared" si="205"/>
        <v>0.10999999999999999</v>
      </c>
      <c r="P94" s="41">
        <f t="shared" si="205"/>
        <v>0.11000000000000007</v>
      </c>
      <c r="Q94" s="41">
        <f t="shared" si="205"/>
        <v>0.12999999999999989</v>
      </c>
      <c r="R94" s="41">
        <f t="shared" si="205"/>
        <v>0.15000000000000005</v>
      </c>
      <c r="S94" s="41">
        <f t="shared" si="205"/>
        <v>0.15000000000000005</v>
      </c>
      <c r="T94" s="41">
        <f t="shared" si="205"/>
        <v>0.15000000000000008</v>
      </c>
      <c r="U94" s="41">
        <f t="shared" si="205"/>
        <v>0.15000000000000002</v>
      </c>
      <c r="V94" s="41">
        <f t="shared" si="205"/>
        <v>0.15000000000000008</v>
      </c>
      <c r="W94" s="41">
        <f t="shared" si="205"/>
        <v>0.14999999999999991</v>
      </c>
    </row>
    <row r="95" spans="1:23" s="40" customFormat="1">
      <c r="M95" s="64"/>
    </row>
    <row r="96" spans="1:23" s="40" customFormat="1">
      <c r="A96" s="62" t="s">
        <v>180</v>
      </c>
      <c r="H96" s="42">
        <f>H67/D67-1</f>
        <v>5.8243243243243699</v>
      </c>
      <c r="I96" s="42" t="s">
        <v>185</v>
      </c>
      <c r="J96" s="42">
        <f t="shared" ref="J96:L96" si="206">J67/F67-1</f>
        <v>2.0113753877973113</v>
      </c>
      <c r="K96" s="42">
        <f t="shared" si="206"/>
        <v>56.233009708737875</v>
      </c>
      <c r="L96" s="42">
        <f t="shared" si="206"/>
        <v>2.2366336633663364</v>
      </c>
      <c r="M96" s="74">
        <f t="shared" ref="M96" si="207">M67/I67-1</f>
        <v>-0.94764072961373358</v>
      </c>
      <c r="N96" s="42">
        <f t="shared" ref="N96" si="208">N67/J67-1</f>
        <v>-0.7969519230769242</v>
      </c>
      <c r="O96" s="42">
        <f t="shared" ref="O96" si="209">O67/K67-1</f>
        <v>-0.35645604071246839</v>
      </c>
      <c r="P96" s="42">
        <f t="shared" ref="P96" si="210">P67/L67-1</f>
        <v>0.20983585194249099</v>
      </c>
      <c r="Q96" s="42">
        <f t="shared" ref="Q96" si="211">Q67/M67-1</f>
        <v>16.254444470401214</v>
      </c>
      <c r="R96" s="42">
        <f t="shared" ref="R96" si="212">R67/N67-1</f>
        <v>5.5275828039697581</v>
      </c>
      <c r="S96" s="42">
        <f t="shared" ref="S96" si="213">S67/O67-1</f>
        <v>0.44811869053226561</v>
      </c>
      <c r="T96" s="42">
        <f t="shared" ref="T96" si="214">T67/P67-1</f>
        <v>0.45704249005816355</v>
      </c>
      <c r="U96" s="42">
        <f t="shared" ref="U96" si="215">U67/Q67-1</f>
        <v>0.23181412490396891</v>
      </c>
      <c r="V96" s="42">
        <f t="shared" ref="V96" si="216">V67/R67-1</f>
        <v>5.5188283546413253E-2</v>
      </c>
      <c r="W96" s="42">
        <f t="shared" ref="W96" si="217">W67/S67-1</f>
        <v>4.4568742132065964E-2</v>
      </c>
    </row>
    <row r="97" spans="1:23" s="40" customFormat="1">
      <c r="A97" s="40" t="s">
        <v>188</v>
      </c>
      <c r="H97" s="42">
        <f>H80/D80-1</f>
        <v>0.35596719903389307</v>
      </c>
      <c r="I97" s="42" t="s">
        <v>185</v>
      </c>
      <c r="J97" s="42">
        <f t="shared" ref="J97:L97" si="218">J80/F80-1</f>
        <v>2.0998439248696599</v>
      </c>
      <c r="K97" s="42">
        <f t="shared" si="218"/>
        <v>17.007816814847715</v>
      </c>
      <c r="L97" s="42">
        <f t="shared" si="218"/>
        <v>1.8293165930626065</v>
      </c>
      <c r="M97" s="74">
        <f t="shared" ref="M97" si="219">M80/I80-1</f>
        <v>-0.17740934794826557</v>
      </c>
      <c r="N97" s="42">
        <f t="shared" ref="N97" si="220">N80/J80-1</f>
        <v>0.12321034735296621</v>
      </c>
      <c r="O97" s="42">
        <f t="shared" ref="O97" si="221">O80/K80-1</f>
        <v>-0.40604327164850418</v>
      </c>
      <c r="P97" s="42">
        <f t="shared" ref="P97" si="222">P80/L80-1</f>
        <v>0.12236157846436213</v>
      </c>
      <c r="Q97" s="42">
        <f t="shared" ref="Q97" si="223">Q80/M80-1</f>
        <v>0.11872959335114275</v>
      </c>
      <c r="R97" s="42">
        <f t="shared" ref="R97" si="224">R80/N80-1</f>
        <v>0.11530700490054779</v>
      </c>
      <c r="S97" s="42">
        <f t="shared" ref="S97" si="225">S80/O80-1</f>
        <v>0.11207621182404037</v>
      </c>
      <c r="T97" s="42">
        <f t="shared" ref="T97" si="226">T80/P80-1</f>
        <v>0.10902153175252116</v>
      </c>
      <c r="U97" s="42">
        <f t="shared" ref="U97" si="227">U80/Q80-1</f>
        <v>0.10612894667020423</v>
      </c>
      <c r="V97" s="42">
        <f t="shared" ref="V97" si="228">V80/R80-1</f>
        <v>0.10338588782631186</v>
      </c>
      <c r="W97" s="42">
        <f t="shared" ref="W97" si="229">W80/S80-1</f>
        <v>0.10078105316200547</v>
      </c>
    </row>
    <row r="98" spans="1:23" s="40" customFormat="1">
      <c r="A98" s="40" t="s">
        <v>189</v>
      </c>
      <c r="D98" s="3"/>
      <c r="E98" s="3"/>
      <c r="F98" s="3"/>
      <c r="G98" s="3"/>
      <c r="H98" s="42">
        <f>H83/D83-1</f>
        <v>9.174264477709726E-2</v>
      </c>
      <c r="I98" s="42" t="s">
        <v>185</v>
      </c>
      <c r="J98" s="42">
        <f t="shared" ref="J98:L98" si="230">J83/F83-1</f>
        <v>3.6588010127769754</v>
      </c>
      <c r="K98" s="42">
        <f t="shared" si="230"/>
        <v>14.058763413387839</v>
      </c>
      <c r="L98" s="42">
        <f t="shared" si="230"/>
        <v>2.1006719936607112</v>
      </c>
      <c r="M98" s="74">
        <f t="shared" ref="M98" si="231">M83/I83-1</f>
        <v>-6.8794317969770535E-2</v>
      </c>
      <c r="N98" s="42">
        <f t="shared" ref="N98" si="232">N83/J83-1</f>
        <v>0.27192694377647997</v>
      </c>
      <c r="O98" s="42">
        <f t="shared" ref="O98" si="233">O83/K83-1</f>
        <v>-0.32779249894198248</v>
      </c>
      <c r="P98" s="42">
        <f t="shared" ref="P98" si="234">P83/L83-1</f>
        <v>0.1773696294528353</v>
      </c>
      <c r="Q98" s="42">
        <f t="shared" ref="Q98" si="235">Q83/M83-1</f>
        <v>9.4926836045799101E-2</v>
      </c>
      <c r="R98" s="42">
        <f t="shared" ref="R98" si="236">R83/N83-1</f>
        <v>4.5600317094263598E-2</v>
      </c>
      <c r="S98" s="42">
        <f t="shared" ref="S98" si="237">S83/O83-1</f>
        <v>9.9467637993835289E-3</v>
      </c>
      <c r="T98" s="42">
        <f t="shared" ref="T98" si="238">T83/P83-1</f>
        <v>9.2095938947942546E-3</v>
      </c>
      <c r="U98" s="42">
        <f t="shared" ref="U98" si="239">U83/Q83-1</f>
        <v>1.9373735166658967E-2</v>
      </c>
      <c r="V98" s="42">
        <f t="shared" ref="V98" si="240">V83/R83-1</f>
        <v>1.8510050301210779E-2</v>
      </c>
      <c r="W98" s="42">
        <f t="shared" ref="W98" si="241">W83/S83-1</f>
        <v>1.7703237829024054E-2</v>
      </c>
    </row>
    <row r="100" spans="1:23" s="40" customFormat="1">
      <c r="A100" s="40" t="s">
        <v>187</v>
      </c>
      <c r="F100" s="41"/>
      <c r="G100" s="41"/>
      <c r="H100" s="41">
        <f>H78</f>
        <v>4.0328092959671897</v>
      </c>
      <c r="I100" s="41">
        <f t="shared" ref="I100:L100" si="242">I78</f>
        <v>4.2298772169167806</v>
      </c>
      <c r="J100" s="41">
        <f t="shared" si="242"/>
        <v>4.397008837525493</v>
      </c>
      <c r="K100" s="41">
        <f t="shared" si="242"/>
        <v>2.177692307692308</v>
      </c>
      <c r="L100" s="41">
        <f t="shared" si="242"/>
        <v>0.14396305853592306</v>
      </c>
      <c r="M100" s="73">
        <f t="shared" ref="M100:W100" si="243">M78</f>
        <v>9.8604408503978114E-2</v>
      </c>
      <c r="N100" s="41">
        <f t="shared" si="243"/>
        <v>6.0964857034891073E-2</v>
      </c>
      <c r="O100" s="41">
        <f t="shared" si="243"/>
        <v>1.9486807068506362E-2</v>
      </c>
      <c r="P100" s="41">
        <f t="shared" si="243"/>
        <v>0</v>
      </c>
      <c r="Q100" s="41">
        <f t="shared" si="243"/>
        <v>0</v>
      </c>
      <c r="R100" s="41">
        <f t="shared" si="243"/>
        <v>0</v>
      </c>
      <c r="S100" s="41">
        <f t="shared" si="243"/>
        <v>0</v>
      </c>
      <c r="T100" s="41">
        <f t="shared" si="243"/>
        <v>0</v>
      </c>
      <c r="U100" s="41">
        <f t="shared" si="243"/>
        <v>0</v>
      </c>
      <c r="V100" s="41">
        <f t="shared" si="243"/>
        <v>0</v>
      </c>
      <c r="W100" s="41">
        <f t="shared" si="243"/>
        <v>0</v>
      </c>
    </row>
    <row r="101" spans="1:23" s="40" customFormat="1">
      <c r="A101" s="40" t="s">
        <v>186</v>
      </c>
      <c r="F101" s="41"/>
      <c r="G101" s="41"/>
      <c r="H101" s="41">
        <f t="shared" ref="H101" si="244">H75</f>
        <v>5.2508544087491451</v>
      </c>
      <c r="I101" s="41">
        <f t="shared" ref="I101:L101" si="245">I75</f>
        <v>5.4665757162346518</v>
      </c>
      <c r="J101" s="41">
        <f t="shared" si="245"/>
        <v>2.5910280373831776</v>
      </c>
      <c r="K101" s="41">
        <f t="shared" si="245"/>
        <v>2.8</v>
      </c>
      <c r="L101" s="41">
        <f t="shared" si="245"/>
        <v>4.3849097867687092E-2</v>
      </c>
      <c r="M101" s="73">
        <f t="shared" ref="M101:W101" si="246">M75</f>
        <v>-2.9535864978902926E-2</v>
      </c>
      <c r="N101" s="41">
        <f t="shared" si="246"/>
        <v>-6.3085571517801364E-2</v>
      </c>
      <c r="O101" s="41">
        <f t="shared" si="246"/>
        <v>-9.9190283400809709E-2</v>
      </c>
      <c r="P101" s="41">
        <f t="shared" si="246"/>
        <v>-4.6721139744395512E-2</v>
      </c>
      <c r="Q101" s="41">
        <f t="shared" si="246"/>
        <v>2.1739130434782705E-2</v>
      </c>
      <c r="R101" s="41">
        <f t="shared" si="246"/>
        <v>6.6666666666666652E-2</v>
      </c>
      <c r="S101" s="41">
        <f t="shared" si="246"/>
        <v>0.101123595505618</v>
      </c>
      <c r="T101" s="41">
        <f t="shared" si="246"/>
        <v>9.8901098901098994E-2</v>
      </c>
      <c r="U101" s="41">
        <f t="shared" si="246"/>
        <v>8.5106382978723305E-2</v>
      </c>
      <c r="V101" s="41">
        <f t="shared" si="246"/>
        <v>8.3333333333333259E-2</v>
      </c>
      <c r="W101" s="41">
        <f t="shared" si="246"/>
        <v>8.163265306122458E-2</v>
      </c>
    </row>
  </sheetData>
  <conditionalFormatting sqref="A74:L75 A101 A103:XFD1048576 A100:L100 B99:C99 X74:XFD75 AC15:XFD15 A15:AA15 A2:XFD14 X90:XFD101 B100:W101 H99:W99 B96:W98 A90:W95 M75:W75 B1:XFD1 A76:XFD89 A16:XFD73">
    <cfRule type="cellIs" dxfId="16" priority="9" operator="lessThan">
      <formula>0</formula>
    </cfRule>
  </conditionalFormatting>
  <conditionalFormatting sqref="A96 A99:A101 M74:W74 M77:W77">
    <cfRule type="cellIs" dxfId="15" priority="7" operator="lessThan">
      <formula>0</formula>
    </cfRule>
  </conditionalFormatting>
  <conditionalFormatting sqref="A99:A100">
    <cfRule type="cellIs" dxfId="14" priority="6" operator="lessThan">
      <formula>0</formula>
    </cfRule>
  </conditionalFormatting>
  <conditionalFormatting sqref="A98">
    <cfRule type="cellIs" dxfId="13" priority="3" operator="lessThan">
      <formula>0</formula>
    </cfRule>
  </conditionalFormatting>
  <conditionalFormatting sqref="A97">
    <cfRule type="cellIs" dxfId="12" priority="2" operator="lessThan">
      <formula>0</formula>
    </cfRule>
  </conditionalFormatting>
  <conditionalFormatting sqref="A1">
    <cfRule type="cellIs" dxfId="11" priority="1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F658-E245-544F-A8C1-411CF18DD743}">
  <dimension ref="A1:AE62"/>
  <sheetViews>
    <sheetView workbookViewId="0">
      <pane xSplit="1" ySplit="7" topLeftCell="D8" activePane="bottomRight" state="frozen"/>
      <selection pane="topRight" activeCell="B1" sqref="B1"/>
      <selection pane="bottomLeft" activeCell="A8" sqref="A8"/>
      <selection pane="bottomRight" activeCell="M18" sqref="M18"/>
    </sheetView>
  </sheetViews>
  <sheetFormatPr baseColWidth="10" defaultRowHeight="16"/>
  <cols>
    <col min="1" max="1" width="41.33203125" style="3" bestFit="1" customWidth="1"/>
    <col min="2" max="3" width="9.6640625" style="3" hidden="1" customWidth="1"/>
    <col min="4" max="4" width="9.33203125" style="3" bestFit="1" customWidth="1"/>
    <col min="5" max="7" width="10.1640625" style="3" bestFit="1" customWidth="1"/>
    <col min="8" max="8" width="9" style="3" bestFit="1" customWidth="1"/>
    <col min="9" max="10" width="9.5" style="3" bestFit="1" customWidth="1"/>
    <col min="11" max="11" width="9.6640625" style="3" bestFit="1" customWidth="1"/>
    <col min="12" max="12" width="9.33203125" style="3" bestFit="1" customWidth="1"/>
    <col min="13" max="15" width="9.83203125" style="3" bestFit="1" customWidth="1"/>
    <col min="16" max="16" width="9" style="3" bestFit="1" customWidth="1"/>
    <col min="17" max="19" width="9.83203125" style="3" bestFit="1" customWidth="1"/>
    <col min="20" max="20" width="9" style="3" bestFit="1" customWidth="1"/>
    <col min="21" max="23" width="9.83203125" style="3" bestFit="1" customWidth="1"/>
    <col min="24" max="16384" width="10.83203125" style="3"/>
  </cols>
  <sheetData>
    <row r="1" spans="1:31" ht="81" customHeight="1">
      <c r="A1" s="1" t="s">
        <v>193</v>
      </c>
    </row>
    <row r="2" spans="1:31" ht="26">
      <c r="A2" s="2" t="s">
        <v>134</v>
      </c>
    </row>
    <row r="3" spans="1:31">
      <c r="A3" s="3" t="s">
        <v>133</v>
      </c>
    </row>
    <row r="6" spans="1:31">
      <c r="B6" s="7" t="s">
        <v>104</v>
      </c>
      <c r="C6" s="8" t="s">
        <v>105</v>
      </c>
      <c r="D6" s="8" t="s">
        <v>106</v>
      </c>
      <c r="E6" s="8" t="s">
        <v>107</v>
      </c>
      <c r="F6" s="8" t="s">
        <v>108</v>
      </c>
      <c r="G6" s="8" t="s">
        <v>109</v>
      </c>
      <c r="H6" s="8" t="s">
        <v>110</v>
      </c>
      <c r="I6" s="8" t="s">
        <v>111</v>
      </c>
      <c r="J6" s="8" t="s">
        <v>112</v>
      </c>
      <c r="K6" s="8" t="s">
        <v>113</v>
      </c>
      <c r="L6" s="8" t="s">
        <v>114</v>
      </c>
      <c r="M6" s="8" t="s">
        <v>115</v>
      </c>
      <c r="N6" s="8" t="s">
        <v>116</v>
      </c>
      <c r="O6" s="8" t="s">
        <v>117</v>
      </c>
      <c r="P6" s="8" t="s">
        <v>118</v>
      </c>
      <c r="Q6" s="8" t="s">
        <v>119</v>
      </c>
      <c r="R6" s="8" t="s">
        <v>120</v>
      </c>
      <c r="S6" s="8" t="s">
        <v>121</v>
      </c>
      <c r="T6" s="8" t="s">
        <v>122</v>
      </c>
      <c r="U6" s="8" t="s">
        <v>123</v>
      </c>
      <c r="V6" s="8" t="s">
        <v>124</v>
      </c>
      <c r="W6" s="9" t="s">
        <v>125</v>
      </c>
      <c r="AA6" s="3" t="s">
        <v>126</v>
      </c>
      <c r="AB6" s="3" t="s">
        <v>127</v>
      </c>
      <c r="AC6" s="3" t="s">
        <v>129</v>
      </c>
      <c r="AD6" s="3" t="s">
        <v>130</v>
      </c>
      <c r="AE6" s="3" t="s">
        <v>131</v>
      </c>
    </row>
    <row r="7" spans="1:31">
      <c r="A7" s="17" t="s">
        <v>26</v>
      </c>
      <c r="B7" s="10">
        <v>43738</v>
      </c>
      <c r="C7" s="11">
        <v>43830</v>
      </c>
      <c r="D7" s="11">
        <v>43921</v>
      </c>
      <c r="E7" s="11">
        <v>44012</v>
      </c>
      <c r="F7" s="11">
        <v>44104</v>
      </c>
      <c r="G7" s="11">
        <v>44196</v>
      </c>
      <c r="H7" s="11">
        <v>44286</v>
      </c>
      <c r="I7" s="11">
        <v>44377</v>
      </c>
      <c r="J7" s="11">
        <v>44469</v>
      </c>
      <c r="K7" s="11">
        <v>44561</v>
      </c>
      <c r="L7" s="11">
        <v>44651</v>
      </c>
      <c r="M7" s="11">
        <f>I7+365</f>
        <v>44742</v>
      </c>
      <c r="N7" s="11">
        <f t="shared" ref="N7:S7" si="0">J7+365</f>
        <v>44834</v>
      </c>
      <c r="O7" s="11">
        <f t="shared" si="0"/>
        <v>44926</v>
      </c>
      <c r="P7" s="11">
        <f t="shared" si="0"/>
        <v>45016</v>
      </c>
      <c r="Q7" s="11">
        <f t="shared" si="0"/>
        <v>45107</v>
      </c>
      <c r="R7" s="11">
        <f t="shared" si="0"/>
        <v>45199</v>
      </c>
      <c r="S7" s="11">
        <f t="shared" si="0"/>
        <v>45291</v>
      </c>
      <c r="T7" s="11">
        <f>P7+366</f>
        <v>45382</v>
      </c>
      <c r="U7" s="11">
        <f t="shared" ref="U7:W7" si="1">Q7+366</f>
        <v>45473</v>
      </c>
      <c r="V7" s="11">
        <f t="shared" si="1"/>
        <v>45565</v>
      </c>
      <c r="W7" s="12">
        <f t="shared" si="1"/>
        <v>45657</v>
      </c>
      <c r="AA7" s="3" t="s">
        <v>128</v>
      </c>
      <c r="AB7" s="3" t="s">
        <v>128</v>
      </c>
      <c r="AC7" s="3" t="s">
        <v>128</v>
      </c>
      <c r="AD7" s="3" t="s">
        <v>132</v>
      </c>
      <c r="AE7" s="3" t="s">
        <v>128</v>
      </c>
    </row>
    <row r="9" spans="1:31">
      <c r="A9" s="3" t="s">
        <v>27</v>
      </c>
      <c r="C9" s="3">
        <v>44.39</v>
      </c>
      <c r="F9" s="3">
        <v>53.23</v>
      </c>
      <c r="G9" s="3">
        <v>250.82</v>
      </c>
      <c r="H9" s="3">
        <v>257.02</v>
      </c>
      <c r="I9" s="3">
        <v>506.29</v>
      </c>
      <c r="J9" s="4">
        <v>1041.46</v>
      </c>
      <c r="K9" s="3">
        <v>986.61</v>
      </c>
      <c r="L9" s="3">
        <v>757.83</v>
      </c>
    </row>
    <row r="10" spans="1:31">
      <c r="J10" s="4"/>
    </row>
    <row r="11" spans="1:31">
      <c r="A11" s="3" t="s">
        <v>28</v>
      </c>
      <c r="C11" s="3">
        <f t="shared" ref="C11:K11" si="2">SUM(C9)</f>
        <v>44.39</v>
      </c>
      <c r="D11" s="3">
        <f t="shared" si="2"/>
        <v>0</v>
      </c>
      <c r="E11" s="3">
        <f t="shared" si="2"/>
        <v>0</v>
      </c>
      <c r="F11" s="3">
        <f t="shared" si="2"/>
        <v>53.23</v>
      </c>
      <c r="G11" s="3">
        <f t="shared" si="2"/>
        <v>250.82</v>
      </c>
      <c r="H11" s="3">
        <f t="shared" si="2"/>
        <v>257.02</v>
      </c>
      <c r="I11" s="3">
        <f t="shared" si="2"/>
        <v>506.29</v>
      </c>
      <c r="J11" s="3">
        <f t="shared" si="2"/>
        <v>1041.46</v>
      </c>
      <c r="K11" s="3">
        <f t="shared" si="2"/>
        <v>986.61</v>
      </c>
      <c r="L11" s="3">
        <f>SUM(L9)</f>
        <v>757.83</v>
      </c>
    </row>
    <row r="12" spans="1:31">
      <c r="J12" s="4"/>
    </row>
    <row r="13" spans="1:31" s="5" customFormat="1">
      <c r="A13" s="5" t="s">
        <v>29</v>
      </c>
      <c r="C13" s="5">
        <v>266.42</v>
      </c>
      <c r="F13" s="5">
        <v>144.76</v>
      </c>
      <c r="G13" s="5">
        <v>97.53</v>
      </c>
      <c r="H13" s="5">
        <v>73.22</v>
      </c>
      <c r="I13" s="5">
        <v>95.31</v>
      </c>
      <c r="J13" s="5">
        <v>140.11000000000001</v>
      </c>
      <c r="K13" s="5">
        <v>260.77</v>
      </c>
      <c r="L13" s="5">
        <v>604.37</v>
      </c>
    </row>
    <row r="14" spans="1:31">
      <c r="A14" s="3" t="s">
        <v>30</v>
      </c>
      <c r="C14" s="3">
        <v>266.42</v>
      </c>
      <c r="F14" s="3">
        <v>144.76</v>
      </c>
      <c r="G14" s="3">
        <v>97.53</v>
      </c>
      <c r="H14" s="3">
        <v>73.22</v>
      </c>
      <c r="I14" s="3">
        <v>95.31</v>
      </c>
      <c r="J14" s="3">
        <v>140.11000000000001</v>
      </c>
      <c r="K14" s="3">
        <v>260.77</v>
      </c>
      <c r="L14" s="3">
        <v>604.37</v>
      </c>
      <c r="M14" s="3">
        <f>SUM(M13)</f>
        <v>0</v>
      </c>
    </row>
    <row r="15" spans="1:31">
      <c r="A15" s="3" t="s">
        <v>31</v>
      </c>
      <c r="C15" s="3">
        <v>35.68</v>
      </c>
      <c r="F15" s="3">
        <v>57.41</v>
      </c>
      <c r="G15" s="3">
        <v>60.51</v>
      </c>
      <c r="H15" s="3">
        <v>79.05</v>
      </c>
      <c r="I15" s="3">
        <v>111.25</v>
      </c>
      <c r="J15" s="3">
        <v>130.30000000000001</v>
      </c>
      <c r="K15" s="3">
        <v>204.63</v>
      </c>
      <c r="L15" s="3">
        <v>254.87</v>
      </c>
    </row>
    <row r="16" spans="1:31">
      <c r="A16" s="3" t="s">
        <v>32</v>
      </c>
      <c r="C16" s="3">
        <v>346.49</v>
      </c>
      <c r="F16" s="3">
        <v>255.41</v>
      </c>
      <c r="G16" s="3">
        <v>408.87</v>
      </c>
      <c r="H16" s="3">
        <v>409.29</v>
      </c>
      <c r="I16" s="3">
        <v>712.84</v>
      </c>
      <c r="J16" s="4">
        <v>1311.88</v>
      </c>
      <c r="K16" s="4">
        <v>1452.01</v>
      </c>
      <c r="L16" s="4">
        <v>1617.06</v>
      </c>
      <c r="M16" s="3">
        <f>M14+M11+M15</f>
        <v>0</v>
      </c>
    </row>
    <row r="17" spans="1:12">
      <c r="J17" s="4"/>
      <c r="K17" s="4"/>
      <c r="L17" s="4"/>
    </row>
    <row r="18" spans="1:12">
      <c r="A18" s="3" t="s">
        <v>33</v>
      </c>
      <c r="C18" s="3">
        <v>20.47</v>
      </c>
      <c r="F18" s="3">
        <v>19.55</v>
      </c>
      <c r="G18" s="3">
        <v>24.13</v>
      </c>
      <c r="H18" s="3">
        <v>23.51</v>
      </c>
      <c r="I18" s="3">
        <v>24.09</v>
      </c>
      <c r="J18" s="3">
        <v>80.86</v>
      </c>
      <c r="K18" s="3">
        <v>110.56</v>
      </c>
      <c r="L18" s="3">
        <v>109.65</v>
      </c>
    </row>
    <row r="19" spans="1:12">
      <c r="A19" s="3" t="s">
        <v>34</v>
      </c>
      <c r="C19" s="3">
        <v>-0.45</v>
      </c>
      <c r="F19" s="3">
        <v>-1.48</v>
      </c>
      <c r="G19" s="3">
        <v>-1.79</v>
      </c>
      <c r="H19" s="3">
        <v>-2.15</v>
      </c>
      <c r="I19" s="3">
        <v>-2.54</v>
      </c>
      <c r="J19" s="3">
        <v>-2.94</v>
      </c>
      <c r="K19" s="3">
        <v>-3.69</v>
      </c>
      <c r="L19" s="3">
        <v>-4.41</v>
      </c>
    </row>
    <row r="20" spans="1:12">
      <c r="A20" s="3" t="s">
        <v>35</v>
      </c>
      <c r="C20" s="3">
        <v>20.02</v>
      </c>
      <c r="F20" s="3">
        <v>18.059999999999999</v>
      </c>
      <c r="G20" s="3">
        <v>22.34</v>
      </c>
      <c r="H20" s="3">
        <v>21.36</v>
      </c>
      <c r="I20" s="3">
        <v>21.56</v>
      </c>
      <c r="J20" s="3">
        <v>77.92</v>
      </c>
      <c r="K20" s="3">
        <v>106.88</v>
      </c>
      <c r="L20" s="3">
        <v>105.24</v>
      </c>
    </row>
    <row r="21" spans="1:12">
      <c r="A21" s="3" t="s">
        <v>36</v>
      </c>
      <c r="J21" s="3">
        <v>40</v>
      </c>
      <c r="K21" s="3">
        <v>40</v>
      </c>
      <c r="L21" s="3">
        <v>41</v>
      </c>
    </row>
    <row r="22" spans="1:12">
      <c r="A22" s="3" t="s">
        <v>37</v>
      </c>
      <c r="I22" s="3">
        <v>66.87</v>
      </c>
      <c r="J22" s="3">
        <v>66.87</v>
      </c>
      <c r="K22" s="3">
        <v>67.06</v>
      </c>
      <c r="L22" s="3">
        <v>67.06</v>
      </c>
    </row>
    <row r="23" spans="1:12">
      <c r="A23" s="3" t="s">
        <v>38</v>
      </c>
      <c r="C23" s="3">
        <v>2.2000000000000002</v>
      </c>
      <c r="F23" s="3">
        <v>4.9000000000000004</v>
      </c>
      <c r="G23" s="3">
        <v>6</v>
      </c>
      <c r="H23" s="3">
        <v>6</v>
      </c>
      <c r="I23" s="3">
        <v>30.33</v>
      </c>
      <c r="J23" s="3">
        <v>31.98</v>
      </c>
      <c r="K23" s="3">
        <v>33.409999999999997</v>
      </c>
      <c r="L23" s="3">
        <v>36.64</v>
      </c>
    </row>
    <row r="24" spans="1:12">
      <c r="A24" s="3" t="s">
        <v>39</v>
      </c>
      <c r="C24" s="3">
        <v>8.32</v>
      </c>
      <c r="F24" s="3">
        <v>9.14</v>
      </c>
      <c r="G24" s="3">
        <v>11.66</v>
      </c>
      <c r="H24" s="3">
        <v>18.13</v>
      </c>
      <c r="I24" s="3">
        <v>31.74</v>
      </c>
      <c r="J24" s="3">
        <v>29.99</v>
      </c>
      <c r="K24" s="3">
        <v>55.52</v>
      </c>
      <c r="L24" s="3">
        <v>48.62</v>
      </c>
    </row>
    <row r="25" spans="1:12">
      <c r="A25" s="3" t="s">
        <v>40</v>
      </c>
      <c r="C25" s="3">
        <v>16.43</v>
      </c>
      <c r="F25" s="3">
        <v>22.3</v>
      </c>
      <c r="G25" s="3">
        <v>28.39</v>
      </c>
      <c r="H25" s="3">
        <v>33.799999999999997</v>
      </c>
      <c r="I25" s="3">
        <v>41.25</v>
      </c>
      <c r="J25" s="3">
        <v>47.51</v>
      </c>
      <c r="K25" s="3">
        <v>65.59</v>
      </c>
      <c r="L25" s="3">
        <v>71.98</v>
      </c>
    </row>
    <row r="27" spans="1:12">
      <c r="A27" s="3" t="s">
        <v>41</v>
      </c>
      <c r="C27" s="3">
        <v>393.46</v>
      </c>
      <c r="F27" s="3">
        <v>309.8</v>
      </c>
      <c r="G27" s="3">
        <v>477.26</v>
      </c>
      <c r="H27" s="3">
        <v>488.59</v>
      </c>
      <c r="I27" s="3">
        <v>904.58</v>
      </c>
      <c r="J27" s="4">
        <v>1606.13</v>
      </c>
      <c r="K27" s="4">
        <v>1820.46</v>
      </c>
      <c r="L27" s="4">
        <v>1987.59</v>
      </c>
    </row>
    <row r="28" spans="1:12">
      <c r="J28" s="4"/>
      <c r="K28" s="4"/>
      <c r="L28" s="4"/>
    </row>
    <row r="29" spans="1:12">
      <c r="A29" s="3" t="s">
        <v>42</v>
      </c>
      <c r="C29" s="3">
        <v>6.56</v>
      </c>
      <c r="F29" s="3">
        <v>6.05</v>
      </c>
      <c r="G29" s="3">
        <v>13.78</v>
      </c>
      <c r="H29" s="3">
        <v>8.1300000000000008</v>
      </c>
      <c r="I29" s="3">
        <v>17.329999999999998</v>
      </c>
      <c r="J29" s="3">
        <v>9.3800000000000008</v>
      </c>
      <c r="K29" s="3">
        <v>6.56</v>
      </c>
      <c r="L29" s="3">
        <v>10.29</v>
      </c>
    </row>
    <row r="30" spans="1:12">
      <c r="A30" s="3" t="s">
        <v>43</v>
      </c>
      <c r="C30" s="3">
        <v>26.4</v>
      </c>
      <c r="F30" s="3">
        <v>22.39</v>
      </c>
      <c r="G30" s="3">
        <v>34.340000000000003</v>
      </c>
      <c r="H30" s="3">
        <v>38.700000000000003</v>
      </c>
      <c r="I30" s="3">
        <v>63.65</v>
      </c>
      <c r="J30" s="3">
        <v>67.05</v>
      </c>
      <c r="K30" s="3">
        <v>98.6</v>
      </c>
      <c r="L30" s="3">
        <v>83.33</v>
      </c>
    </row>
    <row r="31" spans="1:12">
      <c r="A31" s="3" t="s">
        <v>44</v>
      </c>
      <c r="C31" s="3">
        <v>4.12</v>
      </c>
      <c r="G31" s="3">
        <v>4.54</v>
      </c>
      <c r="H31" s="3">
        <v>3.48</v>
      </c>
      <c r="I31" s="3">
        <v>2.41</v>
      </c>
      <c r="J31" s="3">
        <v>1.27</v>
      </c>
      <c r="K31" s="3">
        <v>11.2</v>
      </c>
      <c r="L31" s="3">
        <v>9.14</v>
      </c>
    </row>
    <row r="32" spans="1:12">
      <c r="A32" s="3" t="s">
        <v>45</v>
      </c>
      <c r="C32" s="3">
        <v>6.8</v>
      </c>
      <c r="F32" s="3">
        <v>9.07</v>
      </c>
    </row>
    <row r="34" spans="1:12">
      <c r="A34" s="3" t="s">
        <v>46</v>
      </c>
      <c r="C34" s="3">
        <v>39.76</v>
      </c>
      <c r="F34" s="3">
        <v>37.51</v>
      </c>
      <c r="G34" s="3">
        <v>48.11</v>
      </c>
      <c r="H34" s="3">
        <v>50.31</v>
      </c>
      <c r="I34" s="3">
        <v>83.38</v>
      </c>
      <c r="J34" s="3">
        <v>77.7</v>
      </c>
      <c r="K34" s="3">
        <v>116.36</v>
      </c>
      <c r="L34" s="3">
        <v>102.75</v>
      </c>
    </row>
    <row r="36" spans="1:12">
      <c r="A36" s="3" t="s">
        <v>47</v>
      </c>
      <c r="C36" s="3">
        <v>214.72</v>
      </c>
      <c r="F36" s="3">
        <v>100.59</v>
      </c>
      <c r="G36" s="3">
        <v>62.63</v>
      </c>
      <c r="H36" s="3">
        <v>41.89</v>
      </c>
      <c r="I36" s="3">
        <v>6.06</v>
      </c>
      <c r="J36" s="3">
        <v>649.22</v>
      </c>
      <c r="K36" s="3">
        <v>695.43</v>
      </c>
      <c r="L36" s="3">
        <v>769.22</v>
      </c>
    </row>
    <row r="37" spans="1:12">
      <c r="A37" s="3" t="s">
        <v>48</v>
      </c>
      <c r="C37" s="3">
        <v>17.059999999999999</v>
      </c>
      <c r="F37" s="3">
        <v>14.84</v>
      </c>
      <c r="G37" s="3">
        <v>19.43</v>
      </c>
      <c r="H37" s="3">
        <v>15.14</v>
      </c>
      <c r="I37" s="3">
        <v>15.37</v>
      </c>
      <c r="J37" s="3">
        <v>70.900000000000006</v>
      </c>
      <c r="K37" s="3">
        <v>89.16</v>
      </c>
      <c r="L37" s="3">
        <v>90.91</v>
      </c>
    </row>
    <row r="38" spans="1:12">
      <c r="A38" s="3" t="s">
        <v>49</v>
      </c>
      <c r="C38" s="3">
        <v>21.07</v>
      </c>
      <c r="F38" s="3">
        <v>41.66</v>
      </c>
      <c r="G38" s="3">
        <v>46.83</v>
      </c>
      <c r="H38" s="3">
        <v>60.66</v>
      </c>
      <c r="I38" s="3">
        <v>83.68</v>
      </c>
      <c r="J38" s="3">
        <v>89.22</v>
      </c>
      <c r="K38" s="3">
        <v>112.42</v>
      </c>
      <c r="L38" s="3">
        <v>148.19999999999999</v>
      </c>
    </row>
    <row r="40" spans="1:12">
      <c r="A40" s="3" t="s">
        <v>50</v>
      </c>
      <c r="C40" s="3">
        <v>292.60000000000002</v>
      </c>
      <c r="F40" s="3">
        <v>194.59</v>
      </c>
      <c r="G40" s="3">
        <v>177</v>
      </c>
      <c r="H40" s="3">
        <v>168</v>
      </c>
      <c r="I40" s="3">
        <v>188.49</v>
      </c>
      <c r="J40" s="3">
        <v>887.04</v>
      </c>
      <c r="K40" s="4">
        <v>1013.38</v>
      </c>
      <c r="L40" s="4">
        <v>1111.0899999999999</v>
      </c>
    </row>
    <row r="41" spans="1:12">
      <c r="K41" s="4"/>
      <c r="L41" s="4"/>
    </row>
    <row r="42" spans="1:12">
      <c r="A42" s="3" t="s">
        <v>51</v>
      </c>
      <c r="C42" s="3">
        <v>162.55000000000001</v>
      </c>
      <c r="F42" s="3">
        <v>162.55000000000001</v>
      </c>
    </row>
    <row r="43" spans="1:12">
      <c r="A43" s="3" t="s">
        <v>52</v>
      </c>
      <c r="C43" s="3">
        <v>162.55000000000001</v>
      </c>
      <c r="D43" s="3">
        <v>162.55000000000001</v>
      </c>
      <c r="F43" s="3">
        <v>162.55000000000001</v>
      </c>
    </row>
    <row r="44" spans="1:12">
      <c r="A44" s="3" t="s">
        <v>53</v>
      </c>
      <c r="C44" s="3">
        <v>0</v>
      </c>
      <c r="F44" s="3">
        <v>0</v>
      </c>
      <c r="G44" s="3">
        <v>0.01</v>
      </c>
      <c r="H44" s="3">
        <v>0.01</v>
      </c>
      <c r="I44" s="3">
        <v>0.01</v>
      </c>
      <c r="J44" s="3">
        <v>0.01</v>
      </c>
      <c r="K44" s="3">
        <v>0.01</v>
      </c>
      <c r="L44" s="3">
        <v>0.01</v>
      </c>
    </row>
    <row r="45" spans="1:12">
      <c r="A45" s="3" t="s">
        <v>54</v>
      </c>
      <c r="C45" s="3">
        <v>12.49</v>
      </c>
      <c r="F45" s="3">
        <v>22.91</v>
      </c>
      <c r="G45" s="3">
        <v>369.47</v>
      </c>
      <c r="H45" s="3">
        <v>379.7</v>
      </c>
      <c r="I45" s="3">
        <v>737.92</v>
      </c>
      <c r="J45" s="3">
        <v>711.8</v>
      </c>
      <c r="K45" s="3">
        <v>740.85</v>
      </c>
      <c r="L45" s="3">
        <v>777.58</v>
      </c>
    </row>
    <row r="46" spans="1:12">
      <c r="A46" s="3" t="s">
        <v>55</v>
      </c>
      <c r="C46" s="3">
        <v>-75.209999999999994</v>
      </c>
      <c r="F46" s="3">
        <v>-70.25</v>
      </c>
      <c r="G46" s="3">
        <v>-69.22</v>
      </c>
      <c r="H46" s="3">
        <v>-59.12</v>
      </c>
      <c r="I46" s="3">
        <v>-21.84</v>
      </c>
      <c r="J46" s="3">
        <v>7.28</v>
      </c>
      <c r="K46" s="3">
        <v>66.22</v>
      </c>
      <c r="L46" s="3">
        <v>98.91</v>
      </c>
    </row>
    <row r="47" spans="1:12">
      <c r="A47" s="3" t="s">
        <v>56</v>
      </c>
      <c r="C47" s="3">
        <v>-62.71</v>
      </c>
      <c r="D47" s="3">
        <v>-62.71</v>
      </c>
      <c r="F47" s="3">
        <v>-47.33</v>
      </c>
      <c r="G47" s="3">
        <v>300.25</v>
      </c>
      <c r="H47" s="3">
        <v>320.58999999999997</v>
      </c>
      <c r="I47" s="3">
        <v>716.1</v>
      </c>
      <c r="J47" s="3">
        <v>719.09</v>
      </c>
      <c r="K47" s="3">
        <v>807.08</v>
      </c>
      <c r="L47" s="3">
        <v>876.5</v>
      </c>
    </row>
    <row r="48" spans="1:12">
      <c r="A48" s="3" t="s">
        <v>16</v>
      </c>
      <c r="C48" s="3">
        <v>1.03</v>
      </c>
    </row>
    <row r="49" spans="1:12">
      <c r="A49" s="3" t="s">
        <v>57</v>
      </c>
      <c r="C49" s="3">
        <v>100.86</v>
      </c>
      <c r="D49" s="3">
        <v>100.86</v>
      </c>
      <c r="F49" s="3">
        <v>115.21</v>
      </c>
      <c r="G49" s="3">
        <v>300.25</v>
      </c>
      <c r="H49" s="3">
        <v>320.58999999999997</v>
      </c>
      <c r="I49" s="3">
        <v>716.1</v>
      </c>
      <c r="J49" s="3">
        <v>719.09</v>
      </c>
      <c r="K49" s="3">
        <v>807.08</v>
      </c>
      <c r="L49" s="3">
        <v>876.5</v>
      </c>
    </row>
    <row r="51" spans="1:12">
      <c r="A51" s="3" t="s">
        <v>58</v>
      </c>
      <c r="C51" s="3">
        <v>393.46</v>
      </c>
      <c r="F51" s="3">
        <v>309.8</v>
      </c>
      <c r="G51" s="3">
        <v>477.26</v>
      </c>
      <c r="H51" s="3">
        <v>488.59</v>
      </c>
      <c r="I51" s="3">
        <v>904.58</v>
      </c>
      <c r="J51" s="4">
        <v>1606.13</v>
      </c>
      <c r="K51" s="4">
        <v>1820.46</v>
      </c>
      <c r="L51" s="4">
        <v>1987.59</v>
      </c>
    </row>
    <row r="52" spans="1:12">
      <c r="J52" s="4"/>
      <c r="K52" s="4"/>
      <c r="L52" s="4"/>
    </row>
    <row r="53" spans="1:12">
      <c r="A53" s="3" t="s">
        <v>19</v>
      </c>
    </row>
    <row r="55" spans="1:12">
      <c r="A55" s="3" t="s">
        <v>59</v>
      </c>
      <c r="B55" s="3">
        <v>14.31</v>
      </c>
      <c r="C55" s="3">
        <v>14.56</v>
      </c>
      <c r="D55" s="3">
        <v>14.63</v>
      </c>
      <c r="E55" s="3">
        <v>14.66</v>
      </c>
      <c r="F55" s="3">
        <v>15.04</v>
      </c>
      <c r="G55" s="3">
        <v>73.62</v>
      </c>
      <c r="H55" s="3">
        <v>76.900000000000006</v>
      </c>
      <c r="I55" s="3">
        <v>77.77</v>
      </c>
      <c r="J55" s="3">
        <v>81.96</v>
      </c>
      <c r="K55" s="3">
        <v>84.06</v>
      </c>
      <c r="L55" s="3">
        <v>84.77</v>
      </c>
    </row>
    <row r="56" spans="1:12">
      <c r="A56" s="3" t="s">
        <v>60</v>
      </c>
      <c r="C56" s="3">
        <v>-4.3099999999999996</v>
      </c>
      <c r="D56" s="3">
        <v>-4.3099999999999996</v>
      </c>
      <c r="F56" s="3">
        <v>-3.15</v>
      </c>
      <c r="G56" s="3">
        <v>4.0999999999999996</v>
      </c>
      <c r="H56" s="3">
        <v>4.34</v>
      </c>
      <c r="I56" s="3">
        <v>9.2200000000000006</v>
      </c>
      <c r="J56" s="3">
        <v>8.82</v>
      </c>
      <c r="K56" s="3">
        <v>9.65</v>
      </c>
      <c r="L56" s="3">
        <v>10.35</v>
      </c>
    </row>
    <row r="57" spans="1:12">
      <c r="A57" s="3" t="s">
        <v>61</v>
      </c>
      <c r="C57" s="3">
        <v>-64.91</v>
      </c>
      <c r="D57" s="3">
        <v>-64.91</v>
      </c>
      <c r="F57" s="3">
        <v>-52.23</v>
      </c>
      <c r="G57" s="3">
        <v>294.25</v>
      </c>
      <c r="H57" s="3">
        <v>314.58999999999997</v>
      </c>
      <c r="I57" s="3">
        <v>618.9</v>
      </c>
      <c r="J57" s="3">
        <v>620.25</v>
      </c>
      <c r="K57" s="3">
        <v>706.61</v>
      </c>
      <c r="L57" s="3">
        <v>772.81</v>
      </c>
    </row>
    <row r="58" spans="1:12">
      <c r="A58" s="3" t="s">
        <v>62</v>
      </c>
      <c r="C58" s="3">
        <v>-4.46</v>
      </c>
      <c r="D58" s="3">
        <v>-4.46</v>
      </c>
      <c r="F58" s="3">
        <v>-3.47</v>
      </c>
      <c r="G58" s="3">
        <v>4.01</v>
      </c>
      <c r="H58" s="3">
        <v>4.26</v>
      </c>
      <c r="I58" s="3">
        <v>7.97</v>
      </c>
      <c r="J58" s="3">
        <v>7.61</v>
      </c>
      <c r="K58" s="3">
        <v>8.4499999999999993</v>
      </c>
      <c r="L58" s="3">
        <v>9.1300000000000008</v>
      </c>
    </row>
    <row r="59" spans="1:12">
      <c r="A59" s="3" t="s">
        <v>63</v>
      </c>
      <c r="C59" s="3">
        <v>231.78</v>
      </c>
      <c r="D59" s="3">
        <v>231.78</v>
      </c>
      <c r="F59" s="3">
        <v>115.43</v>
      </c>
      <c r="G59" s="3">
        <v>82.06</v>
      </c>
      <c r="H59" s="3">
        <v>60.51</v>
      </c>
      <c r="I59" s="3">
        <v>23.84</v>
      </c>
      <c r="J59" s="3">
        <v>721.4</v>
      </c>
      <c r="K59" s="3">
        <v>795.8</v>
      </c>
      <c r="L59" s="3">
        <v>869.27</v>
      </c>
    </row>
    <row r="60" spans="1:12">
      <c r="A60" s="3" t="s">
        <v>64</v>
      </c>
      <c r="C60" s="3">
        <v>187.39</v>
      </c>
      <c r="D60" s="3">
        <v>187.39</v>
      </c>
      <c r="F60" s="3">
        <v>62.2</v>
      </c>
      <c r="G60" s="3">
        <v>-168.76</v>
      </c>
      <c r="H60" s="3">
        <v>-196.51</v>
      </c>
      <c r="I60" s="3">
        <v>-482.45</v>
      </c>
      <c r="J60" s="3">
        <v>-320.06</v>
      </c>
      <c r="K60" s="3">
        <v>-190.81</v>
      </c>
      <c r="L60" s="3">
        <v>111.45</v>
      </c>
    </row>
    <row r="61" spans="1:12">
      <c r="A61" s="3" t="s">
        <v>65</v>
      </c>
      <c r="C61" s="6"/>
      <c r="D61" s="6"/>
    </row>
    <row r="62" spans="1:12">
      <c r="A62" s="3" t="s">
        <v>66</v>
      </c>
      <c r="C62" s="6"/>
      <c r="F62" s="6"/>
      <c r="G62" s="6"/>
      <c r="K62" s="6"/>
    </row>
  </sheetData>
  <conditionalFormatting sqref="B1:XFD1 A2:XFD1048576">
    <cfRule type="cellIs" dxfId="10" priority="2" operator="lessThan">
      <formula>0</formula>
    </cfRule>
  </conditionalFormatting>
  <conditionalFormatting sqref="A1">
    <cfRule type="cellIs" dxfId="9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E1243-CAFA-7747-8843-F6BC686D32B7}">
  <dimension ref="A1:AE55"/>
  <sheetViews>
    <sheetView workbookViewId="0">
      <pane xSplit="1" ySplit="7" topLeftCell="F33" activePane="bottomRight" state="frozen"/>
      <selection pane="topRight" activeCell="B1" sqref="B1"/>
      <selection pane="bottomLeft" activeCell="A8" sqref="A8"/>
      <selection pane="bottomRight" activeCell="M25" sqref="M25"/>
    </sheetView>
  </sheetViews>
  <sheetFormatPr baseColWidth="10" defaultRowHeight="16"/>
  <cols>
    <col min="1" max="1" width="57.33203125" style="3" bestFit="1" customWidth="1"/>
    <col min="2" max="2" width="8.33203125" style="3" hidden="1" customWidth="1"/>
    <col min="3" max="3" width="9.5" style="3" hidden="1" customWidth="1"/>
    <col min="4" max="4" width="10.5" style="3" bestFit="1" customWidth="1"/>
    <col min="5" max="6" width="8.6640625" style="3" bestFit="1" customWidth="1"/>
    <col min="7" max="10" width="9.83203125" style="3" bestFit="1" customWidth="1"/>
    <col min="11" max="12" width="10.5" style="3" bestFit="1" customWidth="1"/>
    <col min="13" max="16384" width="10.83203125" style="3"/>
  </cols>
  <sheetData>
    <row r="1" spans="1:31" ht="81" customHeight="1">
      <c r="A1" s="1" t="s">
        <v>193</v>
      </c>
    </row>
    <row r="2" spans="1:31" ht="26">
      <c r="A2" s="2" t="s">
        <v>134</v>
      </c>
    </row>
    <row r="3" spans="1:31">
      <c r="A3" s="3" t="s">
        <v>133</v>
      </c>
    </row>
    <row r="6" spans="1:31">
      <c r="B6" s="3" t="s">
        <v>104</v>
      </c>
      <c r="C6" s="3" t="s">
        <v>105</v>
      </c>
      <c r="D6" s="3" t="s">
        <v>106</v>
      </c>
      <c r="E6" s="3" t="s">
        <v>107</v>
      </c>
      <c r="F6" s="3" t="s">
        <v>108</v>
      </c>
      <c r="G6" s="3" t="s">
        <v>109</v>
      </c>
      <c r="H6" s="3" t="s">
        <v>110</v>
      </c>
      <c r="I6" s="3" t="s">
        <v>111</v>
      </c>
      <c r="J6" s="3" t="s">
        <v>112</v>
      </c>
      <c r="K6" s="3" t="s">
        <v>113</v>
      </c>
      <c r="L6" s="3" t="s">
        <v>114</v>
      </c>
      <c r="M6" s="3" t="s">
        <v>115</v>
      </c>
      <c r="N6" s="3" t="s">
        <v>116</v>
      </c>
      <c r="O6" s="3" t="s">
        <v>117</v>
      </c>
      <c r="P6" s="3" t="s">
        <v>118</v>
      </c>
      <c r="Q6" s="3" t="s">
        <v>119</v>
      </c>
      <c r="R6" s="3" t="s">
        <v>120</v>
      </c>
      <c r="S6" s="3" t="s">
        <v>121</v>
      </c>
      <c r="T6" s="3" t="s">
        <v>122</v>
      </c>
      <c r="U6" s="3" t="s">
        <v>123</v>
      </c>
      <c r="V6" s="3" t="s">
        <v>124</v>
      </c>
      <c r="W6" s="3" t="s">
        <v>125</v>
      </c>
      <c r="AA6" s="3" t="s">
        <v>126</v>
      </c>
      <c r="AB6" s="3" t="s">
        <v>127</v>
      </c>
      <c r="AC6" s="3" t="s">
        <v>129</v>
      </c>
      <c r="AD6" s="3" t="s">
        <v>130</v>
      </c>
      <c r="AE6" s="3" t="s">
        <v>131</v>
      </c>
    </row>
    <row r="7" spans="1:31">
      <c r="A7" s="17" t="s">
        <v>67</v>
      </c>
      <c r="B7" s="93">
        <v>43738</v>
      </c>
      <c r="C7" s="93">
        <v>43830</v>
      </c>
      <c r="D7" s="93">
        <v>43921</v>
      </c>
      <c r="E7" s="93">
        <v>44012</v>
      </c>
      <c r="F7" s="93">
        <v>44104</v>
      </c>
      <c r="G7" s="93">
        <v>44196</v>
      </c>
      <c r="H7" s="93">
        <v>44286</v>
      </c>
      <c r="I7" s="93">
        <v>44377</v>
      </c>
      <c r="J7" s="93">
        <v>44469</v>
      </c>
      <c r="K7" s="93">
        <v>44561</v>
      </c>
      <c r="L7" s="93">
        <v>44651</v>
      </c>
      <c r="M7" s="93">
        <f>I7+365</f>
        <v>44742</v>
      </c>
      <c r="N7" s="93">
        <f t="shared" ref="N7:S7" si="0">J7+365</f>
        <v>44834</v>
      </c>
      <c r="O7" s="93">
        <f t="shared" si="0"/>
        <v>44926</v>
      </c>
      <c r="P7" s="93">
        <f t="shared" si="0"/>
        <v>45016</v>
      </c>
      <c r="Q7" s="93">
        <f t="shared" si="0"/>
        <v>45107</v>
      </c>
      <c r="R7" s="93">
        <f t="shared" si="0"/>
        <v>45199</v>
      </c>
      <c r="S7" s="93">
        <f t="shared" si="0"/>
        <v>45291</v>
      </c>
      <c r="T7" s="93">
        <f>P7+366</f>
        <v>45382</v>
      </c>
      <c r="U7" s="93">
        <f t="shared" ref="U7:W7" si="1">Q7+366</f>
        <v>45473</v>
      </c>
      <c r="V7" s="93">
        <f t="shared" si="1"/>
        <v>45565</v>
      </c>
      <c r="W7" s="93">
        <f t="shared" si="1"/>
        <v>45657</v>
      </c>
      <c r="AA7" s="3" t="s">
        <v>128</v>
      </c>
      <c r="AB7" s="3" t="s">
        <v>128</v>
      </c>
      <c r="AC7" s="3" t="s">
        <v>128</v>
      </c>
      <c r="AD7" s="3" t="s">
        <v>132</v>
      </c>
      <c r="AE7" s="3" t="s">
        <v>128</v>
      </c>
    </row>
    <row r="8" spans="1:31">
      <c r="A8" s="3" t="s">
        <v>17</v>
      </c>
      <c r="C8" s="3">
        <v>6.05</v>
      </c>
      <c r="D8" s="3">
        <v>1.48</v>
      </c>
      <c r="E8" s="3">
        <v>-6.19</v>
      </c>
      <c r="F8" s="3">
        <v>9.67</v>
      </c>
      <c r="G8" s="3">
        <v>1.03</v>
      </c>
      <c r="H8" s="3">
        <v>10.1</v>
      </c>
      <c r="I8" s="3">
        <v>37.28</v>
      </c>
      <c r="J8" s="3">
        <v>29.11</v>
      </c>
      <c r="K8" s="3">
        <v>58.94</v>
      </c>
      <c r="L8" s="3">
        <v>32.69</v>
      </c>
      <c r="M8" s="33">
        <f>'P&amp;L GAAP'!M67</f>
        <v>1.9519536000000131</v>
      </c>
      <c r="N8" s="33">
        <f>'P&amp;L GAAP'!N67</f>
        <v>5.9127599999999685</v>
      </c>
      <c r="O8" s="33">
        <f>'P&amp;L GAAP'!O67</f>
        <v>37.936916399999987</v>
      </c>
      <c r="P8" s="33">
        <f>'P&amp;L GAAP'!P67</f>
        <v>39.54953400000003</v>
      </c>
      <c r="Q8" s="33">
        <f>'P&amp;L GAAP'!Q67</f>
        <v>33.679874999999967</v>
      </c>
      <c r="R8" s="33">
        <f>'P&amp;L GAAP'!R67</f>
        <v>38.596030500000019</v>
      </c>
      <c r="S8" s="33">
        <f>'P&amp;L GAAP'!S67</f>
        <v>54.937157700000014</v>
      </c>
      <c r="T8" s="33">
        <f>'P&amp;L GAAP'!T67</f>
        <v>57.625351500000043</v>
      </c>
      <c r="U8" s="33">
        <f>'P&amp;L GAAP'!U67</f>
        <v>41.487345750000017</v>
      </c>
      <c r="V8" s="33">
        <f>'P&amp;L GAAP'!V67</f>
        <v>40.726079175000031</v>
      </c>
      <c r="W8" s="33">
        <f>'P&amp;L GAAP'!W67</f>
        <v>57.385637714999959</v>
      </c>
    </row>
    <row r="10" spans="1:31">
      <c r="A10" s="3" t="s">
        <v>68</v>
      </c>
      <c r="C10" s="3">
        <v>0.45</v>
      </c>
      <c r="D10" s="3">
        <v>0.52</v>
      </c>
      <c r="E10" s="3">
        <v>0.54</v>
      </c>
      <c r="F10" s="3">
        <v>0.57999999999999996</v>
      </c>
      <c r="G10" s="3">
        <v>0.65</v>
      </c>
      <c r="H10" s="3">
        <v>0.82</v>
      </c>
      <c r="I10" s="3">
        <v>0.88</v>
      </c>
      <c r="J10" s="3">
        <v>0.62</v>
      </c>
      <c r="K10" s="3">
        <v>1.49</v>
      </c>
      <c r="L10" s="3">
        <v>1.68</v>
      </c>
      <c r="M10" s="33">
        <f>M11*(BS!L20)</f>
        <v>3.1571999999999996</v>
      </c>
      <c r="N10" s="33">
        <f>N11*(BS!M20)</f>
        <v>0</v>
      </c>
      <c r="O10" s="33">
        <f>O11*(BS!N20)</f>
        <v>0</v>
      </c>
    </row>
    <row r="11" spans="1:31">
      <c r="A11" s="3" t="s">
        <v>201</v>
      </c>
      <c r="D11" s="34" t="e">
        <f>D10/(BS!D18+BS!D19)</f>
        <v>#DIV/0!</v>
      </c>
      <c r="E11" s="34" t="e">
        <f>E10/(BS!E18+BS!E19)</f>
        <v>#DIV/0!</v>
      </c>
      <c r="F11" s="34">
        <f>F10/(BS!F18+BS!F19)</f>
        <v>3.2097399003873824E-2</v>
      </c>
      <c r="G11" s="34">
        <f>G10/(BS!G18+BS!G19)</f>
        <v>2.909579230080573E-2</v>
      </c>
      <c r="H11" s="34">
        <f>H10/(BS!H18+BS!H19)</f>
        <v>3.8389513108614222E-2</v>
      </c>
      <c r="I11" s="34">
        <f>I10/(BS!I18+BS!I19)</f>
        <v>4.0835266821345709E-2</v>
      </c>
      <c r="J11" s="34">
        <f>J10/(BS!J18+BS!J19)</f>
        <v>7.9568788501026694E-3</v>
      </c>
      <c r="K11" s="34">
        <f>K10/(BS!K18+BS!K19)</f>
        <v>1.3942172733227285E-2</v>
      </c>
      <c r="L11" s="34">
        <f>L10/(BS!L18+BS!L19)</f>
        <v>1.5963511972633977E-2</v>
      </c>
      <c r="M11" s="49">
        <v>0.03</v>
      </c>
      <c r="N11" s="49">
        <v>0.03</v>
      </c>
      <c r="O11" s="49">
        <v>0.03</v>
      </c>
      <c r="P11" s="49">
        <v>0.03</v>
      </c>
      <c r="Q11" s="49">
        <v>0.03</v>
      </c>
      <c r="R11" s="49">
        <v>0.03</v>
      </c>
    </row>
    <row r="13" spans="1:31">
      <c r="A13" s="3" t="s">
        <v>69</v>
      </c>
      <c r="I13" s="3">
        <v>1.1000000000000001</v>
      </c>
      <c r="K13" s="3">
        <v>0.28999999999999998</v>
      </c>
      <c r="L13" s="3">
        <v>1.1000000000000001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</row>
    <row r="15" spans="1:31">
      <c r="A15" s="3" t="s">
        <v>70</v>
      </c>
      <c r="C15" s="3">
        <v>0.45</v>
      </c>
      <c r="D15" s="3">
        <v>0.52</v>
      </c>
      <c r="E15" s="3">
        <v>0.54</v>
      </c>
      <c r="F15" s="3">
        <v>0.57999999999999996</v>
      </c>
      <c r="G15" s="3">
        <v>0.65</v>
      </c>
      <c r="H15" s="3">
        <v>0.82</v>
      </c>
      <c r="I15" s="3">
        <v>1.98</v>
      </c>
      <c r="J15" s="3">
        <v>0.62</v>
      </c>
      <c r="K15" s="3">
        <v>1.77</v>
      </c>
      <c r="L15" s="3">
        <f>SUM(L10,L13)</f>
        <v>2.7800000000000002</v>
      </c>
      <c r="M15" s="3">
        <v>2.5</v>
      </c>
      <c r="N15" s="3">
        <v>2</v>
      </c>
      <c r="O15" s="3">
        <v>2</v>
      </c>
      <c r="P15" s="3">
        <v>2</v>
      </c>
      <c r="Q15" s="3">
        <v>2</v>
      </c>
      <c r="R15" s="3">
        <v>2</v>
      </c>
      <c r="S15" s="3">
        <v>2</v>
      </c>
      <c r="T15" s="3">
        <v>2</v>
      </c>
      <c r="U15" s="3">
        <v>2</v>
      </c>
      <c r="V15" s="3">
        <v>2</v>
      </c>
      <c r="W15" s="3">
        <v>2</v>
      </c>
    </row>
    <row r="16" spans="1:31">
      <c r="A16" s="3" t="s">
        <v>71</v>
      </c>
      <c r="J16" s="3">
        <v>1.57</v>
      </c>
      <c r="K16" s="3">
        <v>0.78</v>
      </c>
    </row>
    <row r="17" spans="1:12">
      <c r="A17" s="3" t="s">
        <v>72</v>
      </c>
      <c r="G17" s="3">
        <v>-1.53</v>
      </c>
      <c r="H17" s="3">
        <v>7.0000000000000007E-2</v>
      </c>
      <c r="K17" s="3">
        <v>-6.92</v>
      </c>
      <c r="L17" s="3">
        <v>-8.7100000000000009</v>
      </c>
    </row>
    <row r="18" spans="1:12">
      <c r="A18" s="3" t="s">
        <v>73</v>
      </c>
      <c r="C18" s="3">
        <v>0.86</v>
      </c>
      <c r="D18" s="3">
        <v>-1.46</v>
      </c>
      <c r="E18" s="3">
        <v>-0.22</v>
      </c>
      <c r="F18" s="3">
        <v>-7.0000000000000007E-2</v>
      </c>
      <c r="G18" s="3">
        <v>1.75</v>
      </c>
      <c r="H18" s="3">
        <v>7.0000000000000007E-2</v>
      </c>
      <c r="I18" s="3">
        <v>-2.17</v>
      </c>
      <c r="J18" s="3">
        <v>-2.12</v>
      </c>
      <c r="K18" s="3">
        <v>4.22</v>
      </c>
    </row>
    <row r="19" spans="1:12">
      <c r="A19" s="3" t="s">
        <v>74</v>
      </c>
      <c r="C19" s="3">
        <v>-1.27</v>
      </c>
      <c r="F19" s="3">
        <v>-1.75</v>
      </c>
    </row>
    <row r="20" spans="1:12" ht="16" customHeight="1">
      <c r="A20" s="3" t="s">
        <v>75</v>
      </c>
      <c r="C20" s="3">
        <v>1.6</v>
      </c>
      <c r="D20" s="3">
        <v>1.97</v>
      </c>
      <c r="E20" s="3">
        <v>2.88</v>
      </c>
      <c r="F20" s="3">
        <v>3.05</v>
      </c>
      <c r="G20" s="3">
        <v>4.41</v>
      </c>
      <c r="H20" s="3">
        <v>8.6199999999999992</v>
      </c>
      <c r="I20" s="3">
        <v>21.19</v>
      </c>
      <c r="J20" s="3">
        <v>20.32</v>
      </c>
      <c r="K20" s="3">
        <v>23.06</v>
      </c>
      <c r="L20" s="3">
        <v>25.05</v>
      </c>
    </row>
    <row r="21" spans="1:12">
      <c r="A21" s="3" t="s">
        <v>76</v>
      </c>
      <c r="C21" s="3">
        <v>0.31</v>
      </c>
      <c r="D21" s="3">
        <v>11.53</v>
      </c>
      <c r="E21" s="3">
        <v>2.37</v>
      </c>
      <c r="F21" s="3">
        <v>4.5599999999999996</v>
      </c>
      <c r="G21" s="3">
        <v>10.27</v>
      </c>
      <c r="H21" s="3">
        <v>0.92</v>
      </c>
      <c r="I21" s="3">
        <v>-4.87</v>
      </c>
      <c r="J21" s="3">
        <v>-0.9</v>
      </c>
      <c r="K21" s="3">
        <v>6.6</v>
      </c>
      <c r="L21" s="3">
        <v>19.13</v>
      </c>
    </row>
    <row r="23" spans="1:12">
      <c r="A23" s="3" t="s">
        <v>77</v>
      </c>
      <c r="C23" s="3">
        <v>5.12</v>
      </c>
      <c r="D23" s="3">
        <v>-3</v>
      </c>
      <c r="E23" s="3">
        <v>-0.34</v>
      </c>
      <c r="F23" s="3">
        <v>2.75</v>
      </c>
      <c r="G23" s="3">
        <v>7.63</v>
      </c>
      <c r="H23" s="3">
        <v>-5.81</v>
      </c>
      <c r="I23" s="3">
        <v>9.19</v>
      </c>
      <c r="J23" s="3">
        <v>-7.94</v>
      </c>
      <c r="K23" s="3">
        <v>-2.96</v>
      </c>
      <c r="L23" s="3">
        <v>3.37</v>
      </c>
    </row>
    <row r="25" spans="1:12">
      <c r="A25" s="3" t="s">
        <v>78</v>
      </c>
      <c r="C25" s="3">
        <v>-2.56</v>
      </c>
      <c r="D25" s="3">
        <v>-97.55</v>
      </c>
      <c r="E25" s="3">
        <v>16.95</v>
      </c>
      <c r="F25" s="3">
        <v>-2.81</v>
      </c>
      <c r="G25" s="3">
        <v>44.32</v>
      </c>
      <c r="H25" s="3">
        <v>28.37</v>
      </c>
      <c r="I25" s="3">
        <v>30.2</v>
      </c>
      <c r="J25" s="3">
        <v>2.94</v>
      </c>
      <c r="K25" s="3">
        <v>-96.66</v>
      </c>
      <c r="L25" s="3">
        <v>-341.12</v>
      </c>
    </row>
    <row r="27" spans="1:12">
      <c r="A27" s="3" t="s">
        <v>79</v>
      </c>
      <c r="C27" s="3">
        <v>10.56</v>
      </c>
      <c r="D27" s="3">
        <f>D8+D15+D16+D17+D18+D19+D20+D21+D23+D25</f>
        <v>-86.509999999999991</v>
      </c>
      <c r="E27" s="3">
        <f t="shared" ref="E27:L27" si="2">E8+E15+E16+E17+E18+E19+E20+E21+E23+E25</f>
        <v>15.989999999999998</v>
      </c>
      <c r="F27" s="3">
        <f t="shared" si="2"/>
        <v>15.979999999999999</v>
      </c>
      <c r="G27" s="3">
        <f t="shared" si="2"/>
        <v>68.53</v>
      </c>
      <c r="H27" s="3">
        <f t="shared" si="2"/>
        <v>43.160000000000004</v>
      </c>
      <c r="I27" s="3">
        <f t="shared" si="2"/>
        <v>92.8</v>
      </c>
      <c r="J27" s="3">
        <f t="shared" si="2"/>
        <v>43.6</v>
      </c>
      <c r="K27" s="3">
        <f t="shared" si="2"/>
        <v>-11.170000000000002</v>
      </c>
      <c r="L27" s="3">
        <f t="shared" si="2"/>
        <v>-266.81</v>
      </c>
    </row>
    <row r="29" spans="1:12">
      <c r="A29" s="3" t="s">
        <v>80</v>
      </c>
      <c r="C29" s="3">
        <v>2.56</v>
      </c>
      <c r="D29" s="3">
        <v>-100.55</v>
      </c>
      <c r="E29" s="3">
        <v>16.61</v>
      </c>
      <c r="F29" s="3">
        <v>-0.06</v>
      </c>
      <c r="G29" s="3">
        <v>51.94</v>
      </c>
      <c r="H29" s="3">
        <v>22.57</v>
      </c>
      <c r="I29" s="3">
        <v>39.39</v>
      </c>
      <c r="J29" s="3">
        <v>-5</v>
      </c>
      <c r="K29" s="3">
        <v>-99.62</v>
      </c>
      <c r="L29" s="3">
        <v>-337.75</v>
      </c>
    </row>
    <row r="30" spans="1:12">
      <c r="A30" s="3" t="s">
        <v>81</v>
      </c>
      <c r="C30" s="3">
        <v>-3.75</v>
      </c>
      <c r="D30" s="3">
        <v>-0.51</v>
      </c>
      <c r="E30" s="3">
        <v>-0.4</v>
      </c>
      <c r="F30" s="3">
        <v>-0.37</v>
      </c>
      <c r="G30" s="3">
        <v>-7.0000000000000007E-2</v>
      </c>
      <c r="H30" s="3">
        <v>-0.27</v>
      </c>
      <c r="I30" s="3">
        <v>-1.73</v>
      </c>
      <c r="J30" s="3">
        <v>-2.96</v>
      </c>
      <c r="K30" s="3">
        <v>-3.47</v>
      </c>
      <c r="L30" s="3">
        <v>-1.63</v>
      </c>
    </row>
    <row r="31" spans="1:12">
      <c r="A31" s="3" t="s">
        <v>82</v>
      </c>
      <c r="I31" s="3">
        <v>-16.559999999999999</v>
      </c>
      <c r="K31" s="3">
        <v>-0.2</v>
      </c>
    </row>
    <row r="32" spans="1:12">
      <c r="A32" s="3" t="s">
        <v>83</v>
      </c>
      <c r="C32" s="3">
        <v>-0.26</v>
      </c>
      <c r="D32" s="3">
        <v>-0.86</v>
      </c>
      <c r="E32" s="3">
        <v>-0.8</v>
      </c>
      <c r="F32" s="3">
        <v>-1.31</v>
      </c>
      <c r="G32" s="3">
        <v>-1.28</v>
      </c>
      <c r="H32" s="3">
        <v>-0.33</v>
      </c>
      <c r="I32" s="3">
        <v>-1.81</v>
      </c>
      <c r="J32" s="3">
        <v>-2.33</v>
      </c>
      <c r="K32" s="3">
        <v>-2.21</v>
      </c>
      <c r="L32" s="3">
        <v>-3.66</v>
      </c>
    </row>
    <row r="33" spans="1:13">
      <c r="A33" s="3" t="s">
        <v>84</v>
      </c>
      <c r="J33" s="3">
        <v>-40</v>
      </c>
      <c r="L33" s="3">
        <v>-1</v>
      </c>
    </row>
    <row r="34" spans="1:13">
      <c r="A34" s="3" t="s">
        <v>85</v>
      </c>
      <c r="C34" s="3">
        <v>-7.3</v>
      </c>
      <c r="D34" s="3">
        <v>106.08</v>
      </c>
      <c r="E34" s="3">
        <v>12.47</v>
      </c>
      <c r="F34" s="3">
        <v>2.11</v>
      </c>
      <c r="G34" s="3">
        <v>6.8</v>
      </c>
      <c r="H34" s="3">
        <v>-1.62</v>
      </c>
      <c r="I34" s="3">
        <v>-23.73</v>
      </c>
      <c r="J34" s="3">
        <v>-41.88</v>
      </c>
      <c r="K34" s="3">
        <v>-16.239999999999998</v>
      </c>
      <c r="L34" s="3">
        <v>9.4</v>
      </c>
    </row>
    <row r="35" spans="1:13">
      <c r="A35" s="3" t="s">
        <v>86</v>
      </c>
      <c r="C35" s="3">
        <v>3.23</v>
      </c>
      <c r="D35" s="3">
        <v>4.0199999999999996</v>
      </c>
      <c r="E35" s="3">
        <v>3.59</v>
      </c>
      <c r="F35" s="3">
        <v>3.69</v>
      </c>
      <c r="G35" s="3">
        <v>3.36</v>
      </c>
      <c r="H35" s="3">
        <v>3.12</v>
      </c>
      <c r="I35" s="3">
        <v>3.23</v>
      </c>
      <c r="J35" s="3">
        <v>2.77</v>
      </c>
      <c r="K35" s="3">
        <v>2.34</v>
      </c>
      <c r="L35" s="3">
        <v>2.0699999999999998</v>
      </c>
    </row>
    <row r="36" spans="1:13">
      <c r="A36" s="3" t="s">
        <v>87</v>
      </c>
      <c r="C36" s="3">
        <v>-8.09</v>
      </c>
      <c r="D36" s="3">
        <v>108.74</v>
      </c>
      <c r="E36" s="3">
        <v>14.86</v>
      </c>
      <c r="F36" s="3">
        <v>4.1100000000000003</v>
      </c>
      <c r="G36" s="3">
        <v>8.81</v>
      </c>
      <c r="H36" s="3">
        <v>0.9</v>
      </c>
      <c r="I36" s="3">
        <v>-40.6</v>
      </c>
      <c r="J36" s="3">
        <v>-84.4</v>
      </c>
      <c r="K36" s="3">
        <v>-19.78</v>
      </c>
      <c r="L36" s="3">
        <v>5.18</v>
      </c>
    </row>
    <row r="37" spans="1:13">
      <c r="A37" s="3" t="s">
        <v>88</v>
      </c>
      <c r="C37" s="3">
        <v>42.66</v>
      </c>
      <c r="D37" s="3">
        <v>64.84</v>
      </c>
      <c r="E37" s="3">
        <v>11.16</v>
      </c>
      <c r="F37" s="3">
        <v>5.76</v>
      </c>
      <c r="G37" s="3">
        <v>10.3</v>
      </c>
      <c r="H37" s="3">
        <v>5.83</v>
      </c>
      <c r="J37" s="3">
        <v>661.25</v>
      </c>
      <c r="K37" s="3">
        <v>51.34</v>
      </c>
      <c r="L37" s="3">
        <v>80</v>
      </c>
    </row>
    <row r="38" spans="1:13">
      <c r="A38" s="3" t="s">
        <v>89</v>
      </c>
      <c r="C38" s="3">
        <v>-63.69</v>
      </c>
      <c r="D38" s="3">
        <v>-94.75</v>
      </c>
      <c r="E38" s="3">
        <v>-18.22</v>
      </c>
      <c r="F38" s="3">
        <v>-12.99</v>
      </c>
      <c r="G38" s="3">
        <v>-48.28</v>
      </c>
      <c r="H38" s="3">
        <v>-26.58</v>
      </c>
      <c r="I38" s="3">
        <v>-35.869999999999997</v>
      </c>
      <c r="J38" s="3">
        <v>-2.96</v>
      </c>
      <c r="K38" s="3">
        <v>-5.9</v>
      </c>
      <c r="L38" s="3">
        <v>-6.99</v>
      </c>
    </row>
    <row r="39" spans="1:13">
      <c r="A39" s="3" t="s">
        <v>90</v>
      </c>
      <c r="C39" s="3">
        <v>0.17</v>
      </c>
      <c r="D39" s="3">
        <v>0.19</v>
      </c>
      <c r="E39" s="3">
        <v>0.02</v>
      </c>
      <c r="F39" s="3">
        <v>0.31</v>
      </c>
      <c r="G39" s="3">
        <v>161.34</v>
      </c>
      <c r="H39" s="3">
        <v>1.49</v>
      </c>
      <c r="I39" s="3">
        <v>265.37</v>
      </c>
      <c r="J39" s="3">
        <v>10.99</v>
      </c>
      <c r="K39" s="3">
        <v>4.96</v>
      </c>
      <c r="L39" s="3">
        <v>10.06</v>
      </c>
    </row>
    <row r="40" spans="1:13">
      <c r="A40" s="3" t="s">
        <v>91</v>
      </c>
      <c r="I40" s="3">
        <v>-0.24</v>
      </c>
      <c r="M40" s="3">
        <v>-75</v>
      </c>
    </row>
    <row r="41" spans="1:13">
      <c r="A41" s="3" t="s">
        <v>92</v>
      </c>
      <c r="C41" s="3">
        <v>1.1299999999999999</v>
      </c>
      <c r="G41" s="3">
        <v>0.01</v>
      </c>
    </row>
    <row r="42" spans="1:13">
      <c r="A42" s="3" t="s">
        <v>93</v>
      </c>
      <c r="C42" s="3">
        <v>-0.66</v>
      </c>
    </row>
    <row r="43" spans="1:13">
      <c r="A43" s="3" t="s">
        <v>94</v>
      </c>
      <c r="C43" s="3">
        <v>-2.0699999999999998</v>
      </c>
      <c r="D43" s="3">
        <v>-0.38</v>
      </c>
      <c r="E43" s="3">
        <v>-0.24</v>
      </c>
      <c r="J43" s="3">
        <v>-74.25</v>
      </c>
    </row>
    <row r="44" spans="1:13">
      <c r="A44" s="3" t="s">
        <v>95</v>
      </c>
      <c r="C44" s="3">
        <v>-22.46</v>
      </c>
      <c r="D44" s="3">
        <v>-30.11</v>
      </c>
      <c r="E44" s="3">
        <v>-7.29</v>
      </c>
      <c r="F44" s="3">
        <v>-6.92</v>
      </c>
      <c r="G44" s="3">
        <v>123.36</v>
      </c>
      <c r="H44" s="3">
        <v>-19.260000000000002</v>
      </c>
      <c r="I44" s="3">
        <v>229.26</v>
      </c>
      <c r="J44" s="3">
        <v>595.03</v>
      </c>
      <c r="K44" s="3">
        <v>50.4</v>
      </c>
      <c r="L44" s="3">
        <v>83.07</v>
      </c>
    </row>
    <row r="45" spans="1:13">
      <c r="A45" s="3" t="s">
        <v>96</v>
      </c>
      <c r="C45" s="3">
        <v>-19.989999999999998</v>
      </c>
      <c r="D45" s="3">
        <v>-7.89</v>
      </c>
      <c r="E45" s="3">
        <v>23.55</v>
      </c>
      <c r="F45" s="3">
        <v>14.92</v>
      </c>
      <c r="G45" s="3">
        <v>200.69</v>
      </c>
      <c r="H45" s="3">
        <v>24.73</v>
      </c>
      <c r="I45" s="3">
        <v>281.47000000000003</v>
      </c>
      <c r="J45" s="3">
        <v>554.23</v>
      </c>
      <c r="K45" s="3">
        <v>19.48</v>
      </c>
      <c r="L45" s="3">
        <v>-178.55</v>
      </c>
    </row>
    <row r="47" spans="1:13">
      <c r="A47" s="3" t="s">
        <v>19</v>
      </c>
    </row>
    <row r="48" spans="1:13">
      <c r="A48" s="3" t="s">
        <v>97</v>
      </c>
      <c r="C48" s="3">
        <v>6.8</v>
      </c>
      <c r="D48" s="3">
        <v>-87.03</v>
      </c>
      <c r="E48" s="3">
        <v>15.58</v>
      </c>
      <c r="F48" s="3">
        <v>17.350000000000001</v>
      </c>
      <c r="G48" s="3">
        <v>68.44</v>
      </c>
      <c r="H48" s="3">
        <v>42.82</v>
      </c>
      <c r="I48" s="3">
        <v>91.07</v>
      </c>
      <c r="J48" s="3">
        <v>40.64</v>
      </c>
      <c r="K48" s="3">
        <v>-14.62</v>
      </c>
      <c r="L48" s="3">
        <v>-268.42</v>
      </c>
    </row>
    <row r="49" spans="1:12">
      <c r="A49" s="3" t="s">
        <v>1</v>
      </c>
      <c r="G49" s="81">
        <v>9.0589999999999993</v>
      </c>
      <c r="H49" s="81">
        <v>1.492</v>
      </c>
      <c r="I49" s="81">
        <v>4.8440000000000003</v>
      </c>
      <c r="J49" s="81">
        <v>1.343</v>
      </c>
      <c r="K49" s="81">
        <v>-1.214</v>
      </c>
      <c r="L49" s="81">
        <v>-7.2679999999999998</v>
      </c>
    </row>
    <row r="50" spans="1:12">
      <c r="A50" s="3" t="s">
        <v>98</v>
      </c>
      <c r="C50" s="81">
        <v>0.10199999999999999</v>
      </c>
      <c r="D50" s="81">
        <v>-1.294</v>
      </c>
      <c r="E50" s="81">
        <v>0.79500000000000004</v>
      </c>
      <c r="F50" s="81">
        <v>0.26</v>
      </c>
      <c r="G50" s="81">
        <v>0.78</v>
      </c>
      <c r="H50" s="81">
        <v>0.35</v>
      </c>
      <c r="I50" s="81">
        <v>0.46600000000000003</v>
      </c>
      <c r="J50" s="81">
        <v>0.17799999999999999</v>
      </c>
      <c r="K50" s="81">
        <v>-4.8000000000000001E-2</v>
      </c>
      <c r="L50" s="81">
        <v>-0.86299999999999999</v>
      </c>
    </row>
    <row r="51" spans="1:12">
      <c r="A51" s="3" t="s">
        <v>99</v>
      </c>
      <c r="C51" s="3">
        <v>122.24</v>
      </c>
      <c r="D51" s="3">
        <v>80.069999999999993</v>
      </c>
      <c r="E51" s="3">
        <v>80.069999999999993</v>
      </c>
      <c r="F51" s="3">
        <v>80.069999999999993</v>
      </c>
      <c r="G51" s="3">
        <v>80.069999999999993</v>
      </c>
      <c r="H51" s="3">
        <v>311.33</v>
      </c>
      <c r="I51" s="3">
        <v>311.33</v>
      </c>
      <c r="J51" s="3">
        <v>311.33</v>
      </c>
      <c r="K51" s="3">
        <v>311.33</v>
      </c>
      <c r="L51" s="4">
        <v>1191.24</v>
      </c>
    </row>
    <row r="52" spans="1:12">
      <c r="A52" s="3" t="s">
        <v>100</v>
      </c>
      <c r="C52" s="3">
        <v>80.069999999999993</v>
      </c>
      <c r="D52" s="3">
        <v>72.180000000000007</v>
      </c>
      <c r="E52" s="3">
        <v>95.73</v>
      </c>
      <c r="F52" s="3">
        <v>110.65</v>
      </c>
      <c r="G52" s="3">
        <v>311.33</v>
      </c>
      <c r="H52" s="3">
        <v>336.07</v>
      </c>
      <c r="I52" s="3">
        <v>617.53</v>
      </c>
      <c r="J52" s="4">
        <v>1171.76</v>
      </c>
      <c r="K52" s="4">
        <v>1191.24</v>
      </c>
      <c r="L52" s="4">
        <v>1012.69</v>
      </c>
    </row>
    <row r="53" spans="1:12">
      <c r="A53" s="3" t="s">
        <v>101</v>
      </c>
      <c r="C53" s="3">
        <v>4.3600000000000003</v>
      </c>
      <c r="D53" s="3">
        <v>3.26</v>
      </c>
      <c r="E53" s="3">
        <v>2.2599999999999998</v>
      </c>
      <c r="F53" s="3">
        <v>1.44</v>
      </c>
      <c r="G53" s="3">
        <v>1.07</v>
      </c>
      <c r="H53" s="3">
        <v>1.03</v>
      </c>
      <c r="I53" s="3">
        <v>1.5</v>
      </c>
      <c r="J53" s="3">
        <v>0.27</v>
      </c>
      <c r="K53" s="3">
        <v>0.48</v>
      </c>
      <c r="L53" s="3">
        <v>1.76</v>
      </c>
    </row>
    <row r="54" spans="1:12">
      <c r="A54" s="3" t="s">
        <v>102</v>
      </c>
      <c r="I54" s="3">
        <v>1.57</v>
      </c>
      <c r="J54" s="3">
        <v>0.68</v>
      </c>
      <c r="K54" s="3">
        <v>0.05</v>
      </c>
      <c r="L54" s="3">
        <v>0.02</v>
      </c>
    </row>
    <row r="55" spans="1:12">
      <c r="A55" s="3" t="s">
        <v>103</v>
      </c>
      <c r="C55" s="3">
        <v>0.45</v>
      </c>
      <c r="D55" s="3">
        <v>-6.01</v>
      </c>
      <c r="E55" s="3">
        <v>1.01</v>
      </c>
      <c r="F55" s="3">
        <v>1.0900000000000001</v>
      </c>
      <c r="G55" s="3">
        <v>2.58</v>
      </c>
      <c r="H55" s="3">
        <v>0.57999999999999996</v>
      </c>
      <c r="I55" s="3">
        <v>1.1599999999999999</v>
      </c>
      <c r="J55" s="3">
        <v>0.48</v>
      </c>
      <c r="K55" s="3">
        <v>-0.2</v>
      </c>
      <c r="L55" s="3">
        <v>-3.23</v>
      </c>
    </row>
  </sheetData>
  <conditionalFormatting sqref="B8:AB182">
    <cfRule type="cellIs" dxfId="8" priority="3" operator="lessThan">
      <formula>0</formula>
    </cfRule>
  </conditionalFormatting>
  <conditionalFormatting sqref="B8:AH182">
    <cfRule type="cellIs" dxfId="7" priority="2" operator="lessThan">
      <formula>0</formula>
    </cfRule>
  </conditionalFormatting>
  <conditionalFormatting sqref="A1">
    <cfRule type="cellIs" dxfId="6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E9C60-078E-E24A-BF1A-4AAA32B659C4}">
  <dimension ref="A1:AE72"/>
  <sheetViews>
    <sheetView tabSelected="1" workbookViewId="0">
      <pane xSplit="1" ySplit="7" topLeftCell="D8" activePane="bottomRight" state="frozen"/>
      <selection pane="topRight" activeCell="B1" sqref="B1"/>
      <selection pane="bottomLeft" activeCell="A8" sqref="A8"/>
      <selection pane="bottomRight" activeCell="E23" sqref="E23"/>
    </sheetView>
  </sheetViews>
  <sheetFormatPr baseColWidth="10" defaultRowHeight="16"/>
  <cols>
    <col min="1" max="1" width="63.33203125" style="3" bestFit="1" customWidth="1"/>
    <col min="2" max="2" width="9.83203125" style="3" hidden="1" customWidth="1"/>
    <col min="3" max="3" width="10.5" style="3" hidden="1" customWidth="1"/>
    <col min="4" max="4" width="9.83203125" style="3" bestFit="1" customWidth="1"/>
    <col min="5" max="5" width="10.6640625" style="3" bestFit="1" customWidth="1"/>
    <col min="6" max="6" width="11.1640625" style="3" bestFit="1" customWidth="1"/>
    <col min="7" max="7" width="10.6640625" style="3" bestFit="1" customWidth="1"/>
    <col min="8" max="8" width="11.1640625" style="3" bestFit="1" customWidth="1"/>
    <col min="9" max="9" width="12.5" style="3" bestFit="1" customWidth="1"/>
    <col min="10" max="10" width="11.1640625" style="3" bestFit="1" customWidth="1"/>
    <col min="11" max="11" width="12.5" style="3" bestFit="1" customWidth="1"/>
    <col min="12" max="12" width="11.1640625" style="3" bestFit="1" customWidth="1"/>
    <col min="13" max="13" width="10.83203125" style="13"/>
    <col min="14" max="27" width="10.83203125" style="3"/>
    <col min="28" max="28" width="11.1640625" style="3" bestFit="1" customWidth="1"/>
    <col min="29" max="16384" width="10.83203125" style="3"/>
  </cols>
  <sheetData>
    <row r="1" spans="1:31" ht="81" customHeight="1">
      <c r="A1" s="1"/>
    </row>
    <row r="2" spans="1:31" ht="26">
      <c r="A2" s="2" t="s">
        <v>134</v>
      </c>
    </row>
    <row r="3" spans="1:31">
      <c r="A3" s="3" t="s">
        <v>133</v>
      </c>
    </row>
    <row r="4" spans="1:31">
      <c r="A4" s="36"/>
    </row>
    <row r="6" spans="1:31" s="24" customFormat="1">
      <c r="A6" s="23"/>
      <c r="B6" s="23" t="s">
        <v>104</v>
      </c>
      <c r="C6" s="24" t="s">
        <v>105</v>
      </c>
      <c r="D6" s="24" t="s">
        <v>106</v>
      </c>
      <c r="E6" s="24" t="s">
        <v>107</v>
      </c>
      <c r="F6" s="24" t="s">
        <v>108</v>
      </c>
      <c r="G6" s="24" t="s">
        <v>109</v>
      </c>
      <c r="H6" s="24" t="s">
        <v>110</v>
      </c>
      <c r="I6" s="24" t="s">
        <v>111</v>
      </c>
      <c r="J6" s="24" t="s">
        <v>112</v>
      </c>
      <c r="K6" s="24" t="s">
        <v>113</v>
      </c>
      <c r="L6" s="24" t="s">
        <v>114</v>
      </c>
      <c r="M6" s="69" t="s">
        <v>115</v>
      </c>
      <c r="N6" s="24" t="s">
        <v>116</v>
      </c>
      <c r="O6" s="24" t="s">
        <v>117</v>
      </c>
      <c r="P6" s="24" t="s">
        <v>118</v>
      </c>
      <c r="Q6" s="24" t="s">
        <v>119</v>
      </c>
      <c r="R6" s="24" t="s">
        <v>120</v>
      </c>
      <c r="S6" s="24" t="s">
        <v>121</v>
      </c>
      <c r="T6" s="24" t="s">
        <v>122</v>
      </c>
      <c r="U6" s="24" t="s">
        <v>123</v>
      </c>
      <c r="V6" s="24" t="s">
        <v>124</v>
      </c>
      <c r="W6" s="25" t="s">
        <v>125</v>
      </c>
      <c r="AA6" s="23" t="s">
        <v>126</v>
      </c>
      <c r="AB6" s="24" t="s">
        <v>127</v>
      </c>
      <c r="AC6" s="24" t="s">
        <v>129</v>
      </c>
      <c r="AD6" s="24" t="s">
        <v>130</v>
      </c>
      <c r="AE6" s="25" t="s">
        <v>131</v>
      </c>
    </row>
    <row r="7" spans="1:31" s="27" customFormat="1">
      <c r="A7" s="54" t="s">
        <v>135</v>
      </c>
      <c r="B7" s="37">
        <v>43738</v>
      </c>
      <c r="C7" s="38">
        <v>43830</v>
      </c>
      <c r="D7" s="38">
        <v>43921</v>
      </c>
      <c r="E7" s="38">
        <v>44012</v>
      </c>
      <c r="F7" s="38">
        <v>44104</v>
      </c>
      <c r="G7" s="38">
        <v>44196</v>
      </c>
      <c r="H7" s="38">
        <v>44286</v>
      </c>
      <c r="I7" s="38">
        <v>44377</v>
      </c>
      <c r="J7" s="38">
        <v>44469</v>
      </c>
      <c r="K7" s="38">
        <v>44561</v>
      </c>
      <c r="L7" s="38">
        <v>44651</v>
      </c>
      <c r="M7" s="70">
        <f>I7+365</f>
        <v>44742</v>
      </c>
      <c r="N7" s="38">
        <f t="shared" ref="N7:S7" si="0">J7+365</f>
        <v>44834</v>
      </c>
      <c r="O7" s="38">
        <f t="shared" si="0"/>
        <v>44926</v>
      </c>
      <c r="P7" s="38">
        <f t="shared" si="0"/>
        <v>45016</v>
      </c>
      <c r="Q7" s="38">
        <f t="shared" si="0"/>
        <v>45107</v>
      </c>
      <c r="R7" s="38">
        <f t="shared" si="0"/>
        <v>45199</v>
      </c>
      <c r="S7" s="38">
        <f t="shared" si="0"/>
        <v>45291</v>
      </c>
      <c r="T7" s="38">
        <f>P7+366</f>
        <v>45382</v>
      </c>
      <c r="U7" s="38">
        <f t="shared" ref="U7:W7" si="1">Q7+366</f>
        <v>45473</v>
      </c>
      <c r="V7" s="38">
        <f t="shared" si="1"/>
        <v>45565</v>
      </c>
      <c r="W7" s="39">
        <f t="shared" si="1"/>
        <v>45657</v>
      </c>
      <c r="AA7" s="26" t="s">
        <v>128</v>
      </c>
      <c r="AB7" s="27" t="s">
        <v>128</v>
      </c>
      <c r="AC7" s="27" t="s">
        <v>128</v>
      </c>
      <c r="AD7" s="27" t="s">
        <v>132</v>
      </c>
      <c r="AE7" s="28" t="s">
        <v>128</v>
      </c>
    </row>
    <row r="9" spans="1:31" s="47" customFormat="1">
      <c r="A9" s="46" t="s">
        <v>0</v>
      </c>
      <c r="B9" s="47" t="e">
        <f>SUM(#REF!,#REF!,#REF!)</f>
        <v>#REF!</v>
      </c>
      <c r="C9" s="47" t="e">
        <f>SUM(#REF!,#REF!,#REF!)</f>
        <v>#REF!</v>
      </c>
      <c r="D9" s="48">
        <f>'P&amp;L GAAP'!D13</f>
        <v>63.989999999999995</v>
      </c>
      <c r="E9" s="48">
        <f>'P&amp;L GAAP'!E13</f>
        <v>17.344000000000001</v>
      </c>
      <c r="F9" s="48">
        <f>'P&amp;L GAAP'!F13</f>
        <v>65.36</v>
      </c>
      <c r="G9" s="48">
        <f>'P&amp;L GAAP'!G13</f>
        <v>86.722000000000008</v>
      </c>
      <c r="H9" s="48">
        <f>'P&amp;L GAAP'!H13</f>
        <v>121.35</v>
      </c>
      <c r="I9" s="48">
        <f>'P&amp;L GAAP'!I13</f>
        <v>193.95000000000002</v>
      </c>
      <c r="J9" s="48">
        <f>'P&amp;L GAAP'!J13</f>
        <v>228.45</v>
      </c>
      <c r="K9" s="48">
        <f>'P&amp;L GAAP'!K13</f>
        <v>304.83899999999994</v>
      </c>
      <c r="L9" s="48">
        <f>'P&amp;L GAAP'!L13</f>
        <v>310.13000000000005</v>
      </c>
      <c r="M9" s="72">
        <f>'P&amp;L GAAP'!M13</f>
        <v>181.3314</v>
      </c>
      <c r="N9" s="48">
        <f>'P&amp;L GAAP'!N13</f>
        <v>173.1825</v>
      </c>
      <c r="O9" s="48">
        <f>'P&amp;L GAAP'!O13</f>
        <v>305.58269999999993</v>
      </c>
      <c r="P9" s="48">
        <f>'P&amp;L GAAP'!P13</f>
        <v>317.79950000000002</v>
      </c>
      <c r="Q9" s="48">
        <f>'P&amp;L GAAP'!Q13</f>
        <v>231.28125</v>
      </c>
      <c r="R9" s="48">
        <f>'P&amp;L GAAP'!R13</f>
        <v>227.75572500000001</v>
      </c>
      <c r="S9" s="48">
        <f>'P&amp;L GAAP'!S13</f>
        <v>318.53976499999993</v>
      </c>
      <c r="T9" s="48">
        <f>'P&amp;L GAAP'!T13</f>
        <v>333.47417500000006</v>
      </c>
      <c r="U9" s="48">
        <f>'P&amp;L GAAP'!U13</f>
        <v>243.81858750000006</v>
      </c>
      <c r="V9" s="48">
        <f>'P&amp;L GAAP'!V13</f>
        <v>239.58932875000002</v>
      </c>
      <c r="W9" s="48">
        <f>'P&amp;L GAAP'!W13</f>
        <v>332.14243174999996</v>
      </c>
      <c r="AA9" s="48"/>
      <c r="AB9" s="48"/>
      <c r="AC9" s="48"/>
      <c r="AD9" s="48"/>
      <c r="AE9" s="48"/>
    </row>
    <row r="10" spans="1:31">
      <c r="A10" s="40"/>
      <c r="B10" s="40"/>
      <c r="C10" s="42"/>
      <c r="D10" s="42"/>
      <c r="E10" s="42"/>
      <c r="F10" s="42"/>
      <c r="G10" s="42"/>
      <c r="H10" s="42"/>
      <c r="I10" s="42"/>
      <c r="J10" s="42"/>
      <c r="K10" s="42"/>
      <c r="L10" s="42"/>
    </row>
    <row r="11" spans="1:31">
      <c r="A11" s="43" t="s">
        <v>147</v>
      </c>
      <c r="B11" s="40"/>
      <c r="C11" s="40"/>
      <c r="D11" s="40"/>
      <c r="E11" s="40"/>
      <c r="F11" s="44"/>
      <c r="G11" s="44"/>
      <c r="H11" s="44"/>
      <c r="I11" s="44"/>
      <c r="J11" s="44"/>
      <c r="K11" s="44"/>
      <c r="L11" s="44"/>
    </row>
    <row r="14" spans="1:31" s="47" customFormat="1">
      <c r="A14" s="46" t="s">
        <v>2</v>
      </c>
      <c r="B14" s="47">
        <v>42.8</v>
      </c>
      <c r="C14" s="47">
        <v>58.58</v>
      </c>
      <c r="D14" s="48">
        <f>'P&amp;L GAAP'!D22</f>
        <v>55.179999999999993</v>
      </c>
      <c r="E14" s="48">
        <f>'P&amp;L GAAP'!E22</f>
        <v>10.724</v>
      </c>
      <c r="F14" s="48">
        <f>'P&amp;L GAAP'!F22</f>
        <v>56</v>
      </c>
      <c r="G14" s="48">
        <f>'P&amp;L GAAP'!G22</f>
        <v>73.932000000000016</v>
      </c>
      <c r="H14" s="48">
        <f>'P&amp;L GAAP'!H22</f>
        <v>103.96</v>
      </c>
      <c r="I14" s="48">
        <f>'P&amp;L GAAP'!I22</f>
        <v>169.79000000000002</v>
      </c>
      <c r="J14" s="48">
        <f>'P&amp;L GAAP'!J22</f>
        <v>193.47</v>
      </c>
      <c r="K14" s="48">
        <f>'P&amp;L GAAP'!K22</f>
        <v>263.78899999999993</v>
      </c>
      <c r="L14" s="48">
        <f>'P&amp;L GAAP'!L22</f>
        <v>261.72000000000003</v>
      </c>
      <c r="M14" s="72">
        <f>'P&amp;L GAAP'!M22</f>
        <v>148.69174800000002</v>
      </c>
      <c r="N14" s="48">
        <f>'P&amp;L GAAP'!N22</f>
        <v>142.00964999999999</v>
      </c>
      <c r="O14" s="48">
        <f>'P&amp;L GAAP'!O22</f>
        <v>250.57781399999993</v>
      </c>
      <c r="P14" s="48">
        <f>'P&amp;L GAAP'!P22</f>
        <v>260.59559000000002</v>
      </c>
      <c r="Q14" s="48">
        <f>'P&amp;L GAAP'!Q22</f>
        <v>189.65062499999999</v>
      </c>
      <c r="R14" s="48">
        <f>'P&amp;L GAAP'!R22</f>
        <v>186.75969450000002</v>
      </c>
      <c r="S14" s="48">
        <f>'P&amp;L GAAP'!S22</f>
        <v>261.20260729999995</v>
      </c>
      <c r="T14" s="48">
        <f>'P&amp;L GAAP'!T22</f>
        <v>273.44882350000006</v>
      </c>
      <c r="U14" s="48">
        <f>'P&amp;L GAAP'!U22</f>
        <v>199.93124175000005</v>
      </c>
      <c r="V14" s="48">
        <f>'P&amp;L GAAP'!V22</f>
        <v>196.46324957500002</v>
      </c>
      <c r="W14" s="48">
        <f>'P&amp;L GAAP'!W22</f>
        <v>272.35679403499995</v>
      </c>
      <c r="AA14" s="48"/>
      <c r="AB14" s="48"/>
      <c r="AC14" s="48"/>
      <c r="AD14" s="48"/>
      <c r="AE14" s="48"/>
    </row>
    <row r="15" spans="1:31">
      <c r="A15" s="40"/>
      <c r="B15" s="40"/>
      <c r="C15" s="40"/>
      <c r="D15" s="40"/>
      <c r="E15" s="40"/>
      <c r="F15" s="41"/>
      <c r="G15" s="41"/>
      <c r="H15" s="41"/>
      <c r="I15" s="41"/>
      <c r="J15" s="41"/>
      <c r="K15" s="41"/>
      <c r="L15" s="41"/>
      <c r="M15" s="73"/>
      <c r="N15" s="41"/>
      <c r="O15" s="41"/>
      <c r="P15" s="41"/>
      <c r="Q15" s="41"/>
      <c r="R15" s="41"/>
      <c r="S15" s="41"/>
      <c r="T15" s="41"/>
      <c r="U15" s="41"/>
      <c r="V15" s="41"/>
      <c r="W15" s="41"/>
    </row>
    <row r="16" spans="1:31">
      <c r="A16" s="40"/>
      <c r="B16" s="41">
        <v>0.86499999999999999</v>
      </c>
      <c r="C16" s="41">
        <v>0.875</v>
      </c>
      <c r="D16" s="41"/>
      <c r="E16" s="41"/>
      <c r="F16" s="41"/>
      <c r="G16" s="41"/>
      <c r="H16" s="41"/>
      <c r="I16" s="41"/>
      <c r="J16" s="41"/>
      <c r="K16" s="41"/>
      <c r="L16" s="41"/>
      <c r="M16" s="73"/>
      <c r="N16" s="41"/>
      <c r="O16" s="41"/>
      <c r="P16" s="41"/>
      <c r="Q16" s="41"/>
      <c r="R16" s="41"/>
      <c r="S16" s="41"/>
      <c r="T16" s="41"/>
      <c r="U16" s="41"/>
      <c r="V16" s="41"/>
      <c r="W16" s="41"/>
    </row>
    <row r="17" spans="1:31">
      <c r="A17" s="40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</row>
    <row r="19" spans="1:31" s="31" customFormat="1">
      <c r="A19" s="29" t="s">
        <v>4</v>
      </c>
      <c r="B19" s="31" t="e">
        <f>SUM(B14,#REF!)</f>
        <v>#REF!</v>
      </c>
      <c r="C19" s="31" t="e">
        <f>SUM(C14,#REF!)</f>
        <v>#REF!</v>
      </c>
      <c r="D19" s="30">
        <f>'P&amp;L GAAP'!D43</f>
        <v>0.54999999999999005</v>
      </c>
      <c r="E19" s="30">
        <f>'P&amp;L GAAP'!E43</f>
        <v>-11.396000000000001</v>
      </c>
      <c r="F19" s="30">
        <f>'P&amp;L GAAP'!F43</f>
        <v>12.21</v>
      </c>
      <c r="G19" s="30">
        <f>'P&amp;L GAAP'!G43</f>
        <v>10.402000000000015</v>
      </c>
      <c r="H19" s="30">
        <f>'P&amp;L GAAP'!H43</f>
        <v>15.579999999999998</v>
      </c>
      <c r="I19" s="30">
        <f>'P&amp;L GAAP'!I43</f>
        <v>36.320000000000022</v>
      </c>
      <c r="J19" s="30">
        <f>'P&amp;L GAAP'!J43</f>
        <v>28.599999999999994</v>
      </c>
      <c r="K19" s="30">
        <f>'P&amp;L GAAP'!K43</f>
        <v>60.398999999999944</v>
      </c>
      <c r="L19" s="30">
        <f>'P&amp;L GAAP'!L43</f>
        <v>34.820000000000022</v>
      </c>
      <c r="M19" s="76">
        <f>'P&amp;L GAAP'!M43</f>
        <v>3.6266280000000108</v>
      </c>
      <c r="N19" s="30">
        <f>'P&amp;L GAAP'!N43</f>
        <v>6.927299999999974</v>
      </c>
      <c r="O19" s="30">
        <f>'P&amp;L GAAP'!O43</f>
        <v>33.614096999999987</v>
      </c>
      <c r="P19" s="30">
        <f>'P&amp;L GAAP'!P43</f>
        <v>34.957945000000024</v>
      </c>
      <c r="Q19" s="30">
        <f>'P&amp;L GAAP'!Q43</f>
        <v>30.066562499999975</v>
      </c>
      <c r="R19" s="30">
        <f>'P&amp;L GAAP'!R43</f>
        <v>34.163358750000015</v>
      </c>
      <c r="S19" s="30">
        <f>'P&amp;L GAAP'!S43</f>
        <v>47.78096475000001</v>
      </c>
      <c r="T19" s="30">
        <f>'P&amp;L GAAP'!T43</f>
        <v>50.021126250000037</v>
      </c>
      <c r="U19" s="30">
        <f>'P&amp;L GAAP'!U43</f>
        <v>36.572788125000017</v>
      </c>
      <c r="V19" s="30">
        <f>'P&amp;L GAAP'!V43</f>
        <v>35.938399312500025</v>
      </c>
      <c r="W19" s="30">
        <f>'P&amp;L GAAP'!W43</f>
        <v>49.821364762499968</v>
      </c>
      <c r="X19" s="30"/>
      <c r="AA19" s="30"/>
      <c r="AB19" s="30"/>
      <c r="AC19" s="30"/>
      <c r="AD19" s="30"/>
      <c r="AE19" s="30"/>
    </row>
    <row r="20" spans="1:31" s="5" customFormat="1">
      <c r="A20" s="5" t="s">
        <v>194</v>
      </c>
      <c r="D20" s="82">
        <v>14</v>
      </c>
      <c r="E20" s="82">
        <v>14</v>
      </c>
      <c r="F20" s="82">
        <v>14</v>
      </c>
      <c r="G20" s="82">
        <v>14</v>
      </c>
      <c r="H20" s="82">
        <v>14</v>
      </c>
      <c r="I20" s="82">
        <v>14</v>
      </c>
      <c r="J20" s="82">
        <v>14</v>
      </c>
      <c r="K20" s="82">
        <v>14</v>
      </c>
      <c r="L20" s="82">
        <v>14</v>
      </c>
      <c r="M20" s="97">
        <v>14</v>
      </c>
      <c r="N20" s="82">
        <v>14</v>
      </c>
      <c r="O20" s="82">
        <v>14</v>
      </c>
      <c r="P20" s="82">
        <v>14</v>
      </c>
      <c r="Q20" s="82">
        <v>14</v>
      </c>
      <c r="R20" s="82">
        <v>14</v>
      </c>
      <c r="S20" s="82">
        <v>14</v>
      </c>
      <c r="T20" s="82">
        <v>14</v>
      </c>
      <c r="U20" s="82">
        <v>14</v>
      </c>
      <c r="V20" s="82">
        <v>14</v>
      </c>
      <c r="W20" s="82">
        <v>14</v>
      </c>
      <c r="AA20" s="32"/>
      <c r="AB20" s="32"/>
      <c r="AC20" s="32"/>
      <c r="AD20" s="32"/>
      <c r="AE20" s="32"/>
    </row>
    <row r="21" spans="1:31">
      <c r="A21" s="3" t="s">
        <v>190</v>
      </c>
      <c r="D21" s="68">
        <f>D19*D20*4</f>
        <v>30.799999999999443</v>
      </c>
      <c r="E21" s="68">
        <f t="shared" ref="E21:N21" si="2">E19*E20*4</f>
        <v>-638.17600000000004</v>
      </c>
      <c r="F21" s="68">
        <f t="shared" si="2"/>
        <v>683.76</v>
      </c>
      <c r="G21" s="68">
        <f t="shared" si="2"/>
        <v>582.51200000000085</v>
      </c>
      <c r="H21" s="68">
        <f t="shared" si="2"/>
        <v>872.4799999999999</v>
      </c>
      <c r="I21" s="68">
        <f t="shared" si="2"/>
        <v>2033.9200000000012</v>
      </c>
      <c r="J21" s="68">
        <f t="shared" si="2"/>
        <v>1601.5999999999997</v>
      </c>
      <c r="K21" s="68">
        <f t="shared" si="2"/>
        <v>3382.3439999999969</v>
      </c>
      <c r="L21" s="68">
        <f t="shared" si="2"/>
        <v>1949.9200000000012</v>
      </c>
      <c r="M21" s="78">
        <f t="shared" si="2"/>
        <v>203.09116800000061</v>
      </c>
      <c r="N21" s="68">
        <f t="shared" si="2"/>
        <v>387.92879999999855</v>
      </c>
      <c r="O21" s="68">
        <f t="shared" ref="O21" si="3">O19*O20*4</f>
        <v>1882.3894319999993</v>
      </c>
      <c r="P21" s="68">
        <f t="shared" ref="P21" si="4">P19*P20*4</f>
        <v>1957.6449200000013</v>
      </c>
      <c r="Q21" s="68">
        <f t="shared" ref="Q21" si="5">Q19*Q20*4</f>
        <v>1683.7274999999986</v>
      </c>
      <c r="R21" s="68">
        <f t="shared" ref="R21" si="6">R19*R20*4</f>
        <v>1913.1480900000008</v>
      </c>
      <c r="S21" s="68">
        <f t="shared" ref="S21" si="7">S19*S20*4</f>
        <v>2675.7340260000005</v>
      </c>
      <c r="T21" s="68">
        <f t="shared" ref="T21" si="8">T19*T20*4</f>
        <v>2801.1830700000019</v>
      </c>
      <c r="U21" s="68">
        <f t="shared" ref="U21" si="9">U19*U20*4</f>
        <v>2048.0761350000012</v>
      </c>
      <c r="V21" s="68">
        <f t="shared" ref="V21" si="10">V19*V20*4</f>
        <v>2012.5503615000014</v>
      </c>
      <c r="W21" s="68">
        <f t="shared" ref="W21" si="11">W19*W20*4</f>
        <v>2789.9964266999982</v>
      </c>
    </row>
    <row r="22" spans="1:31">
      <c r="A22" s="3" t="s">
        <v>199</v>
      </c>
      <c r="D22" s="68">
        <f>D21-BS!D$11+BS!D$36+BS!D$43+BS!D$48</f>
        <v>193.34999999999945</v>
      </c>
      <c r="E22" s="68">
        <f>E21-BS!E$11+BS!E$36+BS!E$43+BS!E$48</f>
        <v>-638.17600000000004</v>
      </c>
      <c r="F22" s="68">
        <f>F21-BS!F$11+BS!F$36+BS!F$43+BS!F$48</f>
        <v>893.67000000000007</v>
      </c>
      <c r="G22" s="68">
        <f>G21-BS!G$11+BS!G$36+BS!G$43+BS!G$48</f>
        <v>394.32200000000086</v>
      </c>
      <c r="H22" s="68">
        <f>H21-BS!H$11+BS!H$36+BS!H$43+BS!H$48</f>
        <v>657.34999999999991</v>
      </c>
      <c r="I22" s="68">
        <f>I21-BS!I$11+BS!I$36+BS!I$43+BS!I$48</f>
        <v>1533.6900000000012</v>
      </c>
      <c r="J22" s="68">
        <f>J21-BS!J$11+BS!J$36+BS!J$43+BS!J$48</f>
        <v>1209.3599999999997</v>
      </c>
      <c r="K22" s="68">
        <f>K21-BS!K$11+BS!K$36+BS!K$43+BS!K$48</f>
        <v>3091.1639999999966</v>
      </c>
      <c r="L22" s="68">
        <f>L21-BS!L$11+BS!L$36+BS!L$43+BS!L$48</f>
        <v>1961.3100000000011</v>
      </c>
      <c r="M22" s="78">
        <f>M21-BS!M$11+BS!M$36+BS!M$43+BS!M$48</f>
        <v>203.09116800000061</v>
      </c>
      <c r="N22" s="68">
        <f>N21-BS!N$11+BS!N$36+BS!N$43+BS!N$48</f>
        <v>387.92879999999855</v>
      </c>
      <c r="O22" s="68">
        <f>O21-BS!O$11+BS!O$36+BS!O$43+BS!O$48</f>
        <v>1882.3894319999993</v>
      </c>
      <c r="P22" s="68">
        <f>P21-BS!P$11+BS!P$36+BS!P$43+BS!P$48</f>
        <v>1957.6449200000013</v>
      </c>
      <c r="Q22" s="68">
        <f>Q21-BS!Q$11+BS!Q$36+BS!Q$43+BS!Q$48</f>
        <v>1683.7274999999986</v>
      </c>
      <c r="R22" s="68">
        <f>R21-BS!R$11+BS!R$36+BS!R$43+BS!R$48</f>
        <v>1913.1480900000008</v>
      </c>
      <c r="S22" s="68">
        <f>S21-BS!S$11+BS!S$36+BS!S$43+BS!S$48</f>
        <v>2675.7340260000005</v>
      </c>
      <c r="T22" s="68">
        <f>T21-BS!T$11+BS!T$36+BS!T$43+BS!T$48</f>
        <v>2801.1830700000019</v>
      </c>
      <c r="U22" s="68">
        <f>U21-BS!U$11+BS!U$36+BS!U$43+BS!U$48</f>
        <v>2048.0761350000012</v>
      </c>
      <c r="V22" s="68">
        <f>V21-BS!V$11+BS!V$36+BS!V$43+BS!V$48</f>
        <v>2012.5503615000014</v>
      </c>
      <c r="W22" s="68">
        <f>W21-BS!W$11+BS!W$36+BS!W$43+BS!W$48</f>
        <v>2789.9964266999982</v>
      </c>
    </row>
    <row r="23" spans="1:31">
      <c r="A23" s="5" t="s">
        <v>195</v>
      </c>
      <c r="D23" s="84">
        <f>D22/D$46</f>
        <v>13.215994531783968</v>
      </c>
      <c r="E23" s="84">
        <f t="shared" ref="E23:W23" si="12">E22/E$46</f>
        <v>-43.531787175989088</v>
      </c>
      <c r="F23" s="84">
        <f t="shared" si="12"/>
        <v>33.408224299065424</v>
      </c>
      <c r="G23" s="84">
        <f t="shared" si="12"/>
        <v>15.166230769230802</v>
      </c>
      <c r="H23" s="84">
        <f t="shared" si="12"/>
        <v>7.188080918534717</v>
      </c>
      <c r="I23" s="84">
        <f t="shared" si="12"/>
        <v>16.178164556962038</v>
      </c>
      <c r="J23" s="84">
        <f t="shared" si="12"/>
        <v>12.589631480324794</v>
      </c>
      <c r="K23" s="84">
        <f t="shared" si="12"/>
        <v>31.287085020242881</v>
      </c>
      <c r="L23" s="84">
        <f t="shared" si="12"/>
        <v>20.545883092394732</v>
      </c>
      <c r="M23" s="98">
        <f t="shared" si="12"/>
        <v>2.2075126956521807</v>
      </c>
      <c r="N23" s="84">
        <f t="shared" si="12"/>
        <v>4.3103199999999839</v>
      </c>
      <c r="O23" s="84">
        <f t="shared" si="12"/>
        <v>21.150443056179768</v>
      </c>
      <c r="P23" s="84">
        <f t="shared" si="12"/>
        <v>21.512581538461554</v>
      </c>
      <c r="Q23" s="84">
        <f t="shared" si="12"/>
        <v>17.911994680851048</v>
      </c>
      <c r="R23" s="84">
        <f t="shared" si="12"/>
        <v>19.928625937500009</v>
      </c>
      <c r="S23" s="84">
        <f t="shared" si="12"/>
        <v>27.303408428571434</v>
      </c>
      <c r="T23" s="84">
        <f t="shared" si="12"/>
        <v>28.011830700000019</v>
      </c>
      <c r="U23" s="84">
        <f t="shared" si="12"/>
        <v>20.079177794117658</v>
      </c>
      <c r="V23" s="84">
        <f t="shared" si="12"/>
        <v>19.351445783653858</v>
      </c>
      <c r="W23" s="84">
        <f t="shared" si="12"/>
        <v>26.320721006603758</v>
      </c>
    </row>
    <row r="24" spans="1:31">
      <c r="D24" s="84"/>
      <c r="E24" s="84"/>
      <c r="F24" s="84"/>
      <c r="G24" s="84"/>
      <c r="H24" s="84"/>
      <c r="I24" s="84"/>
      <c r="J24" s="84"/>
      <c r="K24" s="84"/>
      <c r="L24" s="84"/>
      <c r="M24" s="98"/>
      <c r="N24" s="84"/>
      <c r="O24" s="84"/>
      <c r="P24" s="84"/>
      <c r="Q24" s="84"/>
      <c r="R24" s="84"/>
      <c r="S24" s="84"/>
      <c r="T24" s="84"/>
      <c r="U24" s="84"/>
      <c r="V24" s="84"/>
      <c r="W24" s="84"/>
    </row>
    <row r="25" spans="1:31" s="47" customFormat="1">
      <c r="A25" s="46" t="s">
        <v>17</v>
      </c>
      <c r="B25" s="47">
        <v>-0.32</v>
      </c>
      <c r="C25" s="47">
        <v>6.05</v>
      </c>
      <c r="D25" s="48">
        <f>'P&amp;L GAAP'!D67</f>
        <v>1.47999999999999</v>
      </c>
      <c r="E25" s="48">
        <f>'P&amp;L GAAP'!E67</f>
        <v>-6.19</v>
      </c>
      <c r="F25" s="48">
        <f>'P&amp;L GAAP'!F67</f>
        <v>9.67</v>
      </c>
      <c r="G25" s="48">
        <f>'P&amp;L GAAP'!G67</f>
        <v>1.0299999999999998</v>
      </c>
      <c r="H25" s="48">
        <f>'P&amp;L GAAP'!H67</f>
        <v>10.1</v>
      </c>
      <c r="I25" s="48">
        <f>'P&amp;L GAAP'!I67</f>
        <v>37.28</v>
      </c>
      <c r="J25" s="48">
        <f>'P&amp;L GAAP'!J67</f>
        <v>29.12</v>
      </c>
      <c r="K25" s="48">
        <f>'P&amp;L GAAP'!K67</f>
        <v>58.95</v>
      </c>
      <c r="L25" s="48">
        <f>'P&amp;L GAAP'!L67</f>
        <v>32.69</v>
      </c>
      <c r="M25" s="72">
        <f>'P&amp;L GAAP'!M67</f>
        <v>1.9519536000000131</v>
      </c>
      <c r="N25" s="48">
        <f>'P&amp;L GAAP'!N67</f>
        <v>5.9127599999999685</v>
      </c>
      <c r="O25" s="48">
        <f>'P&amp;L GAAP'!O67</f>
        <v>37.936916399999987</v>
      </c>
      <c r="P25" s="48">
        <f>'P&amp;L GAAP'!P67</f>
        <v>39.54953400000003</v>
      </c>
      <c r="Q25" s="48">
        <f>'P&amp;L GAAP'!Q67</f>
        <v>33.679874999999967</v>
      </c>
      <c r="R25" s="48">
        <f>'P&amp;L GAAP'!R67</f>
        <v>38.596030500000019</v>
      </c>
      <c r="S25" s="48">
        <f>'P&amp;L GAAP'!S67</f>
        <v>54.937157700000014</v>
      </c>
      <c r="T25" s="48">
        <f>'P&amp;L GAAP'!T67</f>
        <v>57.625351500000043</v>
      </c>
      <c r="U25" s="48">
        <f>'P&amp;L GAAP'!U67</f>
        <v>41.487345750000017</v>
      </c>
      <c r="V25" s="48">
        <f>'P&amp;L GAAP'!V67</f>
        <v>40.726079175000031</v>
      </c>
      <c r="W25" s="48">
        <f>'P&amp;L GAAP'!W67</f>
        <v>57.385637714999959</v>
      </c>
      <c r="AA25" s="48"/>
      <c r="AB25" s="48"/>
      <c r="AC25" s="48"/>
      <c r="AD25" s="48"/>
      <c r="AE25" s="48"/>
    </row>
    <row r="26" spans="1:31" s="5" customFormat="1">
      <c r="A26" s="5" t="s">
        <v>191</v>
      </c>
      <c r="D26" s="82">
        <v>15</v>
      </c>
      <c r="E26" s="82">
        <v>15</v>
      </c>
      <c r="F26" s="82">
        <v>15</v>
      </c>
      <c r="G26" s="82">
        <v>15</v>
      </c>
      <c r="H26" s="82">
        <v>15</v>
      </c>
      <c r="I26" s="82">
        <v>15</v>
      </c>
      <c r="J26" s="82">
        <v>15</v>
      </c>
      <c r="K26" s="82">
        <v>15</v>
      </c>
      <c r="L26" s="82">
        <v>15</v>
      </c>
      <c r="M26" s="97">
        <v>15</v>
      </c>
      <c r="N26" s="82">
        <v>15</v>
      </c>
      <c r="O26" s="82">
        <v>15</v>
      </c>
      <c r="P26" s="82">
        <v>15</v>
      </c>
      <c r="Q26" s="82">
        <v>15</v>
      </c>
      <c r="R26" s="82">
        <v>15</v>
      </c>
      <c r="S26" s="82">
        <v>15</v>
      </c>
      <c r="T26" s="82">
        <v>15</v>
      </c>
      <c r="U26" s="82">
        <v>15</v>
      </c>
      <c r="V26" s="82">
        <v>15</v>
      </c>
      <c r="W26" s="82">
        <v>15</v>
      </c>
      <c r="AA26" s="32"/>
      <c r="AB26" s="32"/>
      <c r="AC26" s="32"/>
      <c r="AD26" s="32"/>
      <c r="AE26" s="32"/>
    </row>
    <row r="27" spans="1:31" s="5" customFormat="1">
      <c r="A27" s="5" t="s">
        <v>192</v>
      </c>
      <c r="D27" s="67">
        <f>D25*D26*4</f>
        <v>88.7999999999994</v>
      </c>
      <c r="E27" s="67">
        <f t="shared" ref="E27:W27" si="13">E25*E26*4</f>
        <v>-371.40000000000003</v>
      </c>
      <c r="F27" s="67">
        <f t="shared" si="13"/>
        <v>580.20000000000005</v>
      </c>
      <c r="G27" s="67">
        <f t="shared" si="13"/>
        <v>61.79999999999999</v>
      </c>
      <c r="H27" s="67">
        <f t="shared" si="13"/>
        <v>606</v>
      </c>
      <c r="I27" s="67">
        <f t="shared" si="13"/>
        <v>2236.8000000000002</v>
      </c>
      <c r="J27" s="67">
        <f t="shared" si="13"/>
        <v>1747.2</v>
      </c>
      <c r="K27" s="67">
        <f t="shared" si="13"/>
        <v>3537</v>
      </c>
      <c r="L27" s="67">
        <f t="shared" si="13"/>
        <v>1961.3999999999999</v>
      </c>
      <c r="M27" s="78">
        <f t="shared" si="13"/>
        <v>117.11721600000078</v>
      </c>
      <c r="N27" s="67">
        <f t="shared" si="13"/>
        <v>354.76559999999813</v>
      </c>
      <c r="O27" s="67">
        <f t="shared" si="13"/>
        <v>2276.2149839999993</v>
      </c>
      <c r="P27" s="67">
        <f t="shared" si="13"/>
        <v>2372.9720400000019</v>
      </c>
      <c r="Q27" s="67">
        <f t="shared" si="13"/>
        <v>2020.792499999998</v>
      </c>
      <c r="R27" s="67">
        <f t="shared" si="13"/>
        <v>2315.7618300000013</v>
      </c>
      <c r="S27" s="67">
        <f t="shared" si="13"/>
        <v>3296.2294620000007</v>
      </c>
      <c r="T27" s="67">
        <f t="shared" si="13"/>
        <v>3457.5210900000025</v>
      </c>
      <c r="U27" s="67">
        <f t="shared" si="13"/>
        <v>2489.240745000001</v>
      </c>
      <c r="V27" s="67">
        <f t="shared" si="13"/>
        <v>2443.564750500002</v>
      </c>
      <c r="W27" s="67">
        <f t="shared" si="13"/>
        <v>3443.1382628999977</v>
      </c>
      <c r="AA27" s="32"/>
      <c r="AB27" s="32"/>
      <c r="AC27" s="32"/>
      <c r="AD27" s="32"/>
      <c r="AE27" s="32"/>
    </row>
    <row r="28" spans="1:31" s="5" customFormat="1">
      <c r="A28" s="5" t="s">
        <v>195</v>
      </c>
      <c r="D28" s="91">
        <f>D27/D$46</f>
        <v>6.0697197539302392</v>
      </c>
      <c r="E28" s="91">
        <f t="shared" ref="E28:W28" si="14">E27/E$46</f>
        <v>-25.334242837653481</v>
      </c>
      <c r="F28" s="91">
        <f t="shared" si="14"/>
        <v>21.689719626168227</v>
      </c>
      <c r="G28" s="91">
        <f t="shared" si="14"/>
        <v>2.3769230769230765</v>
      </c>
      <c r="H28" s="91">
        <f t="shared" si="14"/>
        <v>6.6265718972115906</v>
      </c>
      <c r="I28" s="91">
        <f t="shared" si="14"/>
        <v>23.594936708860761</v>
      </c>
      <c r="J28" s="91">
        <f t="shared" si="14"/>
        <v>18.188632104934417</v>
      </c>
      <c r="K28" s="91">
        <f t="shared" si="14"/>
        <v>35.799595141700408</v>
      </c>
      <c r="L28" s="91">
        <f t="shared" si="14"/>
        <v>20.546825895663105</v>
      </c>
      <c r="M28" s="99">
        <f t="shared" si="14"/>
        <v>1.2730132173913129</v>
      </c>
      <c r="N28" s="91">
        <f t="shared" si="14"/>
        <v>3.9418399999999791</v>
      </c>
      <c r="O28" s="91">
        <f t="shared" si="14"/>
        <v>25.575449258426957</v>
      </c>
      <c r="P28" s="91">
        <f t="shared" si="14"/>
        <v>26.076615824175846</v>
      </c>
      <c r="Q28" s="91">
        <f t="shared" si="14"/>
        <v>21.497792553191466</v>
      </c>
      <c r="R28" s="91">
        <f t="shared" si="14"/>
        <v>24.122519062500015</v>
      </c>
      <c r="S28" s="91">
        <f t="shared" si="14"/>
        <v>33.634994510204088</v>
      </c>
      <c r="T28" s="91">
        <f t="shared" si="14"/>
        <v>34.575210900000023</v>
      </c>
      <c r="U28" s="91">
        <f t="shared" si="14"/>
        <v>24.404321029411776</v>
      </c>
      <c r="V28" s="91">
        <f t="shared" si="14"/>
        <v>23.495814908653866</v>
      </c>
      <c r="W28" s="91">
        <f t="shared" si="14"/>
        <v>32.482436442452808</v>
      </c>
      <c r="AA28" s="32"/>
      <c r="AB28" s="32"/>
      <c r="AC28" s="32"/>
      <c r="AD28" s="32"/>
      <c r="AE28" s="32"/>
    </row>
    <row r="29" spans="1:31" s="5" customFormat="1">
      <c r="D29" s="67"/>
      <c r="E29" s="67"/>
      <c r="F29" s="67"/>
      <c r="G29" s="67"/>
      <c r="H29" s="67"/>
      <c r="I29" s="67"/>
      <c r="J29" s="67"/>
      <c r="K29" s="67"/>
      <c r="L29" s="67"/>
      <c r="M29" s="78"/>
      <c r="N29" s="67"/>
      <c r="O29" s="67"/>
      <c r="P29" s="67"/>
      <c r="Q29" s="67"/>
      <c r="R29" s="67"/>
      <c r="S29" s="67"/>
      <c r="T29" s="67"/>
      <c r="U29" s="67"/>
      <c r="V29" s="67"/>
      <c r="W29" s="67"/>
      <c r="AA29" s="32"/>
      <c r="AB29" s="32"/>
      <c r="AC29" s="32"/>
      <c r="AD29" s="32"/>
      <c r="AE29" s="32"/>
    </row>
    <row r="30" spans="1:31" s="47" customFormat="1">
      <c r="A30" s="46" t="s">
        <v>196</v>
      </c>
      <c r="D30" s="90">
        <f>SUM(E25:H25)</f>
        <v>14.61</v>
      </c>
      <c r="E30" s="90">
        <f t="shared" ref="E30:M30" si="15">SUM(F25:I25)</f>
        <v>58.08</v>
      </c>
      <c r="F30" s="90">
        <f t="shared" si="15"/>
        <v>77.53</v>
      </c>
      <c r="G30" s="90">
        <f t="shared" si="15"/>
        <v>135.44999999999999</v>
      </c>
      <c r="H30" s="90">
        <f t="shared" si="15"/>
        <v>158.04000000000002</v>
      </c>
      <c r="I30" s="90">
        <f t="shared" si="15"/>
        <v>122.71195360000002</v>
      </c>
      <c r="J30" s="90">
        <f t="shared" si="15"/>
        <v>99.504713599999974</v>
      </c>
      <c r="K30" s="90">
        <f t="shared" si="15"/>
        <v>78.491629999999958</v>
      </c>
      <c r="L30" s="90">
        <f t="shared" si="15"/>
        <v>85.351163999999997</v>
      </c>
      <c r="M30" s="100">
        <f t="shared" si="15"/>
        <v>117.07908539999995</v>
      </c>
      <c r="N30" s="90">
        <f t="shared" ref="N30" si="16">SUM(O25:R25)</f>
        <v>149.76235590000002</v>
      </c>
      <c r="O30" s="90">
        <f t="shared" ref="O30" si="17">SUM(P25:S25)</f>
        <v>166.76259720000002</v>
      </c>
      <c r="P30" s="90">
        <f t="shared" ref="P30" si="18">SUM(Q25:T25)</f>
        <v>184.83841470000004</v>
      </c>
      <c r="Q30" s="90">
        <f t="shared" ref="Q30" si="19">SUM(R25:U25)</f>
        <v>192.64588545000009</v>
      </c>
      <c r="R30" s="90">
        <f t="shared" ref="R30" si="20">SUM(S25:V25)</f>
        <v>194.77593412500008</v>
      </c>
      <c r="S30" s="90">
        <f t="shared" ref="S30" si="21">SUM(T25:W25)</f>
        <v>197.22441414000002</v>
      </c>
      <c r="T30" s="90"/>
      <c r="U30" s="90"/>
      <c r="V30" s="90"/>
      <c r="W30" s="90"/>
      <c r="AA30" s="48"/>
      <c r="AB30" s="48"/>
      <c r="AC30" s="48"/>
      <c r="AD30" s="48"/>
      <c r="AE30" s="48"/>
    </row>
    <row r="31" spans="1:31" s="5" customFormat="1">
      <c r="A31" s="5" t="s">
        <v>191</v>
      </c>
      <c r="D31" s="82">
        <v>15</v>
      </c>
      <c r="E31" s="82">
        <v>15</v>
      </c>
      <c r="F31" s="82">
        <v>15</v>
      </c>
      <c r="G31" s="82">
        <v>15</v>
      </c>
      <c r="H31" s="82">
        <v>15</v>
      </c>
      <c r="I31" s="82">
        <v>15</v>
      </c>
      <c r="J31" s="82">
        <v>15</v>
      </c>
      <c r="K31" s="82">
        <v>15</v>
      </c>
      <c r="L31" s="82">
        <v>15</v>
      </c>
      <c r="M31" s="97">
        <v>15</v>
      </c>
      <c r="N31" s="82">
        <v>15</v>
      </c>
      <c r="O31" s="82">
        <v>15</v>
      </c>
      <c r="P31" s="82">
        <v>15</v>
      </c>
      <c r="Q31" s="82">
        <v>15</v>
      </c>
      <c r="R31" s="82">
        <v>15</v>
      </c>
      <c r="S31" s="82">
        <v>15</v>
      </c>
      <c r="T31" s="67"/>
      <c r="U31" s="67"/>
      <c r="V31" s="67"/>
      <c r="W31" s="67"/>
      <c r="AA31" s="32"/>
      <c r="AB31" s="32"/>
      <c r="AC31" s="32"/>
      <c r="AD31" s="32"/>
      <c r="AE31" s="32"/>
    </row>
    <row r="32" spans="1:31" s="5" customFormat="1">
      <c r="A32" s="5" t="s">
        <v>192</v>
      </c>
      <c r="D32" s="67">
        <f>D30*D31*4</f>
        <v>876.59999999999991</v>
      </c>
      <c r="E32" s="67">
        <f t="shared" ref="E32:S32" si="22">E30*E31*4</f>
        <v>3484.7999999999997</v>
      </c>
      <c r="F32" s="67">
        <f t="shared" si="22"/>
        <v>4651.8</v>
      </c>
      <c r="G32" s="67">
        <f t="shared" si="22"/>
        <v>8126.9999999999991</v>
      </c>
      <c r="H32" s="67">
        <f t="shared" si="22"/>
        <v>9482.4000000000015</v>
      </c>
      <c r="I32" s="67">
        <f t="shared" si="22"/>
        <v>7362.7172160000009</v>
      </c>
      <c r="J32" s="67">
        <f t="shared" si="22"/>
        <v>5970.2828159999981</v>
      </c>
      <c r="K32" s="67">
        <f t="shared" si="22"/>
        <v>4709.4977999999974</v>
      </c>
      <c r="L32" s="67">
        <f t="shared" si="22"/>
        <v>5121.0698400000001</v>
      </c>
      <c r="M32" s="78">
        <f t="shared" si="22"/>
        <v>7024.7451239999973</v>
      </c>
      <c r="N32" s="67">
        <f t="shared" si="22"/>
        <v>8985.7413540000016</v>
      </c>
      <c r="O32" s="67">
        <f t="shared" si="22"/>
        <v>10005.755832000001</v>
      </c>
      <c r="P32" s="67">
        <f t="shared" si="22"/>
        <v>11090.304882000002</v>
      </c>
      <c r="Q32" s="67">
        <f t="shared" si="22"/>
        <v>11558.753127000005</v>
      </c>
      <c r="R32" s="67">
        <f t="shared" si="22"/>
        <v>11686.556047500004</v>
      </c>
      <c r="S32" s="67">
        <f t="shared" si="22"/>
        <v>11833.464848400001</v>
      </c>
      <c r="T32" s="67"/>
      <c r="U32" s="67"/>
      <c r="V32" s="67"/>
      <c r="W32" s="67"/>
      <c r="AA32" s="32"/>
      <c r="AB32" s="32"/>
      <c r="AC32" s="32"/>
      <c r="AD32" s="32"/>
      <c r="AE32" s="32"/>
    </row>
    <row r="33" spans="1:31" s="5" customFormat="1">
      <c r="A33" s="5" t="s">
        <v>195</v>
      </c>
      <c r="D33" s="91">
        <f>D32/D$46</f>
        <v>59.917976760082013</v>
      </c>
      <c r="E33" s="91">
        <f t="shared" ref="E33:S33" si="23">E32/E$46</f>
        <v>237.70804911323327</v>
      </c>
      <c r="F33" s="91">
        <f t="shared" si="23"/>
        <v>173.89906542056076</v>
      </c>
      <c r="G33" s="91">
        <f t="shared" si="23"/>
        <v>312.57692307692304</v>
      </c>
      <c r="H33" s="91">
        <f t="shared" si="23"/>
        <v>103.68944778567524</v>
      </c>
      <c r="I33" s="91">
        <f t="shared" si="23"/>
        <v>77.665793417721531</v>
      </c>
      <c r="J33" s="91">
        <f t="shared" si="23"/>
        <v>62.151601249219219</v>
      </c>
      <c r="K33" s="91">
        <f t="shared" si="23"/>
        <v>47.666981781376492</v>
      </c>
      <c r="L33" s="91">
        <f t="shared" si="23"/>
        <v>53.646237586423638</v>
      </c>
      <c r="M33" s="99">
        <f t="shared" si="23"/>
        <v>76.35592526086954</v>
      </c>
      <c r="N33" s="91">
        <f t="shared" si="23"/>
        <v>99.841570600000011</v>
      </c>
      <c r="O33" s="91">
        <f t="shared" si="23"/>
        <v>112.42422283146068</v>
      </c>
      <c r="P33" s="91">
        <f t="shared" si="23"/>
        <v>121.87148221978025</v>
      </c>
      <c r="Q33" s="91">
        <f t="shared" si="23"/>
        <v>122.9654587978724</v>
      </c>
      <c r="R33" s="91">
        <f t="shared" si="23"/>
        <v>121.73495882812504</v>
      </c>
      <c r="S33" s="91">
        <f t="shared" si="23"/>
        <v>120.74964131020408</v>
      </c>
      <c r="T33" s="67"/>
      <c r="U33" s="67"/>
      <c r="V33" s="67"/>
      <c r="W33" s="67"/>
      <c r="AA33" s="32"/>
      <c r="AB33" s="32"/>
      <c r="AC33" s="32"/>
      <c r="AD33" s="32"/>
      <c r="AE33" s="32"/>
    </row>
    <row r="35" spans="1:31" s="47" customFormat="1">
      <c r="A35" s="46" t="s">
        <v>198</v>
      </c>
      <c r="D35" s="48">
        <f>SUM(I25:L25)</f>
        <v>158.04000000000002</v>
      </c>
      <c r="E35" s="48">
        <f t="shared" ref="E35:I35" si="24">SUM(J25:M25)</f>
        <v>122.71195360000002</v>
      </c>
      <c r="F35" s="48">
        <f t="shared" si="24"/>
        <v>99.504713599999974</v>
      </c>
      <c r="G35" s="48">
        <f t="shared" si="24"/>
        <v>78.491629999999958</v>
      </c>
      <c r="H35" s="48">
        <f t="shared" si="24"/>
        <v>85.351163999999997</v>
      </c>
      <c r="I35" s="48">
        <f t="shared" si="24"/>
        <v>117.07908539999995</v>
      </c>
      <c r="J35" s="48">
        <f>SUM(O25:R25)</f>
        <v>149.76235590000002</v>
      </c>
      <c r="K35" s="48">
        <f t="shared" ref="K35" si="25">SUM(P25:S25)</f>
        <v>166.76259720000002</v>
      </c>
      <c r="L35" s="48">
        <f t="shared" ref="L35" si="26">SUM(Q25:T25)</f>
        <v>184.83841470000004</v>
      </c>
      <c r="M35" s="72">
        <f>SUM(R25:U25)</f>
        <v>192.64588545000009</v>
      </c>
      <c r="N35" s="48">
        <f t="shared" ref="N35" si="27">SUM(S25:V25)</f>
        <v>194.77593412500008</v>
      </c>
      <c r="O35" s="48">
        <f t="shared" ref="O35" si="28">SUM(T25:W25)</f>
        <v>197.22441414000002</v>
      </c>
      <c r="P35" s="48"/>
      <c r="Q35" s="48"/>
    </row>
    <row r="36" spans="1:31">
      <c r="A36" s="3" t="s">
        <v>191</v>
      </c>
      <c r="D36" s="82">
        <v>15</v>
      </c>
      <c r="E36" s="82">
        <v>15</v>
      </c>
      <c r="F36" s="82">
        <v>15</v>
      </c>
      <c r="G36" s="82">
        <v>15</v>
      </c>
      <c r="H36" s="82">
        <v>15</v>
      </c>
      <c r="I36" s="82">
        <v>15</v>
      </c>
      <c r="J36" s="82">
        <v>15</v>
      </c>
      <c r="K36" s="82">
        <v>15</v>
      </c>
      <c r="L36" s="82">
        <v>15</v>
      </c>
      <c r="M36" s="97">
        <v>15</v>
      </c>
      <c r="N36" s="82">
        <v>15</v>
      </c>
      <c r="O36" s="82">
        <v>15</v>
      </c>
    </row>
    <row r="37" spans="1:31">
      <c r="A37" s="3" t="s">
        <v>199</v>
      </c>
      <c r="D37" s="67">
        <f>D35*D36*4</f>
        <v>9482.4000000000015</v>
      </c>
      <c r="E37" s="67">
        <f t="shared" ref="E37:I37" si="29">E35*E36*4</f>
        <v>7362.7172160000009</v>
      </c>
      <c r="F37" s="67">
        <f t="shared" si="29"/>
        <v>5970.2828159999981</v>
      </c>
      <c r="G37" s="67">
        <f t="shared" si="29"/>
        <v>4709.4977999999974</v>
      </c>
      <c r="H37" s="67">
        <f t="shared" si="29"/>
        <v>5121.0698400000001</v>
      </c>
      <c r="I37" s="67">
        <f t="shared" si="29"/>
        <v>7024.7451239999973</v>
      </c>
      <c r="J37" s="67">
        <f>J35*J36*4</f>
        <v>8985.7413540000016</v>
      </c>
      <c r="K37" s="67">
        <f t="shared" ref="K37" si="30">K35*K36*4</f>
        <v>10005.755832000001</v>
      </c>
      <c r="L37" s="67">
        <f t="shared" ref="L37" si="31">L35*L36*4</f>
        <v>11090.304882000002</v>
      </c>
      <c r="M37" s="78">
        <f t="shared" ref="M37" si="32">M35*M36*4</f>
        <v>11558.753127000005</v>
      </c>
      <c r="N37" s="67">
        <f t="shared" ref="N37" si="33">N35*N36*4</f>
        <v>11686.556047500004</v>
      </c>
      <c r="O37" s="67">
        <f>O35*O36*4</f>
        <v>11833.464848400001</v>
      </c>
      <c r="P37" s="67"/>
      <c r="Q37" s="67"/>
      <c r="R37" s="67"/>
      <c r="S37" s="67"/>
    </row>
    <row r="38" spans="1:31">
      <c r="A38" s="3" t="s">
        <v>200</v>
      </c>
      <c r="D38" s="91">
        <f>D37/D$46</f>
        <v>648.14764183185241</v>
      </c>
      <c r="E38" s="91">
        <f t="shared" ref="E38:I38" si="34">E37/E$46</f>
        <v>502.2317336971351</v>
      </c>
      <c r="F38" s="91">
        <f t="shared" si="34"/>
        <v>223.18814265420554</v>
      </c>
      <c r="G38" s="91">
        <f t="shared" si="34"/>
        <v>181.13453076923068</v>
      </c>
      <c r="H38" s="91">
        <f t="shared" si="34"/>
        <v>55.998576708583926</v>
      </c>
      <c r="I38" s="91">
        <f t="shared" si="34"/>
        <v>74.100686962025293</v>
      </c>
      <c r="J38" s="91">
        <f>J37/J$46</f>
        <v>93.543008057464093</v>
      </c>
      <c r="K38" s="91">
        <f t="shared" ref="K38" si="35">K37/K$46</f>
        <v>101.27283230769231</v>
      </c>
      <c r="L38" s="91">
        <f t="shared" ref="L38" si="36">L37/L$46</f>
        <v>116.17750766813327</v>
      </c>
      <c r="M38" s="99">
        <f t="shared" ref="M38" si="37">M37/M$46</f>
        <v>125.63862094565224</v>
      </c>
      <c r="N38" s="91">
        <f t="shared" ref="N38" si="38">N37/N$46</f>
        <v>129.85062275000004</v>
      </c>
      <c r="O38" s="91">
        <f>O37/O$46</f>
        <v>132.96027919550562</v>
      </c>
      <c r="P38" s="91"/>
      <c r="Q38" s="91"/>
      <c r="R38" s="91"/>
      <c r="S38" s="91"/>
    </row>
    <row r="40" spans="1:31">
      <c r="A40" s="3" t="s">
        <v>23</v>
      </c>
      <c r="D40" s="33">
        <f>'P&amp;L GAAP'!D86</f>
        <v>1.0699999999999901</v>
      </c>
      <c r="E40" s="33">
        <f>'P&amp;L GAAP'!E86</f>
        <v>-10.856000000000002</v>
      </c>
      <c r="F40" s="33">
        <f>'P&amp;L GAAP'!F86</f>
        <v>12.790000000000001</v>
      </c>
      <c r="G40" s="33">
        <f>'P&amp;L GAAP'!G86</f>
        <v>11.052000000000016</v>
      </c>
      <c r="H40" s="33">
        <f>'P&amp;L GAAP'!H86</f>
        <v>16.399999999999999</v>
      </c>
      <c r="I40" s="33">
        <f>'P&amp;L GAAP'!I86</f>
        <v>38.300000000000018</v>
      </c>
      <c r="J40" s="33">
        <f>'P&amp;L GAAP'!J86</f>
        <v>29.219999999999995</v>
      </c>
      <c r="K40" s="33">
        <f>'P&amp;L GAAP'!K86</f>
        <v>62.168999999999947</v>
      </c>
      <c r="L40" s="33">
        <f>'P&amp;L GAAP'!L86</f>
        <v>37.600000000000023</v>
      </c>
      <c r="M40" s="71">
        <f>'P&amp;L GAAP'!M86</f>
        <v>6.1266280000000108</v>
      </c>
      <c r="N40" s="33">
        <f>'P&amp;L GAAP'!N86</f>
        <v>8.927299999999974</v>
      </c>
      <c r="O40" s="33">
        <f>'P&amp;L GAAP'!O86</f>
        <v>35.614096999999987</v>
      </c>
      <c r="P40" s="33">
        <f>'P&amp;L GAAP'!P86</f>
        <v>36.957945000000024</v>
      </c>
      <c r="Q40" s="33">
        <f>'P&amp;L GAAP'!Q86</f>
        <v>32.066562499999975</v>
      </c>
      <c r="R40" s="33">
        <f>'P&amp;L GAAP'!R86</f>
        <v>36.163358750000015</v>
      </c>
      <c r="S40" s="33">
        <f>'P&amp;L GAAP'!S86</f>
        <v>49.78096475000001</v>
      </c>
      <c r="T40" s="33">
        <f>'P&amp;L GAAP'!T86</f>
        <v>52.021126250000037</v>
      </c>
      <c r="U40" s="33">
        <f>'P&amp;L GAAP'!U86</f>
        <v>38.572788125000017</v>
      </c>
      <c r="V40" s="33">
        <f>'P&amp;L GAAP'!V86</f>
        <v>37.938399312500025</v>
      </c>
      <c r="W40" s="33">
        <f>'P&amp;L GAAP'!W86</f>
        <v>51.821364762499968</v>
      </c>
    </row>
    <row r="41" spans="1:31">
      <c r="A41" s="3" t="s">
        <v>202</v>
      </c>
      <c r="D41" s="82">
        <v>11</v>
      </c>
      <c r="E41" s="82">
        <v>11</v>
      </c>
      <c r="F41" s="82">
        <v>11</v>
      </c>
      <c r="G41" s="82">
        <v>11</v>
      </c>
      <c r="H41" s="82">
        <v>11</v>
      </c>
      <c r="I41" s="82">
        <v>11</v>
      </c>
      <c r="J41" s="82">
        <v>11</v>
      </c>
      <c r="K41" s="82">
        <v>11</v>
      </c>
      <c r="L41" s="82">
        <v>11</v>
      </c>
      <c r="M41" s="97">
        <v>11</v>
      </c>
      <c r="N41" s="82">
        <v>11</v>
      </c>
      <c r="O41" s="82">
        <v>11</v>
      </c>
      <c r="P41" s="82">
        <v>11</v>
      </c>
      <c r="Q41" s="82">
        <v>11</v>
      </c>
      <c r="R41" s="82">
        <v>11</v>
      </c>
      <c r="S41" s="82">
        <v>11</v>
      </c>
      <c r="T41" s="82">
        <v>11</v>
      </c>
      <c r="U41" s="82">
        <v>11</v>
      </c>
      <c r="V41" s="82">
        <v>11</v>
      </c>
      <c r="W41" s="82">
        <v>11</v>
      </c>
    </row>
    <row r="42" spans="1:31">
      <c r="A42" s="3" t="s">
        <v>190</v>
      </c>
      <c r="D42" s="68">
        <f>D40*D41</f>
        <v>11.769999999999891</v>
      </c>
      <c r="E42" s="68">
        <f t="shared" ref="E42:W42" si="39">E40*E41</f>
        <v>-119.41600000000003</v>
      </c>
      <c r="F42" s="68">
        <f t="shared" si="39"/>
        <v>140.69</v>
      </c>
      <c r="G42" s="68">
        <f t="shared" si="39"/>
        <v>121.57200000000017</v>
      </c>
      <c r="H42" s="68">
        <f t="shared" si="39"/>
        <v>180.39999999999998</v>
      </c>
      <c r="I42" s="68">
        <f t="shared" si="39"/>
        <v>421.30000000000018</v>
      </c>
      <c r="J42" s="68">
        <f t="shared" si="39"/>
        <v>321.41999999999996</v>
      </c>
      <c r="K42" s="68">
        <f t="shared" si="39"/>
        <v>683.85899999999947</v>
      </c>
      <c r="L42" s="68">
        <f t="shared" si="39"/>
        <v>413.60000000000025</v>
      </c>
      <c r="M42" s="78">
        <f t="shared" si="39"/>
        <v>67.392908000000119</v>
      </c>
      <c r="N42" s="68">
        <f t="shared" si="39"/>
        <v>98.200299999999714</v>
      </c>
      <c r="O42" s="68">
        <f t="shared" si="39"/>
        <v>391.75506699999983</v>
      </c>
      <c r="P42" s="68">
        <f t="shared" si="39"/>
        <v>406.53739500000029</v>
      </c>
      <c r="Q42" s="68">
        <f t="shared" si="39"/>
        <v>352.73218749999972</v>
      </c>
      <c r="R42" s="68">
        <f t="shared" si="39"/>
        <v>397.79694625000013</v>
      </c>
      <c r="S42" s="68">
        <f t="shared" si="39"/>
        <v>547.59061225000005</v>
      </c>
      <c r="T42" s="68">
        <f t="shared" si="39"/>
        <v>572.23238875000038</v>
      </c>
      <c r="U42" s="68">
        <f t="shared" si="39"/>
        <v>424.30066937500021</v>
      </c>
      <c r="V42" s="68">
        <f t="shared" si="39"/>
        <v>417.3223924375003</v>
      </c>
      <c r="W42" s="68">
        <f t="shared" si="39"/>
        <v>570.03501238749959</v>
      </c>
    </row>
    <row r="43" spans="1:31">
      <c r="A43" s="3" t="s">
        <v>199</v>
      </c>
      <c r="D43" s="68">
        <f>D42-BS!D$11+BS!D$36+BS!D$43+BS!D$48</f>
        <v>174.31999999999991</v>
      </c>
      <c r="E43" s="68">
        <f>E42-BS!E$11+BS!E$36+BS!E$43+BS!E$48</f>
        <v>-119.41600000000003</v>
      </c>
      <c r="F43" s="68">
        <f>F42-BS!F$11+BS!F$36+BS!F$43+BS!F$48</f>
        <v>350.6</v>
      </c>
      <c r="G43" s="68">
        <f>G42-BS!G$11+BS!G$36+BS!G$43+BS!G$48</f>
        <v>-66.617999999999824</v>
      </c>
      <c r="H43" s="68">
        <f>H42-BS!H$11+BS!H$36+BS!H$43+BS!H$48</f>
        <v>-34.730000000000004</v>
      </c>
      <c r="I43" s="68">
        <f>I42-BS!I$11+BS!I$36+BS!I$43+BS!I$48</f>
        <v>-78.929999999999836</v>
      </c>
      <c r="J43" s="68">
        <f>J42-BS!J$11+BS!J$36+BS!J$43+BS!J$48</f>
        <v>-70.82000000000005</v>
      </c>
      <c r="K43" s="68">
        <f>K42-BS!K$11+BS!K$36+BS!K$43+BS!K$48</f>
        <v>392.67899999999941</v>
      </c>
      <c r="L43" s="68">
        <f>L42-BS!L$11+BS!L$36+BS!L$43+BS!L$48</f>
        <v>424.99000000000024</v>
      </c>
      <c r="M43" s="78">
        <f>M42-BS!M$11+BS!M$36+BS!M$43+BS!M$48</f>
        <v>67.392908000000119</v>
      </c>
      <c r="N43" s="68">
        <f>N42-BS!N$11+BS!N$36+BS!N$43+BS!N$48</f>
        <v>98.200299999999714</v>
      </c>
      <c r="O43" s="68">
        <f>O42-BS!O$11+BS!O$36+BS!O$43+BS!O$48</f>
        <v>391.75506699999983</v>
      </c>
      <c r="P43" s="68">
        <f>P42-BS!P$11+BS!P$36+BS!P$43+BS!P$48</f>
        <v>406.53739500000029</v>
      </c>
      <c r="Q43" s="68">
        <f>Q42-BS!Q$11+BS!Q$36+BS!Q$43+BS!Q$48</f>
        <v>352.73218749999972</v>
      </c>
      <c r="R43" s="68">
        <f>R42-BS!R$11+BS!R$36+BS!R$43+BS!R$48</f>
        <v>397.79694625000013</v>
      </c>
      <c r="S43" s="68">
        <f>S42-BS!S$11+BS!S$36+BS!S$43+BS!S$48</f>
        <v>547.59061225000005</v>
      </c>
      <c r="T43" s="68">
        <f>T42-BS!T$11+BS!T$36+BS!T$43+BS!T$48</f>
        <v>572.23238875000038</v>
      </c>
      <c r="U43" s="68">
        <f>U42-BS!U$11+BS!U$36+BS!U$43+BS!U$48</f>
        <v>424.30066937500021</v>
      </c>
      <c r="V43" s="68">
        <f>V42-BS!V$11+BS!V$36+BS!V$43+BS!V$48</f>
        <v>417.3223924375003</v>
      </c>
      <c r="W43" s="68">
        <f>W42-BS!W$11+BS!W$36+BS!W$43+BS!W$48</f>
        <v>570.03501238749959</v>
      </c>
    </row>
    <row r="44" spans="1:31">
      <c r="A44" s="3" t="s">
        <v>200</v>
      </c>
    </row>
    <row r="46" spans="1:31">
      <c r="A46" s="3" t="s">
        <v>20</v>
      </c>
      <c r="B46" s="3">
        <v>14.31</v>
      </c>
      <c r="C46" s="3">
        <v>14.4</v>
      </c>
      <c r="D46" s="3">
        <f>'P&amp;L GAAP'!D74</f>
        <v>14.63</v>
      </c>
      <c r="E46" s="3">
        <f>'P&amp;L GAAP'!E74</f>
        <v>14.66</v>
      </c>
      <c r="F46" s="3">
        <f>'P&amp;L GAAP'!F74</f>
        <v>26.75</v>
      </c>
      <c r="G46" s="3">
        <f>'P&amp;L GAAP'!G74</f>
        <v>26</v>
      </c>
      <c r="H46" s="3">
        <f>'P&amp;L GAAP'!H74</f>
        <v>91.45</v>
      </c>
      <c r="I46" s="3">
        <f>'P&amp;L GAAP'!I74</f>
        <v>94.8</v>
      </c>
      <c r="J46" s="3">
        <f>'P&amp;L GAAP'!J74</f>
        <v>96.06</v>
      </c>
      <c r="K46" s="3">
        <f>'P&amp;L GAAP'!K74</f>
        <v>98.8</v>
      </c>
      <c r="L46" s="3">
        <f>'P&amp;L GAAP'!L74</f>
        <v>95.46</v>
      </c>
      <c r="M46" s="13">
        <f>'P&amp;L GAAP'!M74</f>
        <v>92</v>
      </c>
      <c r="N46" s="3">
        <f>'P&amp;L GAAP'!N74</f>
        <v>90</v>
      </c>
      <c r="O46" s="3">
        <f>'P&amp;L GAAP'!O74</f>
        <v>89</v>
      </c>
      <c r="P46" s="3">
        <f>'P&amp;L GAAP'!P74</f>
        <v>91</v>
      </c>
      <c r="Q46" s="3">
        <f>'P&amp;L GAAP'!Q74</f>
        <v>94</v>
      </c>
      <c r="R46" s="3">
        <f>'P&amp;L GAAP'!R74</f>
        <v>96</v>
      </c>
      <c r="S46" s="3">
        <f>'P&amp;L GAAP'!S74</f>
        <v>98</v>
      </c>
      <c r="T46" s="3">
        <f>'P&amp;L GAAP'!T74</f>
        <v>100</v>
      </c>
      <c r="U46" s="3">
        <f>'P&amp;L GAAP'!U74</f>
        <v>102</v>
      </c>
      <c r="V46" s="3">
        <f>'P&amp;L GAAP'!V74</f>
        <v>104</v>
      </c>
      <c r="W46" s="3">
        <f>'P&amp;L GAAP'!W74</f>
        <v>106</v>
      </c>
    </row>
    <row r="47" spans="1:31">
      <c r="A47" s="40" t="s">
        <v>1</v>
      </c>
      <c r="B47" s="40"/>
      <c r="C47" s="40"/>
      <c r="D47" s="40"/>
      <c r="E47" s="40"/>
      <c r="F47" s="41"/>
      <c r="G47" s="41"/>
      <c r="H47" s="41"/>
      <c r="I47" s="41"/>
      <c r="J47" s="41"/>
      <c r="K47" s="41"/>
      <c r="L47" s="41"/>
      <c r="M47" s="73"/>
      <c r="N47" s="41"/>
      <c r="O47" s="41"/>
      <c r="P47" s="41"/>
      <c r="Q47" s="41"/>
      <c r="R47" s="41"/>
      <c r="S47" s="41"/>
      <c r="T47" s="41"/>
      <c r="U47" s="41"/>
      <c r="V47" s="41"/>
      <c r="W47" s="41"/>
    </row>
    <row r="48" spans="1:31">
      <c r="A48" s="40"/>
      <c r="B48" s="40"/>
      <c r="C48" s="40"/>
      <c r="D48" s="40"/>
      <c r="E48" s="40"/>
      <c r="F48" s="44"/>
      <c r="G48" s="44"/>
      <c r="H48" s="44"/>
      <c r="I48" s="44"/>
      <c r="J48" s="44"/>
      <c r="K48" s="44"/>
      <c r="L48" s="44"/>
      <c r="M48" s="78"/>
      <c r="N48" s="68"/>
      <c r="O48" s="68"/>
      <c r="P48" s="68"/>
      <c r="Q48" s="68"/>
      <c r="R48" s="68"/>
      <c r="S48" s="68"/>
      <c r="T48" s="68"/>
      <c r="U48" s="68"/>
      <c r="V48" s="68"/>
      <c r="W48" s="68"/>
    </row>
    <row r="49" spans="1:23">
      <c r="A49" s="3" t="s">
        <v>21</v>
      </c>
      <c r="B49" s="3">
        <v>14.31</v>
      </c>
      <c r="C49" s="3">
        <v>14.4</v>
      </c>
      <c r="D49" s="3">
        <f>'P&amp;L GAAP'!D77</f>
        <v>14.63</v>
      </c>
      <c r="E49" s="3">
        <f>'P&amp;L GAAP'!E77</f>
        <v>14.66</v>
      </c>
      <c r="F49" s="3">
        <f>'P&amp;L GAAP'!F77</f>
        <v>14.71</v>
      </c>
      <c r="G49" s="3">
        <f>'P&amp;L GAAP'!G77</f>
        <v>26</v>
      </c>
      <c r="H49" s="3">
        <f>'P&amp;L GAAP'!H77</f>
        <v>73.63</v>
      </c>
      <c r="I49" s="3">
        <f>'P&amp;L GAAP'!I77</f>
        <v>76.67</v>
      </c>
      <c r="J49" s="3">
        <f>'P&amp;L GAAP'!J77</f>
        <v>79.39</v>
      </c>
      <c r="K49" s="3">
        <f>'P&amp;L GAAP'!K77</f>
        <v>82.62</v>
      </c>
      <c r="L49" s="3">
        <f>'P&amp;L GAAP'!L77</f>
        <v>84.23</v>
      </c>
      <c r="M49" s="13">
        <f>'P&amp;L GAAP'!M77</f>
        <v>84.23</v>
      </c>
      <c r="N49" s="3">
        <f>'P&amp;L GAAP'!N77</f>
        <v>84.23</v>
      </c>
      <c r="O49" s="3">
        <f>'P&amp;L GAAP'!O77</f>
        <v>84.23</v>
      </c>
      <c r="P49" s="3">
        <f>'P&amp;L GAAP'!P77</f>
        <v>84.23</v>
      </c>
      <c r="Q49" s="3">
        <f>'P&amp;L GAAP'!Q77</f>
        <v>84.23</v>
      </c>
      <c r="R49" s="3">
        <f>'P&amp;L GAAP'!R77</f>
        <v>84.23</v>
      </c>
      <c r="S49" s="3">
        <f>'P&amp;L GAAP'!S77</f>
        <v>84.23</v>
      </c>
      <c r="T49" s="3">
        <f>'P&amp;L GAAP'!T77</f>
        <v>84.23</v>
      </c>
      <c r="U49" s="3">
        <f>'P&amp;L GAAP'!U77</f>
        <v>84.23</v>
      </c>
      <c r="V49" s="3">
        <f>'P&amp;L GAAP'!V77</f>
        <v>84.23</v>
      </c>
      <c r="W49" s="3">
        <f>'P&amp;L GAAP'!W77</f>
        <v>84.23</v>
      </c>
    </row>
    <row r="50" spans="1:23">
      <c r="A50" s="40" t="s">
        <v>1</v>
      </c>
      <c r="B50" s="40"/>
      <c r="C50" s="40"/>
      <c r="D50" s="40"/>
      <c r="E50" s="40"/>
      <c r="F50" s="41"/>
      <c r="G50" s="41"/>
      <c r="H50" s="41"/>
      <c r="I50" s="41"/>
      <c r="J50" s="41"/>
      <c r="K50" s="41"/>
      <c r="L50" s="41"/>
      <c r="M50" s="73"/>
      <c r="N50" s="41"/>
      <c r="O50" s="41"/>
      <c r="P50" s="41"/>
      <c r="Q50" s="41"/>
      <c r="R50" s="41"/>
      <c r="S50" s="41"/>
      <c r="T50" s="41"/>
      <c r="U50" s="41"/>
      <c r="V50" s="41"/>
      <c r="W50" s="41"/>
    </row>
    <row r="51" spans="1:23">
      <c r="A51" s="40"/>
      <c r="B51" s="40"/>
      <c r="C51" s="40"/>
      <c r="D51" s="40"/>
      <c r="E51" s="40"/>
      <c r="F51" s="44"/>
      <c r="G51" s="44"/>
      <c r="H51" s="44"/>
      <c r="I51" s="44"/>
      <c r="J51" s="44"/>
      <c r="K51" s="44"/>
      <c r="L51" s="44"/>
    </row>
    <row r="52" spans="1:23">
      <c r="A52" s="3" t="s">
        <v>22</v>
      </c>
      <c r="B52" s="3">
        <v>-0.02</v>
      </c>
      <c r="C52" s="3">
        <v>0.42</v>
      </c>
      <c r="D52" s="33"/>
      <c r="E52" s="33"/>
      <c r="F52" s="33"/>
      <c r="G52" s="33"/>
      <c r="H52" s="33"/>
      <c r="I52" s="33"/>
      <c r="J52" s="33"/>
      <c r="K52" s="33"/>
      <c r="L52" s="33"/>
      <c r="M52" s="71"/>
      <c r="N52" s="33"/>
      <c r="O52" s="33"/>
      <c r="P52" s="33"/>
      <c r="Q52" s="33"/>
      <c r="R52" s="33"/>
      <c r="S52" s="33"/>
      <c r="T52" s="33"/>
      <c r="U52" s="33"/>
      <c r="V52" s="33"/>
      <c r="W52" s="33"/>
    </row>
    <row r="53" spans="1:23">
      <c r="H53" s="41"/>
      <c r="I53" s="41"/>
      <c r="J53" s="41"/>
      <c r="K53" s="41"/>
      <c r="L53" s="41"/>
      <c r="M53" s="73"/>
      <c r="N53" s="41"/>
      <c r="O53" s="41"/>
      <c r="P53" s="41"/>
      <c r="Q53" s="41"/>
      <c r="R53" s="41"/>
      <c r="S53" s="41"/>
      <c r="T53" s="41"/>
      <c r="U53" s="41"/>
      <c r="V53" s="41"/>
      <c r="W53" s="41"/>
    </row>
    <row r="55" spans="1:23">
      <c r="A55" s="3" t="s">
        <v>182</v>
      </c>
      <c r="D55" s="33"/>
      <c r="E55" s="33"/>
      <c r="F55" s="33"/>
      <c r="G55" s="33"/>
      <c r="H55" s="33"/>
      <c r="I55" s="33"/>
      <c r="J55" s="33"/>
      <c r="K55" s="33"/>
      <c r="L55" s="33"/>
      <c r="M55" s="71"/>
      <c r="N55" s="33"/>
      <c r="O55" s="33"/>
      <c r="P55" s="33"/>
      <c r="Q55" s="33"/>
      <c r="R55" s="33"/>
      <c r="S55" s="33"/>
      <c r="T55" s="33"/>
      <c r="U55" s="33"/>
      <c r="V55" s="33"/>
      <c r="W55" s="33"/>
    </row>
    <row r="56" spans="1:23">
      <c r="H56" s="41"/>
      <c r="I56" s="41"/>
      <c r="J56" s="41"/>
      <c r="K56" s="41"/>
      <c r="L56" s="41"/>
      <c r="M56" s="73"/>
      <c r="N56" s="41"/>
      <c r="O56" s="41"/>
      <c r="P56" s="41"/>
      <c r="Q56" s="41"/>
      <c r="R56" s="41"/>
      <c r="S56" s="41"/>
      <c r="T56" s="41"/>
      <c r="U56" s="41"/>
      <c r="V56" s="41"/>
      <c r="W56" s="41"/>
    </row>
    <row r="61" spans="1:23" s="62" customFormat="1">
      <c r="F61" s="63"/>
      <c r="G61" s="63"/>
      <c r="H61" s="63"/>
      <c r="I61" s="63"/>
      <c r="J61" s="63"/>
      <c r="K61" s="63"/>
      <c r="L61" s="63"/>
      <c r="M61" s="79"/>
      <c r="N61" s="63"/>
      <c r="O61" s="63"/>
      <c r="P61" s="63"/>
      <c r="Q61" s="63"/>
      <c r="R61" s="63"/>
      <c r="S61" s="63"/>
      <c r="T61" s="63"/>
      <c r="U61" s="63"/>
      <c r="V61" s="63"/>
      <c r="W61" s="63"/>
    </row>
    <row r="63" spans="1:23" s="40" customFormat="1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73"/>
      <c r="N63" s="41"/>
      <c r="O63" s="41"/>
      <c r="P63" s="41"/>
      <c r="Q63" s="41"/>
      <c r="R63" s="41"/>
      <c r="S63" s="41"/>
      <c r="T63" s="41"/>
      <c r="U63" s="41"/>
      <c r="V63" s="41"/>
      <c r="W63" s="41"/>
    </row>
    <row r="64" spans="1:23" s="40" customFormat="1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73"/>
      <c r="N64" s="41"/>
      <c r="O64" s="41"/>
      <c r="P64" s="41"/>
      <c r="Q64" s="41"/>
      <c r="R64" s="41"/>
      <c r="S64" s="41"/>
      <c r="T64" s="41"/>
      <c r="U64" s="41"/>
      <c r="V64" s="41"/>
      <c r="W64" s="41"/>
    </row>
    <row r="65" spans="1:23" s="40" customFormat="1">
      <c r="B65" s="44"/>
      <c r="C65" s="44"/>
      <c r="D65" s="41"/>
      <c r="E65" s="41"/>
      <c r="F65" s="41"/>
      <c r="G65" s="41"/>
      <c r="H65" s="41"/>
      <c r="I65" s="41"/>
      <c r="J65" s="41"/>
      <c r="K65" s="41"/>
      <c r="L65" s="41"/>
      <c r="M65" s="73"/>
      <c r="N65" s="41"/>
      <c r="O65" s="41"/>
      <c r="P65" s="41"/>
      <c r="Q65" s="41"/>
      <c r="R65" s="41"/>
      <c r="S65" s="41"/>
      <c r="T65" s="41"/>
      <c r="U65" s="41"/>
      <c r="V65" s="41"/>
      <c r="W65" s="41"/>
    </row>
    <row r="66" spans="1:23" s="40" customFormat="1">
      <c r="M66" s="64"/>
    </row>
    <row r="67" spans="1:23" s="40" customFormat="1">
      <c r="A67" s="62"/>
      <c r="H67" s="42"/>
      <c r="I67" s="42"/>
      <c r="J67" s="42"/>
      <c r="K67" s="42"/>
      <c r="L67" s="42"/>
      <c r="M67" s="74"/>
      <c r="N67" s="42"/>
      <c r="O67" s="42"/>
      <c r="P67" s="42"/>
      <c r="Q67" s="42"/>
      <c r="R67" s="42"/>
      <c r="S67" s="42"/>
      <c r="T67" s="42"/>
      <c r="U67" s="42"/>
      <c r="V67" s="42"/>
      <c r="W67" s="42"/>
    </row>
    <row r="68" spans="1:23" s="40" customFormat="1">
      <c r="H68" s="42"/>
      <c r="I68" s="42"/>
      <c r="J68" s="42"/>
      <c r="K68" s="42"/>
      <c r="L68" s="42"/>
      <c r="M68" s="74"/>
      <c r="N68" s="42"/>
      <c r="O68" s="42"/>
      <c r="P68" s="42"/>
      <c r="Q68" s="42"/>
      <c r="R68" s="42"/>
      <c r="S68" s="42"/>
      <c r="T68" s="42"/>
      <c r="U68" s="42"/>
      <c r="V68" s="42"/>
      <c r="W68" s="42"/>
    </row>
    <row r="69" spans="1:23" s="40" customFormat="1">
      <c r="D69" s="3"/>
      <c r="E69" s="3"/>
      <c r="F69" s="3"/>
      <c r="G69" s="3"/>
      <c r="H69" s="42"/>
      <c r="I69" s="42"/>
      <c r="J69" s="42"/>
      <c r="K69" s="42"/>
      <c r="L69" s="42"/>
      <c r="M69" s="74"/>
      <c r="N69" s="42"/>
      <c r="O69" s="42"/>
      <c r="P69" s="42"/>
      <c r="Q69" s="42"/>
      <c r="R69" s="42"/>
      <c r="S69" s="42"/>
      <c r="T69" s="42"/>
      <c r="U69" s="42"/>
      <c r="V69" s="42"/>
      <c r="W69" s="42"/>
    </row>
    <row r="71" spans="1:23" s="40" customFormat="1">
      <c r="F71" s="41"/>
      <c r="G71" s="41"/>
      <c r="H71" s="41"/>
      <c r="I71" s="41"/>
      <c r="J71" s="41"/>
      <c r="K71" s="41"/>
      <c r="L71" s="41"/>
      <c r="M71" s="73"/>
      <c r="N71" s="41"/>
      <c r="O71" s="41"/>
      <c r="P71" s="41"/>
      <c r="Q71" s="41"/>
      <c r="R71" s="41"/>
      <c r="S71" s="41"/>
      <c r="T71" s="41"/>
      <c r="U71" s="41"/>
      <c r="V71" s="41"/>
      <c r="W71" s="41"/>
    </row>
    <row r="72" spans="1:23" s="40" customFormat="1">
      <c r="F72" s="41"/>
      <c r="G72" s="41"/>
      <c r="H72" s="41"/>
      <c r="I72" s="41"/>
      <c r="J72" s="41"/>
      <c r="K72" s="41"/>
      <c r="L72" s="41"/>
      <c r="M72" s="73"/>
      <c r="N72" s="41"/>
      <c r="O72" s="41"/>
      <c r="P72" s="41"/>
      <c r="Q72" s="41"/>
      <c r="R72" s="41"/>
      <c r="S72" s="41"/>
      <c r="T72" s="41"/>
      <c r="U72" s="41"/>
      <c r="V72" s="41"/>
      <c r="W72" s="41"/>
    </row>
  </sheetData>
  <conditionalFormatting sqref="A74:XFD1048576 B70:C70 X61:XFD72 A71:W72 H70:W70 B67:W69 A61:W66 B1:XFD1 A2:XFD60">
    <cfRule type="cellIs" dxfId="5" priority="6" operator="lessThan">
      <formula>0</formula>
    </cfRule>
  </conditionalFormatting>
  <conditionalFormatting sqref="A67 A70:A72 M49:W49">
    <cfRule type="cellIs" dxfId="4" priority="5" operator="lessThan">
      <formula>0</formula>
    </cfRule>
  </conditionalFormatting>
  <conditionalFormatting sqref="A70:A71">
    <cfRule type="cellIs" dxfId="3" priority="4" operator="lessThan">
      <formula>0</formula>
    </cfRule>
  </conditionalFormatting>
  <conditionalFormatting sqref="A69">
    <cfRule type="cellIs" dxfId="2" priority="3" operator="lessThan">
      <formula>0</formula>
    </cfRule>
  </conditionalFormatting>
  <conditionalFormatting sqref="A68">
    <cfRule type="cellIs" dxfId="1" priority="2" operator="lessThan">
      <formula>0</formula>
    </cfRule>
  </conditionalFormatting>
  <conditionalFormatting sqref="A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5A43-C6FB-424D-9AAB-AC308B199DB6}">
  <dimension ref="A1"/>
  <sheetViews>
    <sheetView workbookViewId="0">
      <selection activeCell="E28" sqref="E28"/>
    </sheetView>
  </sheetViews>
  <sheetFormatPr baseColWidth="10" defaultRowHeight="16"/>
  <cols>
    <col min="1" max="16384" width="10.83203125" style="3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Legal Disclosure</vt:lpstr>
      <vt:lpstr>Summary</vt:lpstr>
      <vt:lpstr>Revenue Build</vt:lpstr>
      <vt:lpstr>P&amp;L GAAP</vt:lpstr>
      <vt:lpstr>BS</vt:lpstr>
      <vt:lpstr>CFS</vt:lpstr>
      <vt:lpstr>Multiples</vt:lpstr>
      <vt:lpstr>DCF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WS</dc:creator>
  <cp:keywords/>
  <dc:description/>
  <cp:lastModifiedBy>evan domingos - 2023</cp:lastModifiedBy>
  <dcterms:created xsi:type="dcterms:W3CDTF">2022-07-14T14:00:05Z</dcterms:created>
  <dcterms:modified xsi:type="dcterms:W3CDTF">2022-07-21T18:07:21Z</dcterms:modified>
  <cp:category/>
</cp:coreProperties>
</file>