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0" windowWidth="14850" windowHeight="9000"/>
  </bookViews>
  <sheets>
    <sheet name="consolidated" sheetId="1" r:id="rId1"/>
  </sheets>
  <definedNames>
    <definedName name="_xlnm.Print_Area">consolidated!$A$1:$AT$440</definedName>
  </definedNames>
  <calcPr calcId="145621"/>
</workbook>
</file>

<file path=xl/calcChain.xml><?xml version="1.0" encoding="utf-8"?>
<calcChain xmlns="http://schemas.openxmlformats.org/spreadsheetml/2006/main">
  <c r="E432" i="1" l="1"/>
  <c r="AG427" i="1"/>
  <c r="X427" i="1"/>
  <c r="T427" i="1"/>
  <c r="O427" i="1"/>
  <c r="AC427" i="1"/>
  <c r="AK427" i="1"/>
  <c r="AP427" i="1"/>
  <c r="AS427" i="1"/>
  <c r="AT429" i="1"/>
  <c r="AT426" i="1"/>
  <c r="AS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F426" i="1"/>
  <c r="E42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S398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C399" i="1"/>
  <c r="AD399" i="1"/>
  <c r="AE399" i="1"/>
  <c r="AF399" i="1"/>
  <c r="AG399" i="1"/>
  <c r="AH399" i="1"/>
  <c r="AI399" i="1"/>
  <c r="AJ399" i="1"/>
  <c r="AL399" i="1"/>
  <c r="AM399" i="1"/>
  <c r="AN399" i="1"/>
  <c r="AO399" i="1"/>
  <c r="AP399" i="1"/>
  <c r="AQ399" i="1"/>
  <c r="AR399" i="1"/>
  <c r="AS399" i="1"/>
  <c r="E400" i="1"/>
  <c r="F400" i="1"/>
  <c r="G400" i="1"/>
  <c r="H400" i="1"/>
  <c r="I400" i="1"/>
  <c r="J400" i="1"/>
  <c r="N400" i="1"/>
  <c r="P400" i="1"/>
  <c r="AE400" i="1"/>
  <c r="AR400" i="1"/>
  <c r="AS400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AR407" i="1"/>
  <c r="AS407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AC414" i="1"/>
  <c r="AD414" i="1"/>
  <c r="AE414" i="1"/>
  <c r="AF414" i="1"/>
  <c r="AG414" i="1"/>
  <c r="AH414" i="1"/>
  <c r="AI414" i="1"/>
  <c r="AJ414" i="1"/>
  <c r="AS414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E417" i="1"/>
  <c r="F417" i="1"/>
  <c r="G417" i="1"/>
  <c r="H417" i="1"/>
  <c r="I417" i="1"/>
  <c r="J417" i="1"/>
  <c r="K417" i="1"/>
  <c r="L417" i="1"/>
  <c r="O417" i="1"/>
  <c r="P417" i="1"/>
  <c r="Q417" i="1"/>
  <c r="R417" i="1"/>
  <c r="S417" i="1"/>
  <c r="T417" i="1"/>
  <c r="U417" i="1"/>
  <c r="V417" i="1"/>
  <c r="W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E418" i="1"/>
  <c r="F418" i="1"/>
  <c r="G418" i="1"/>
  <c r="H418" i="1"/>
  <c r="I418" i="1"/>
  <c r="J418" i="1"/>
  <c r="K418" i="1"/>
  <c r="L418" i="1"/>
  <c r="O418" i="1"/>
  <c r="P418" i="1"/>
  <c r="Q418" i="1"/>
  <c r="R418" i="1"/>
  <c r="S418" i="1"/>
  <c r="T418" i="1"/>
  <c r="U418" i="1"/>
  <c r="V418" i="1"/>
  <c r="W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E419" i="1"/>
  <c r="F419" i="1"/>
  <c r="G419" i="1"/>
  <c r="H419" i="1"/>
  <c r="I419" i="1"/>
  <c r="J419" i="1"/>
  <c r="K419" i="1"/>
  <c r="L419" i="1"/>
  <c r="M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E420" i="1"/>
  <c r="F420" i="1"/>
  <c r="G420" i="1"/>
  <c r="H420" i="1"/>
  <c r="I420" i="1"/>
  <c r="AS420" i="1"/>
  <c r="E421" i="1"/>
  <c r="F421" i="1"/>
  <c r="G421" i="1"/>
  <c r="H421" i="1"/>
  <c r="I421" i="1"/>
  <c r="J421" i="1"/>
  <c r="K421" i="1"/>
  <c r="AS421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AO422" i="1"/>
  <c r="AP422" i="1"/>
  <c r="AQ422" i="1"/>
  <c r="AR422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V432" i="1"/>
  <c r="AT432" i="1" s="1"/>
  <c r="C433" i="1"/>
  <c r="AT433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E437" i="1"/>
  <c r="F437" i="1" s="1"/>
  <c r="G437" i="1" s="1"/>
  <c r="AT435" i="1" l="1"/>
  <c r="AT427" i="1"/>
  <c r="H437" i="1"/>
  <c r="V435" i="1"/>
  <c r="C432" i="1"/>
  <c r="C435" i="1" s="1"/>
  <c r="C437" i="1" s="1"/>
  <c r="I437" i="1" l="1"/>
  <c r="AK41" i="1"/>
  <c r="J437" i="1" l="1"/>
  <c r="AT12" i="1"/>
  <c r="C13" i="1"/>
  <c r="AT13" i="1"/>
  <c r="C14" i="1"/>
  <c r="AT14" i="1"/>
  <c r="C15" i="1"/>
  <c r="AT15" i="1"/>
  <c r="C16" i="1"/>
  <c r="AT16" i="1"/>
  <c r="C17" i="1"/>
  <c r="AT17" i="1"/>
  <c r="C18" i="1"/>
  <c r="AT18" i="1"/>
  <c r="C19" i="1"/>
  <c r="AT19" i="1"/>
  <c r="C20" i="1"/>
  <c r="AT20" i="1"/>
  <c r="C21" i="1"/>
  <c r="AT21" i="1"/>
  <c r="C22" i="1"/>
  <c r="AT22" i="1"/>
  <c r="C23" i="1"/>
  <c r="AT23" i="1"/>
  <c r="C24" i="1"/>
  <c r="AT24" i="1"/>
  <c r="C25" i="1"/>
  <c r="AT25" i="1"/>
  <c r="C26" i="1"/>
  <c r="AT26" i="1"/>
  <c r="C27" i="1"/>
  <c r="AT27" i="1"/>
  <c r="C28" i="1"/>
  <c r="AT28" i="1"/>
  <c r="C29" i="1"/>
  <c r="AT29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AT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C35" i="1"/>
  <c r="AT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Q68" i="1"/>
  <c r="Q399" i="1" s="1"/>
  <c r="R68" i="1"/>
  <c r="R399" i="1" s="1"/>
  <c r="S68" i="1"/>
  <c r="S399" i="1" s="1"/>
  <c r="T68" i="1"/>
  <c r="T399" i="1" s="1"/>
  <c r="U68" i="1"/>
  <c r="U399" i="1" s="1"/>
  <c r="V68" i="1"/>
  <c r="W68" i="1"/>
  <c r="W399" i="1" s="1"/>
  <c r="X69" i="1"/>
  <c r="Y69" i="1"/>
  <c r="Z69" i="1"/>
  <c r="AA69" i="1"/>
  <c r="AB69" i="1"/>
  <c r="C70" i="1"/>
  <c r="AT70" i="1"/>
  <c r="C71" i="1"/>
  <c r="AT71" i="1"/>
  <c r="K72" i="1"/>
  <c r="K400" i="1" s="1"/>
  <c r="L72" i="1"/>
  <c r="M72" i="1"/>
  <c r="M400" i="1" s="1"/>
  <c r="O72" i="1"/>
  <c r="O400" i="1" s="1"/>
  <c r="AB73" i="1"/>
  <c r="V74" i="1"/>
  <c r="W74" i="1"/>
  <c r="X74" i="1"/>
  <c r="Y74" i="1"/>
  <c r="Z74" i="1"/>
  <c r="AA74" i="1"/>
  <c r="AB74" i="1"/>
  <c r="AA75" i="1"/>
  <c r="AT75" i="1" s="1"/>
  <c r="T76" i="1"/>
  <c r="U76" i="1"/>
  <c r="V76" i="1"/>
  <c r="W76" i="1"/>
  <c r="X76" i="1"/>
  <c r="Y76" i="1"/>
  <c r="Z76" i="1"/>
  <c r="AA76" i="1"/>
  <c r="AD77" i="1"/>
  <c r="Q78" i="1"/>
  <c r="R78" i="1"/>
  <c r="R400" i="1" s="1"/>
  <c r="S78" i="1"/>
  <c r="T78" i="1"/>
  <c r="U78" i="1"/>
  <c r="V78" i="1"/>
  <c r="W78" i="1"/>
  <c r="X78" i="1"/>
  <c r="Y78" i="1"/>
  <c r="Z78" i="1"/>
  <c r="AA78" i="1"/>
  <c r="AB78" i="1"/>
  <c r="AC78" i="1"/>
  <c r="AD78" i="1"/>
  <c r="Y79" i="1"/>
  <c r="Z79" i="1"/>
  <c r="AA79" i="1"/>
  <c r="AB79" i="1"/>
  <c r="C80" i="1"/>
  <c r="AT80" i="1"/>
  <c r="S81" i="1"/>
  <c r="T81" i="1"/>
  <c r="U81" i="1"/>
  <c r="V81" i="1"/>
  <c r="W81" i="1"/>
  <c r="X81" i="1"/>
  <c r="Y81" i="1"/>
  <c r="Z81" i="1"/>
  <c r="AA81" i="1"/>
  <c r="AB81" i="1"/>
  <c r="AC81" i="1"/>
  <c r="Z82" i="1"/>
  <c r="AA82" i="1"/>
  <c r="AB82" i="1"/>
  <c r="AC83" i="1"/>
  <c r="C83" i="1" s="1"/>
  <c r="T84" i="1"/>
  <c r="U84" i="1"/>
  <c r="V84" i="1"/>
  <c r="W84" i="1"/>
  <c r="X84" i="1"/>
  <c r="Y84" i="1"/>
  <c r="Z84" i="1"/>
  <c r="AA84" i="1"/>
  <c r="AB84" i="1"/>
  <c r="AC84" i="1"/>
  <c r="Z85" i="1"/>
  <c r="AA85" i="1"/>
  <c r="AB85" i="1"/>
  <c r="AF86" i="1"/>
  <c r="AF400" i="1" s="1"/>
  <c r="AG86" i="1"/>
  <c r="AG400" i="1" s="1"/>
  <c r="AH86" i="1"/>
  <c r="AH400" i="1" s="1"/>
  <c r="AI86" i="1"/>
  <c r="AI400" i="1" s="1"/>
  <c r="AJ86" i="1"/>
  <c r="AJ400" i="1" s="1"/>
  <c r="AK86" i="1"/>
  <c r="AK400" i="1" s="1"/>
  <c r="AL86" i="1"/>
  <c r="AL400" i="1" s="1"/>
  <c r="AM86" i="1"/>
  <c r="AM400" i="1" s="1"/>
  <c r="AN86" i="1"/>
  <c r="AN400" i="1" s="1"/>
  <c r="AO86" i="1"/>
  <c r="AO400" i="1" s="1"/>
  <c r="AP86" i="1"/>
  <c r="AP400" i="1" s="1"/>
  <c r="AQ86" i="1"/>
  <c r="AQ400" i="1" s="1"/>
  <c r="Z87" i="1"/>
  <c r="AA87" i="1"/>
  <c r="AB87" i="1"/>
  <c r="AD88" i="1"/>
  <c r="AT88" i="1" s="1"/>
  <c r="S89" i="1"/>
  <c r="T89" i="1"/>
  <c r="U89" i="1"/>
  <c r="V89" i="1"/>
  <c r="W89" i="1"/>
  <c r="X89" i="1"/>
  <c r="Y89" i="1"/>
  <c r="Z89" i="1"/>
  <c r="AA89" i="1"/>
  <c r="AB89" i="1"/>
  <c r="AC89" i="1"/>
  <c r="AD89" i="1"/>
  <c r="AA90" i="1"/>
  <c r="AB90" i="1"/>
  <c r="U91" i="1"/>
  <c r="V91" i="1"/>
  <c r="W91" i="1"/>
  <c r="C92" i="1"/>
  <c r="AT92" i="1"/>
  <c r="C93" i="1"/>
  <c r="AT93" i="1"/>
  <c r="C94" i="1"/>
  <c r="AT94" i="1"/>
  <c r="L95" i="1"/>
  <c r="Q95" i="1"/>
  <c r="X95" i="1"/>
  <c r="Y95" i="1"/>
  <c r="C96" i="1"/>
  <c r="AT96" i="1"/>
  <c r="C97" i="1"/>
  <c r="AT97" i="1"/>
  <c r="C98" i="1"/>
  <c r="AT98" i="1"/>
  <c r="C99" i="1"/>
  <c r="AT99" i="1"/>
  <c r="C100" i="1"/>
  <c r="AT100" i="1"/>
  <c r="AB101" i="1"/>
  <c r="AA102" i="1"/>
  <c r="AB102" i="1"/>
  <c r="C103" i="1"/>
  <c r="AT103" i="1"/>
  <c r="U104" i="1"/>
  <c r="U401" i="1" s="1"/>
  <c r="V104" i="1"/>
  <c r="V401" i="1" s="1"/>
  <c r="W104" i="1"/>
  <c r="W401" i="1" s="1"/>
  <c r="X104" i="1"/>
  <c r="X401" i="1" s="1"/>
  <c r="Y104" i="1"/>
  <c r="Z104" i="1"/>
  <c r="AA104" i="1"/>
  <c r="AB104" i="1"/>
  <c r="C105" i="1"/>
  <c r="AT105" i="1"/>
  <c r="X106" i="1"/>
  <c r="Y106" i="1"/>
  <c r="Z106" i="1"/>
  <c r="AA106" i="1"/>
  <c r="AB106" i="1"/>
  <c r="AC106" i="1"/>
  <c r="AC401" i="1" s="1"/>
  <c r="AB107" i="1"/>
  <c r="AA107" i="1" s="1"/>
  <c r="C108" i="1"/>
  <c r="AT108" i="1"/>
  <c r="Y109" i="1"/>
  <c r="Z109" i="1"/>
  <c r="AA109" i="1"/>
  <c r="AB109" i="1"/>
  <c r="C110" i="1"/>
  <c r="AT110" i="1"/>
  <c r="AB111" i="1"/>
  <c r="C111" i="1" s="1"/>
  <c r="C112" i="1"/>
  <c r="AT112" i="1"/>
  <c r="C113" i="1"/>
  <c r="AT113" i="1"/>
  <c r="C114" i="1"/>
  <c r="AT114" i="1"/>
  <c r="AC115" i="1"/>
  <c r="W116" i="1"/>
  <c r="X116" i="1"/>
  <c r="Y116" i="1"/>
  <c r="Z116" i="1"/>
  <c r="AA116" i="1"/>
  <c r="AB116" i="1"/>
  <c r="AC116" i="1"/>
  <c r="AC117" i="1"/>
  <c r="AT117" i="1" s="1"/>
  <c r="C118" i="1"/>
  <c r="AT118" i="1"/>
  <c r="X119" i="1"/>
  <c r="Y119" i="1"/>
  <c r="Z119" i="1"/>
  <c r="AA119" i="1"/>
  <c r="AB119" i="1"/>
  <c r="AC119" i="1"/>
  <c r="AB120" i="1"/>
  <c r="C120" i="1" s="1"/>
  <c r="W121" i="1"/>
  <c r="X121" i="1"/>
  <c r="Y121" i="1"/>
  <c r="Z121" i="1"/>
  <c r="AA121" i="1"/>
  <c r="AB121" i="1"/>
  <c r="AC122" i="1"/>
  <c r="C122" i="1" s="1"/>
  <c r="X123" i="1"/>
  <c r="Y123" i="1"/>
  <c r="Z123" i="1"/>
  <c r="AA123" i="1"/>
  <c r="AB123" i="1"/>
  <c r="C124" i="1"/>
  <c r="AT124" i="1"/>
  <c r="C125" i="1"/>
  <c r="AT125" i="1"/>
  <c r="C126" i="1"/>
  <c r="AT126" i="1"/>
  <c r="X127" i="1"/>
  <c r="Y127" i="1"/>
  <c r="Z127" i="1"/>
  <c r="AA127" i="1"/>
  <c r="AB127" i="1"/>
  <c r="C128" i="1"/>
  <c r="AT128" i="1"/>
  <c r="V129" i="1"/>
  <c r="V403" i="1" s="1"/>
  <c r="AB129" i="1"/>
  <c r="C130" i="1"/>
  <c r="AT130" i="1"/>
  <c r="AB131" i="1"/>
  <c r="C131" i="1" s="1"/>
  <c r="W132" i="1"/>
  <c r="W403" i="1" s="1"/>
  <c r="X132" i="1"/>
  <c r="X403" i="1" s="1"/>
  <c r="Y132" i="1"/>
  <c r="Z132" i="1"/>
  <c r="AA132" i="1"/>
  <c r="AA403" i="1" s="1"/>
  <c r="AB132" i="1"/>
  <c r="AA133" i="1"/>
  <c r="C133" i="1" s="1"/>
  <c r="X134" i="1"/>
  <c r="Y134" i="1"/>
  <c r="Z134" i="1"/>
  <c r="AA134" i="1"/>
  <c r="C135" i="1"/>
  <c r="AT135" i="1"/>
  <c r="C136" i="1"/>
  <c r="AT136" i="1"/>
  <c r="AB137" i="1"/>
  <c r="C138" i="1"/>
  <c r="AT138" i="1"/>
  <c r="V139" i="1"/>
  <c r="W139" i="1"/>
  <c r="X139" i="1"/>
  <c r="Y139" i="1"/>
  <c r="Z139" i="1"/>
  <c r="AA139" i="1"/>
  <c r="AB139" i="1"/>
  <c r="C140" i="1"/>
  <c r="AT140" i="1"/>
  <c r="W141" i="1"/>
  <c r="V141" i="1" s="1"/>
  <c r="X141" i="1"/>
  <c r="Y141" i="1"/>
  <c r="Z141" i="1"/>
  <c r="AA141" i="1"/>
  <c r="AB141" i="1"/>
  <c r="AA142" i="1"/>
  <c r="AB142" i="1"/>
  <c r="W143" i="1"/>
  <c r="X143" i="1"/>
  <c r="Y143" i="1"/>
  <c r="Z143" i="1"/>
  <c r="AA143" i="1"/>
  <c r="AB143" i="1"/>
  <c r="AA144" i="1"/>
  <c r="AB144" i="1"/>
  <c r="X145" i="1"/>
  <c r="Y145" i="1"/>
  <c r="Z145" i="1"/>
  <c r="AA145" i="1"/>
  <c r="C146" i="1"/>
  <c r="AT146" i="1"/>
  <c r="AC147" i="1"/>
  <c r="AC148" i="1"/>
  <c r="AT148" i="1" s="1"/>
  <c r="AB149" i="1"/>
  <c r="V150" i="1"/>
  <c r="W150" i="1"/>
  <c r="X150" i="1"/>
  <c r="Y150" i="1"/>
  <c r="Z150" i="1"/>
  <c r="AA150" i="1"/>
  <c r="AB150" i="1"/>
  <c r="AB151" i="1"/>
  <c r="C151" i="1" s="1"/>
  <c r="Z152" i="1"/>
  <c r="AA152" i="1"/>
  <c r="AB152" i="1"/>
  <c r="AB153" i="1"/>
  <c r="C153" i="1" s="1"/>
  <c r="S154" i="1"/>
  <c r="S405" i="1" s="1"/>
  <c r="T154" i="1"/>
  <c r="T405" i="1" s="1"/>
  <c r="U154" i="1"/>
  <c r="U405" i="1" s="1"/>
  <c r="V154" i="1"/>
  <c r="W154" i="1"/>
  <c r="X154" i="1"/>
  <c r="Y154" i="1"/>
  <c r="Z154" i="1"/>
  <c r="AA154" i="1"/>
  <c r="AB154" i="1"/>
  <c r="AA155" i="1"/>
  <c r="AB155" i="1"/>
  <c r="X156" i="1"/>
  <c r="X157" i="1" s="1"/>
  <c r="Y156" i="1"/>
  <c r="Z156" i="1"/>
  <c r="Z157" i="1" s="1"/>
  <c r="AA156" i="1"/>
  <c r="W157" i="1"/>
  <c r="AA157" i="1"/>
  <c r="C158" i="1"/>
  <c r="AT158" i="1"/>
  <c r="AB159" i="1"/>
  <c r="AT159" i="1" s="1"/>
  <c r="W160" i="1"/>
  <c r="X160" i="1"/>
  <c r="Y160" i="1"/>
  <c r="Z160" i="1"/>
  <c r="AA160" i="1"/>
  <c r="AB160" i="1"/>
  <c r="AC160" i="1"/>
  <c r="C161" i="1"/>
  <c r="AT161" i="1"/>
  <c r="AA162" i="1"/>
  <c r="C162" i="1" s="1"/>
  <c r="V163" i="1"/>
  <c r="W163" i="1"/>
  <c r="X163" i="1"/>
  <c r="Y163" i="1"/>
  <c r="Z163" i="1"/>
  <c r="AA163" i="1"/>
  <c r="AA164" i="1"/>
  <c r="AB164" i="1"/>
  <c r="C165" i="1"/>
  <c r="AT165" i="1"/>
  <c r="AC166" i="1"/>
  <c r="AC167" i="1"/>
  <c r="C167" i="1" s="1"/>
  <c r="AA168" i="1"/>
  <c r="AB168" i="1"/>
  <c r="AB169" i="1"/>
  <c r="AT169" i="1" s="1"/>
  <c r="W170" i="1"/>
  <c r="X170" i="1"/>
  <c r="Y170" i="1"/>
  <c r="Z170" i="1"/>
  <c r="AA170" i="1"/>
  <c r="AA171" i="1"/>
  <c r="AB171" i="1"/>
  <c r="X172" i="1"/>
  <c r="Y172" i="1"/>
  <c r="Z172" i="1"/>
  <c r="AA172" i="1"/>
  <c r="X173" i="1"/>
  <c r="Y173" i="1"/>
  <c r="AA173" i="1"/>
  <c r="C174" i="1"/>
  <c r="AT174" i="1"/>
  <c r="AC175" i="1"/>
  <c r="C175" i="1" s="1"/>
  <c r="AA176" i="1"/>
  <c r="AT176" i="1" s="1"/>
  <c r="W177" i="1"/>
  <c r="X177" i="1"/>
  <c r="Y177" i="1"/>
  <c r="Z177" i="1"/>
  <c r="AA177" i="1"/>
  <c r="AA178" i="1"/>
  <c r="AB178" i="1"/>
  <c r="X179" i="1"/>
  <c r="X180" i="1" s="1"/>
  <c r="Y179" i="1"/>
  <c r="Y180" i="1" s="1"/>
  <c r="Z179" i="1"/>
  <c r="Z180" i="1" s="1"/>
  <c r="AA179" i="1"/>
  <c r="AA180" i="1"/>
  <c r="C181" i="1"/>
  <c r="AT181" i="1"/>
  <c r="C182" i="1"/>
  <c r="AT182" i="1"/>
  <c r="AQ183" i="1"/>
  <c r="AJ184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K407" i="1" s="1"/>
  <c r="AL186" i="1"/>
  <c r="AL407" i="1" s="1"/>
  <c r="AM186" i="1"/>
  <c r="AM407" i="1" s="1"/>
  <c r="AN186" i="1"/>
  <c r="AN407" i="1" s="1"/>
  <c r="AO186" i="1"/>
  <c r="AO407" i="1" s="1"/>
  <c r="AP186" i="1"/>
  <c r="AP407" i="1" s="1"/>
  <c r="AQ186" i="1"/>
  <c r="C187" i="1"/>
  <c r="AT187" i="1"/>
  <c r="X188" i="1"/>
  <c r="X408" i="1" s="1"/>
  <c r="Y188" i="1"/>
  <c r="Y408" i="1" s="1"/>
  <c r="Z188" i="1"/>
  <c r="Z408" i="1" s="1"/>
  <c r="AA188" i="1"/>
  <c r="AA408" i="1" s="1"/>
  <c r="C189" i="1"/>
  <c r="AT189" i="1"/>
  <c r="C190" i="1"/>
  <c r="AT190" i="1"/>
  <c r="C191" i="1"/>
  <c r="AT191" i="1"/>
  <c r="C192" i="1"/>
  <c r="AT192" i="1"/>
  <c r="C193" i="1"/>
  <c r="AT193" i="1"/>
  <c r="C194" i="1"/>
  <c r="AT194" i="1"/>
  <c r="X195" i="1"/>
  <c r="Y195" i="1"/>
  <c r="Z195" i="1"/>
  <c r="AA195" i="1"/>
  <c r="AA196" i="1"/>
  <c r="AT196" i="1" s="1"/>
  <c r="C197" i="1"/>
  <c r="AT197" i="1"/>
  <c r="C198" i="1"/>
  <c r="AT198" i="1"/>
  <c r="X199" i="1"/>
  <c r="Y199" i="1"/>
  <c r="Z199" i="1"/>
  <c r="AA199" i="1"/>
  <c r="X200" i="1"/>
  <c r="Y200" i="1"/>
  <c r="Z200" i="1"/>
  <c r="AA200" i="1"/>
  <c r="C201" i="1"/>
  <c r="AT201" i="1"/>
  <c r="C202" i="1"/>
  <c r="AT202" i="1"/>
  <c r="C203" i="1"/>
  <c r="AT203" i="1"/>
  <c r="X204" i="1"/>
  <c r="Y204" i="1"/>
  <c r="Z204" i="1"/>
  <c r="AA204" i="1"/>
  <c r="C205" i="1"/>
  <c r="AT205" i="1"/>
  <c r="C206" i="1"/>
  <c r="AT206" i="1"/>
  <c r="C207" i="1"/>
  <c r="AT207" i="1"/>
  <c r="X208" i="1"/>
  <c r="Y208" i="1"/>
  <c r="Z208" i="1"/>
  <c r="AA208" i="1"/>
  <c r="C209" i="1"/>
  <c r="AT209" i="1"/>
  <c r="C210" i="1"/>
  <c r="AT210" i="1"/>
  <c r="X211" i="1"/>
  <c r="Y211" i="1"/>
  <c r="Z211" i="1"/>
  <c r="AA211" i="1"/>
  <c r="AB211" i="1"/>
  <c r="AB410" i="1" s="1"/>
  <c r="C212" i="1"/>
  <c r="AT212" i="1"/>
  <c r="X213" i="1"/>
  <c r="Y213" i="1"/>
  <c r="Z213" i="1"/>
  <c r="AA213" i="1"/>
  <c r="AB213" i="1"/>
  <c r="X214" i="1"/>
  <c r="Y214" i="1"/>
  <c r="Z214" i="1"/>
  <c r="AA214" i="1"/>
  <c r="AB214" i="1"/>
  <c r="C215" i="1"/>
  <c r="AT215" i="1"/>
  <c r="X216" i="1"/>
  <c r="Y216" i="1"/>
  <c r="Z216" i="1"/>
  <c r="AA216" i="1"/>
  <c r="C217" i="1"/>
  <c r="AT217" i="1"/>
  <c r="C218" i="1"/>
  <c r="AT218" i="1"/>
  <c r="C219" i="1"/>
  <c r="AT219" i="1"/>
  <c r="C220" i="1"/>
  <c r="AT220" i="1"/>
  <c r="C221" i="1"/>
  <c r="AT221" i="1"/>
  <c r="C222" i="1"/>
  <c r="AT222" i="1"/>
  <c r="X223" i="1"/>
  <c r="Y223" i="1"/>
  <c r="Z223" i="1"/>
  <c r="AA223" i="1"/>
  <c r="AB224" i="1"/>
  <c r="AT224" i="1" s="1"/>
  <c r="C225" i="1"/>
  <c r="AT225" i="1"/>
  <c r="C226" i="1"/>
  <c r="AT226" i="1"/>
  <c r="X227" i="1"/>
  <c r="Y227" i="1"/>
  <c r="Z227" i="1"/>
  <c r="AA227" i="1"/>
  <c r="C228" i="1"/>
  <c r="AT228" i="1"/>
  <c r="C229" i="1"/>
  <c r="AT229" i="1"/>
  <c r="C230" i="1"/>
  <c r="AT230" i="1"/>
  <c r="C231" i="1"/>
  <c r="AT231" i="1"/>
  <c r="C232" i="1"/>
  <c r="AT232" i="1"/>
  <c r="C233" i="1"/>
  <c r="AT233" i="1"/>
  <c r="C234" i="1"/>
  <c r="AT234" i="1"/>
  <c r="C235" i="1"/>
  <c r="AT235" i="1"/>
  <c r="Z236" i="1"/>
  <c r="AA236" i="1"/>
  <c r="AB236" i="1"/>
  <c r="AB412" i="1" s="1"/>
  <c r="AA237" i="1"/>
  <c r="AB237" i="1"/>
  <c r="Z238" i="1"/>
  <c r="AA238" i="1"/>
  <c r="AB238" i="1"/>
  <c r="T239" i="1"/>
  <c r="U239" i="1"/>
  <c r="V239" i="1"/>
  <c r="W239" i="1"/>
  <c r="X239" i="1"/>
  <c r="Y239" i="1"/>
  <c r="Z239" i="1"/>
  <c r="AA239" i="1"/>
  <c r="X240" i="1"/>
  <c r="Y240" i="1"/>
  <c r="Z240" i="1"/>
  <c r="AA240" i="1"/>
  <c r="X241" i="1"/>
  <c r="Y241" i="1"/>
  <c r="Z241" i="1"/>
  <c r="AA241" i="1"/>
  <c r="X242" i="1"/>
  <c r="Y242" i="1"/>
  <c r="Z242" i="1"/>
  <c r="AA242" i="1"/>
  <c r="C243" i="1"/>
  <c r="AT243" i="1"/>
  <c r="X244" i="1"/>
  <c r="Y244" i="1"/>
  <c r="Z244" i="1"/>
  <c r="AA244" i="1"/>
  <c r="X245" i="1"/>
  <c r="Y245" i="1"/>
  <c r="Z245" i="1"/>
  <c r="AA245" i="1"/>
  <c r="R246" i="1"/>
  <c r="R412" i="1" s="1"/>
  <c r="S246" i="1"/>
  <c r="S412" i="1" s="1"/>
  <c r="T246" i="1"/>
  <c r="U246" i="1"/>
  <c r="V246" i="1"/>
  <c r="W246" i="1"/>
  <c r="X246" i="1"/>
  <c r="Y246" i="1"/>
  <c r="Z246" i="1"/>
  <c r="AA246" i="1"/>
  <c r="C247" i="1"/>
  <c r="AT247" i="1"/>
  <c r="T248" i="1"/>
  <c r="U248" i="1"/>
  <c r="V248" i="1"/>
  <c r="W248" i="1"/>
  <c r="C249" i="1"/>
  <c r="AT249" i="1"/>
  <c r="C250" i="1"/>
  <c r="AT250" i="1"/>
  <c r="X251" i="1"/>
  <c r="Y251" i="1"/>
  <c r="Z251" i="1"/>
  <c r="AA251" i="1"/>
  <c r="C252" i="1"/>
  <c r="AT252" i="1"/>
  <c r="C253" i="1"/>
  <c r="AT253" i="1"/>
  <c r="C254" i="1"/>
  <c r="AT254" i="1"/>
  <c r="C255" i="1"/>
  <c r="AT255" i="1"/>
  <c r="C256" i="1"/>
  <c r="AT256" i="1"/>
  <c r="C257" i="1"/>
  <c r="AT257" i="1"/>
  <c r="C258" i="1"/>
  <c r="AT258" i="1"/>
  <c r="C259" i="1"/>
  <c r="AT259" i="1"/>
  <c r="C260" i="1"/>
  <c r="AT260" i="1"/>
  <c r="C261" i="1"/>
  <c r="AT261" i="1"/>
  <c r="C262" i="1"/>
  <c r="AT262" i="1"/>
  <c r="C263" i="1"/>
  <c r="AT263" i="1"/>
  <c r="C264" i="1"/>
  <c r="AT264" i="1"/>
  <c r="C265" i="1"/>
  <c r="AT265" i="1"/>
  <c r="C266" i="1"/>
  <c r="AT266" i="1"/>
  <c r="C267" i="1"/>
  <c r="AT267" i="1"/>
  <c r="X268" i="1"/>
  <c r="X414" i="1" s="1"/>
  <c r="Y268" i="1"/>
  <c r="Y414" i="1" s="1"/>
  <c r="Z268" i="1"/>
  <c r="Z414" i="1" s="1"/>
  <c r="AA268" i="1"/>
  <c r="AA414" i="1" s="1"/>
  <c r="AB268" i="1"/>
  <c r="AB414" i="1" s="1"/>
  <c r="C269" i="1"/>
  <c r="AT269" i="1"/>
  <c r="C270" i="1"/>
  <c r="AT270" i="1"/>
  <c r="AK271" i="1"/>
  <c r="AL271" i="1"/>
  <c r="AM271" i="1"/>
  <c r="AN271" i="1"/>
  <c r="AO271" i="1"/>
  <c r="AP271" i="1"/>
  <c r="AQ271" i="1"/>
  <c r="AR271" i="1"/>
  <c r="AK272" i="1"/>
  <c r="AL272" i="1"/>
  <c r="AM272" i="1"/>
  <c r="AN272" i="1"/>
  <c r="AO272" i="1"/>
  <c r="AP272" i="1"/>
  <c r="AQ272" i="1"/>
  <c r="AR272" i="1"/>
  <c r="C273" i="1"/>
  <c r="AT273" i="1"/>
  <c r="C274" i="1"/>
  <c r="AT274" i="1"/>
  <c r="AC275" i="1"/>
  <c r="AD275" i="1"/>
  <c r="AE275" i="1"/>
  <c r="AF275" i="1"/>
  <c r="AF415" i="1" s="1"/>
  <c r="AG275" i="1"/>
  <c r="AC276" i="1"/>
  <c r="AD276" i="1"/>
  <c r="AE276" i="1"/>
  <c r="AF276" i="1"/>
  <c r="AG276" i="1"/>
  <c r="AC277" i="1"/>
  <c r="AD277" i="1"/>
  <c r="AE277" i="1"/>
  <c r="AF277" i="1"/>
  <c r="AG277" i="1"/>
  <c r="C278" i="1"/>
  <c r="AT278" i="1"/>
  <c r="C279" i="1"/>
  <c r="AT279" i="1"/>
  <c r="C280" i="1"/>
  <c r="AT280" i="1"/>
  <c r="C281" i="1"/>
  <c r="AT281" i="1"/>
  <c r="C282" i="1"/>
  <c r="AT282" i="1"/>
  <c r="C283" i="1"/>
  <c r="AT283" i="1"/>
  <c r="C284" i="1"/>
  <c r="AT284" i="1"/>
  <c r="M285" i="1"/>
  <c r="M417" i="1" s="1"/>
  <c r="N285" i="1"/>
  <c r="N417" i="1" s="1"/>
  <c r="C286" i="1"/>
  <c r="AT286" i="1"/>
  <c r="C287" i="1"/>
  <c r="AT287" i="1"/>
  <c r="C288" i="1"/>
  <c r="AT288" i="1"/>
  <c r="C289" i="1"/>
  <c r="AT289" i="1"/>
  <c r="C290" i="1"/>
  <c r="AT290" i="1"/>
  <c r="C291" i="1"/>
  <c r="AT291" i="1"/>
  <c r="C292" i="1"/>
  <c r="AT292" i="1"/>
  <c r="C293" i="1"/>
  <c r="AT293" i="1"/>
  <c r="C294" i="1"/>
  <c r="AT294" i="1"/>
  <c r="C295" i="1"/>
  <c r="AT295" i="1"/>
  <c r="C296" i="1"/>
  <c r="AT296" i="1"/>
  <c r="C297" i="1"/>
  <c r="AT297" i="1"/>
  <c r="C298" i="1"/>
  <c r="AT298" i="1"/>
  <c r="C299" i="1"/>
  <c r="AT299" i="1"/>
  <c r="X300" i="1"/>
  <c r="Y300" i="1"/>
  <c r="Z300" i="1"/>
  <c r="AA300" i="1"/>
  <c r="C301" i="1"/>
  <c r="AT301" i="1"/>
  <c r="C302" i="1"/>
  <c r="AT302" i="1"/>
  <c r="C303" i="1"/>
  <c r="AT303" i="1"/>
  <c r="X304" i="1"/>
  <c r="Y304" i="1"/>
  <c r="Z304" i="1"/>
  <c r="AA304" i="1"/>
  <c r="X305" i="1"/>
  <c r="Y305" i="1"/>
  <c r="Z305" i="1"/>
  <c r="AA305" i="1"/>
  <c r="C306" i="1"/>
  <c r="AT306" i="1"/>
  <c r="C307" i="1"/>
  <c r="AU307" i="1" s="1"/>
  <c r="AT307" i="1"/>
  <c r="X308" i="1"/>
  <c r="Y308" i="1"/>
  <c r="Z308" i="1"/>
  <c r="AA308" i="1"/>
  <c r="X309" i="1"/>
  <c r="Y309" i="1"/>
  <c r="Z309" i="1"/>
  <c r="AA309" i="1"/>
  <c r="C311" i="1"/>
  <c r="AT311" i="1"/>
  <c r="C312" i="1"/>
  <c r="AT312" i="1"/>
  <c r="C313" i="1"/>
  <c r="AT313" i="1"/>
  <c r="C314" i="1"/>
  <c r="AT314" i="1"/>
  <c r="C315" i="1"/>
  <c r="AT315" i="1"/>
  <c r="X316" i="1"/>
  <c r="Y316" i="1"/>
  <c r="Z316" i="1"/>
  <c r="AA316" i="1"/>
  <c r="C317" i="1"/>
  <c r="AT317" i="1"/>
  <c r="C318" i="1"/>
  <c r="AT318" i="1"/>
  <c r="C319" i="1"/>
  <c r="AT319" i="1"/>
  <c r="X320" i="1"/>
  <c r="Y320" i="1"/>
  <c r="Z320" i="1"/>
  <c r="AA320" i="1"/>
  <c r="X321" i="1"/>
  <c r="Y321" i="1"/>
  <c r="Z321" i="1"/>
  <c r="AA321" i="1"/>
  <c r="X322" i="1"/>
  <c r="Y322" i="1"/>
  <c r="Z322" i="1"/>
  <c r="AA322" i="1"/>
  <c r="C323" i="1"/>
  <c r="AT323" i="1"/>
  <c r="M324" i="1"/>
  <c r="N324" i="1"/>
  <c r="C325" i="1"/>
  <c r="AT325" i="1"/>
  <c r="AB326" i="1"/>
  <c r="C327" i="1"/>
  <c r="AT327" i="1"/>
  <c r="X328" i="1"/>
  <c r="Y328" i="1"/>
  <c r="Z328" i="1"/>
  <c r="AA328" i="1"/>
  <c r="C329" i="1"/>
  <c r="AT329" i="1"/>
  <c r="X330" i="1"/>
  <c r="Y330" i="1"/>
  <c r="Z330" i="1"/>
  <c r="AA330" i="1"/>
  <c r="C331" i="1"/>
  <c r="AT331" i="1"/>
  <c r="X333" i="1"/>
  <c r="Y333" i="1"/>
  <c r="Z333" i="1"/>
  <c r="AA333" i="1"/>
  <c r="C334" i="1"/>
  <c r="AT334" i="1"/>
  <c r="AB335" i="1"/>
  <c r="C335" i="1" s="1"/>
  <c r="X336" i="1"/>
  <c r="Y336" i="1"/>
  <c r="Z336" i="1"/>
  <c r="AA336" i="1"/>
  <c r="X337" i="1"/>
  <c r="Y337" i="1"/>
  <c r="Z337" i="1"/>
  <c r="AA337" i="1"/>
  <c r="C338" i="1"/>
  <c r="AT338" i="1"/>
  <c r="C339" i="1"/>
  <c r="AT339" i="1"/>
  <c r="C340" i="1"/>
  <c r="AT340" i="1"/>
  <c r="C341" i="1"/>
  <c r="AT341" i="1"/>
  <c r="N342" i="1"/>
  <c r="N419" i="1" s="1"/>
  <c r="O342" i="1"/>
  <c r="O419" i="1" s="1"/>
  <c r="P342" i="1"/>
  <c r="P419" i="1" s="1"/>
  <c r="Q342" i="1"/>
  <c r="Q419" i="1" s="1"/>
  <c r="R342" i="1"/>
  <c r="R419" i="1" s="1"/>
  <c r="S342" i="1"/>
  <c r="S419" i="1" s="1"/>
  <c r="T342" i="1"/>
  <c r="T419" i="1" s="1"/>
  <c r="U342" i="1"/>
  <c r="U419" i="1" s="1"/>
  <c r="V342" i="1"/>
  <c r="V419" i="1" s="1"/>
  <c r="W342" i="1"/>
  <c r="W419" i="1" s="1"/>
  <c r="C343" i="1"/>
  <c r="AT343" i="1"/>
  <c r="K344" i="1"/>
  <c r="C345" i="1"/>
  <c r="AT345" i="1"/>
  <c r="W346" i="1"/>
  <c r="C347" i="1"/>
  <c r="AT347" i="1"/>
  <c r="J348" i="1"/>
  <c r="J420" i="1" s="1"/>
  <c r="K348" i="1"/>
  <c r="L348" i="1"/>
  <c r="L420" i="1" s="1"/>
  <c r="M348" i="1"/>
  <c r="M420" i="1" s="1"/>
  <c r="N348" i="1"/>
  <c r="N420" i="1" s="1"/>
  <c r="O348" i="1"/>
  <c r="O420" i="1" s="1"/>
  <c r="P348" i="1"/>
  <c r="P420" i="1" s="1"/>
  <c r="Q348" i="1"/>
  <c r="Q420" i="1" s="1"/>
  <c r="R348" i="1"/>
  <c r="R420" i="1" s="1"/>
  <c r="S348" i="1"/>
  <c r="S420" i="1" s="1"/>
  <c r="T348" i="1"/>
  <c r="T420" i="1" s="1"/>
  <c r="U348" i="1"/>
  <c r="U420" i="1" s="1"/>
  <c r="V348" i="1"/>
  <c r="V420" i="1" s="1"/>
  <c r="W348" i="1"/>
  <c r="X348" i="1"/>
  <c r="Y348" i="1"/>
  <c r="Z348" i="1"/>
  <c r="AA348" i="1"/>
  <c r="AB348" i="1"/>
  <c r="AC348" i="1"/>
  <c r="AC420" i="1" s="1"/>
  <c r="AD348" i="1"/>
  <c r="AD420" i="1" s="1"/>
  <c r="AE348" i="1"/>
  <c r="AE420" i="1" s="1"/>
  <c r="AF348" i="1"/>
  <c r="AF420" i="1" s="1"/>
  <c r="AG348" i="1"/>
  <c r="AG420" i="1" s="1"/>
  <c r="AH348" i="1"/>
  <c r="AH420" i="1" s="1"/>
  <c r="AI348" i="1"/>
  <c r="AI420" i="1" s="1"/>
  <c r="AJ348" i="1"/>
  <c r="AJ420" i="1" s="1"/>
  <c r="AK348" i="1"/>
  <c r="AK420" i="1" s="1"/>
  <c r="AL348" i="1"/>
  <c r="AL420" i="1" s="1"/>
  <c r="AM348" i="1"/>
  <c r="AM420" i="1" s="1"/>
  <c r="AN348" i="1"/>
  <c r="AN420" i="1" s="1"/>
  <c r="AO348" i="1"/>
  <c r="AO420" i="1" s="1"/>
  <c r="AP348" i="1"/>
  <c r="AP420" i="1" s="1"/>
  <c r="AQ348" i="1"/>
  <c r="AQ420" i="1" s="1"/>
  <c r="AR348" i="1"/>
  <c r="AR420" i="1" s="1"/>
  <c r="C349" i="1"/>
  <c r="AT349" i="1"/>
  <c r="C350" i="1"/>
  <c r="AT350" i="1"/>
  <c r="C351" i="1"/>
  <c r="AT351" i="1"/>
  <c r="C352" i="1"/>
  <c r="AT352" i="1"/>
  <c r="X353" i="1"/>
  <c r="Y353" i="1"/>
  <c r="Z353" i="1"/>
  <c r="AA353" i="1"/>
  <c r="AB353" i="1"/>
  <c r="C354" i="1"/>
  <c r="AT354" i="1"/>
  <c r="C355" i="1"/>
  <c r="AT355" i="1"/>
  <c r="C356" i="1"/>
  <c r="AT356" i="1"/>
  <c r="C357" i="1"/>
  <c r="AT357" i="1"/>
  <c r="C358" i="1"/>
  <c r="AT358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AC359" i="1"/>
  <c r="AD359" i="1"/>
  <c r="AE359" i="1"/>
  <c r="AF359" i="1"/>
  <c r="AG359" i="1"/>
  <c r="AH359" i="1"/>
  <c r="AI359" i="1"/>
  <c r="C360" i="1"/>
  <c r="AT360" i="1"/>
  <c r="M361" i="1"/>
  <c r="N361" i="1"/>
  <c r="O361" i="1"/>
  <c r="P361" i="1"/>
  <c r="Q361" i="1"/>
  <c r="R361" i="1"/>
  <c r="S361" i="1"/>
  <c r="T361" i="1"/>
  <c r="U361" i="1"/>
  <c r="V361" i="1"/>
  <c r="W361" i="1"/>
  <c r="AC361" i="1"/>
  <c r="AD361" i="1"/>
  <c r="AE361" i="1"/>
  <c r="AF361" i="1"/>
  <c r="AG361" i="1"/>
  <c r="AH361" i="1"/>
  <c r="AI361" i="1"/>
  <c r="C362" i="1"/>
  <c r="AT362" i="1"/>
  <c r="Z363" i="1"/>
  <c r="AA363" i="1"/>
  <c r="AB363" i="1"/>
  <c r="C364" i="1"/>
  <c r="AT364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C367" i="1"/>
  <c r="AT367" i="1"/>
  <c r="C368" i="1"/>
  <c r="AT368" i="1"/>
  <c r="C369" i="1"/>
  <c r="AT369" i="1"/>
  <c r="O370" i="1"/>
  <c r="P370" i="1"/>
  <c r="P381" i="1" s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L371" i="1"/>
  <c r="M371" i="1"/>
  <c r="N371" i="1"/>
  <c r="O371" i="1"/>
  <c r="P371" i="1"/>
  <c r="Q371" i="1"/>
  <c r="R371" i="1"/>
  <c r="R381" i="1" s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C372" i="1"/>
  <c r="AT372" i="1"/>
  <c r="C373" i="1"/>
  <c r="AT373" i="1"/>
  <c r="C374" i="1"/>
  <c r="AT374" i="1"/>
  <c r="C375" i="1"/>
  <c r="AT375" i="1"/>
  <c r="W376" i="1"/>
  <c r="AB376" i="1"/>
  <c r="C377" i="1"/>
  <c r="AT377" i="1"/>
  <c r="Y378" i="1"/>
  <c r="Y422" i="1" s="1"/>
  <c r="Z378" i="1"/>
  <c r="Z422" i="1" s="1"/>
  <c r="AA378" i="1"/>
  <c r="AA422" i="1" s="1"/>
  <c r="AB378" i="1"/>
  <c r="AB422" i="1" s="1"/>
  <c r="AC378" i="1"/>
  <c r="AC422" i="1" s="1"/>
  <c r="AD378" i="1"/>
  <c r="AD422" i="1" s="1"/>
  <c r="AE378" i="1"/>
  <c r="AE422" i="1" s="1"/>
  <c r="AF378" i="1"/>
  <c r="AF422" i="1" s="1"/>
  <c r="AG378" i="1"/>
  <c r="AG422" i="1" s="1"/>
  <c r="AH378" i="1"/>
  <c r="AH422" i="1" s="1"/>
  <c r="AI378" i="1"/>
  <c r="AI422" i="1" s="1"/>
  <c r="AJ378" i="1"/>
  <c r="AJ422" i="1" s="1"/>
  <c r="AK378" i="1"/>
  <c r="AK422" i="1" s="1"/>
  <c r="AL378" i="1"/>
  <c r="AL422" i="1" s="1"/>
  <c r="AM378" i="1"/>
  <c r="AM422" i="1" s="1"/>
  <c r="AN378" i="1"/>
  <c r="AN422" i="1" s="1"/>
  <c r="AS378" i="1"/>
  <c r="AS422" i="1" s="1"/>
  <c r="AS425" i="1" s="1"/>
  <c r="C379" i="1"/>
  <c r="C423" i="1" s="1"/>
  <c r="AT379" i="1"/>
  <c r="AT423" i="1" s="1"/>
  <c r="E381" i="1"/>
  <c r="F381" i="1"/>
  <c r="G381" i="1"/>
  <c r="H381" i="1"/>
  <c r="I381" i="1"/>
  <c r="J381" i="1"/>
  <c r="K381" i="1"/>
  <c r="M381" i="1"/>
  <c r="O381" i="1"/>
  <c r="S381" i="1"/>
  <c r="U381" i="1"/>
  <c r="W381" i="1"/>
  <c r="AC381" i="1"/>
  <c r="AD381" i="1"/>
  <c r="AE381" i="1"/>
  <c r="AF381" i="1"/>
  <c r="AG381" i="1"/>
  <c r="AH381" i="1"/>
  <c r="AI381" i="1"/>
  <c r="AJ381" i="1"/>
  <c r="AL381" i="1"/>
  <c r="AM381" i="1"/>
  <c r="AN381" i="1"/>
  <c r="AO381" i="1"/>
  <c r="AP381" i="1"/>
  <c r="AQ381" i="1"/>
  <c r="AR381" i="1"/>
  <c r="AS381" i="1"/>
  <c r="AQ421" i="1" l="1"/>
  <c r="AM421" i="1"/>
  <c r="AA421" i="1"/>
  <c r="AI421" i="1"/>
  <c r="AE421" i="1"/>
  <c r="V421" i="1"/>
  <c r="R421" i="1"/>
  <c r="N421" i="1"/>
  <c r="Z420" i="1"/>
  <c r="Y418" i="1"/>
  <c r="C326" i="1"/>
  <c r="C324" i="1"/>
  <c r="M418" i="1"/>
  <c r="X417" i="1"/>
  <c r="AR414" i="1"/>
  <c r="AN414" i="1"/>
  <c r="C413" i="1"/>
  <c r="V412" i="1"/>
  <c r="AA411" i="1"/>
  <c r="X410" i="1"/>
  <c r="AA409" i="1"/>
  <c r="AH407" i="1"/>
  <c r="AD407" i="1"/>
  <c r="Z407" i="1"/>
  <c r="C183" i="1"/>
  <c r="AQ407" i="1"/>
  <c r="C166" i="1"/>
  <c r="AC406" i="1"/>
  <c r="AA405" i="1"/>
  <c r="W405" i="1"/>
  <c r="AT147" i="1"/>
  <c r="AC405" i="1"/>
  <c r="Y404" i="1"/>
  <c r="AA402" i="1"/>
  <c r="W402" i="1"/>
  <c r="Z401" i="1"/>
  <c r="AC400" i="1"/>
  <c r="Q400" i="1"/>
  <c r="U400" i="1"/>
  <c r="AA400" i="1"/>
  <c r="W400" i="1"/>
  <c r="Z399" i="1"/>
  <c r="AO398" i="1"/>
  <c r="AK398" i="1"/>
  <c r="AG398" i="1"/>
  <c r="AC398" i="1"/>
  <c r="Y398" i="1"/>
  <c r="U398" i="1"/>
  <c r="Q398" i="1"/>
  <c r="O398" i="1"/>
  <c r="K398" i="1"/>
  <c r="G398" i="1"/>
  <c r="G425" i="1" s="1"/>
  <c r="AU29" i="1"/>
  <c r="AU27" i="1"/>
  <c r="AU25" i="1"/>
  <c r="AU23" i="1"/>
  <c r="AU21" i="1"/>
  <c r="C397" i="1"/>
  <c r="AP421" i="1"/>
  <c r="AL421" i="1"/>
  <c r="Z421" i="1"/>
  <c r="AH421" i="1"/>
  <c r="AD421" i="1"/>
  <c r="U421" i="1"/>
  <c r="Q421" i="1"/>
  <c r="M421" i="1"/>
  <c r="Y420" i="1"/>
  <c r="X418" i="1"/>
  <c r="AA417" i="1"/>
  <c r="AT416" i="1"/>
  <c r="AE415" i="1"/>
  <c r="AQ414" i="1"/>
  <c r="AM414" i="1"/>
  <c r="Y412" i="1"/>
  <c r="U412" i="1"/>
  <c r="AA412" i="1"/>
  <c r="Z411" i="1"/>
  <c r="AA410" i="1"/>
  <c r="Z409" i="1"/>
  <c r="AG407" i="1"/>
  <c r="AC407" i="1"/>
  <c r="Y407" i="1"/>
  <c r="Y406" i="1"/>
  <c r="Z405" i="1"/>
  <c r="V405" i="1"/>
  <c r="X404" i="1"/>
  <c r="AB403" i="1"/>
  <c r="Z402" i="1"/>
  <c r="C115" i="1"/>
  <c r="AC402" i="1"/>
  <c r="Y401" i="1"/>
  <c r="AA401" i="1"/>
  <c r="C88" i="1"/>
  <c r="AT77" i="1"/>
  <c r="AD400" i="1"/>
  <c r="T400" i="1"/>
  <c r="Z400" i="1"/>
  <c r="V400" i="1"/>
  <c r="L400" i="1"/>
  <c r="Y399" i="1"/>
  <c r="AR398" i="1"/>
  <c r="AN398" i="1"/>
  <c r="AJ398" i="1"/>
  <c r="AF398" i="1"/>
  <c r="AB398" i="1"/>
  <c r="X398" i="1"/>
  <c r="T398" i="1"/>
  <c r="N398" i="1"/>
  <c r="J398" i="1"/>
  <c r="J425" i="1" s="1"/>
  <c r="F398" i="1"/>
  <c r="F425" i="1" s="1"/>
  <c r="AU12" i="1"/>
  <c r="AT397" i="1"/>
  <c r="AU368" i="1"/>
  <c r="AO421" i="1"/>
  <c r="AK421" i="1"/>
  <c r="Y421" i="1"/>
  <c r="AG421" i="1"/>
  <c r="AC421" i="1"/>
  <c r="T421" i="1"/>
  <c r="P421" i="1"/>
  <c r="L381" i="1"/>
  <c r="L421" i="1"/>
  <c r="AB420" i="1"/>
  <c r="X420" i="1"/>
  <c r="AT344" i="1"/>
  <c r="K420" i="1"/>
  <c r="AA418" i="1"/>
  <c r="AU325" i="1"/>
  <c r="AU323" i="1"/>
  <c r="AU318" i="1"/>
  <c r="Z417" i="1"/>
  <c r="C416" i="1"/>
  <c r="AD415" i="1"/>
  <c r="AP414" i="1"/>
  <c r="AL414" i="1"/>
  <c r="AU267" i="1"/>
  <c r="AU265" i="1"/>
  <c r="AU263" i="1"/>
  <c r="AU261" i="1"/>
  <c r="X412" i="1"/>
  <c r="T412" i="1"/>
  <c r="Z412" i="1"/>
  <c r="Y411" i="1"/>
  <c r="Z410" i="1"/>
  <c r="Y409" i="1"/>
  <c r="AF407" i="1"/>
  <c r="AB407" i="1"/>
  <c r="X407" i="1"/>
  <c r="X406" i="1"/>
  <c r="AA406" i="1"/>
  <c r="C149" i="1"/>
  <c r="AB405" i="1"/>
  <c r="AA404" i="1"/>
  <c r="W404" i="1"/>
  <c r="AT137" i="1"/>
  <c r="AB404" i="1"/>
  <c r="Z403" i="1"/>
  <c r="Y402" i="1"/>
  <c r="AT101" i="1"/>
  <c r="AB401" i="1"/>
  <c r="S400" i="1"/>
  <c r="Y400" i="1"/>
  <c r="C73" i="1"/>
  <c r="AB400" i="1"/>
  <c r="AB399" i="1"/>
  <c r="X399" i="1"/>
  <c r="AQ398" i="1"/>
  <c r="AQ425" i="1" s="1"/>
  <c r="AM398" i="1"/>
  <c r="AM425" i="1" s="1"/>
  <c r="AI398" i="1"/>
  <c r="AE398" i="1"/>
  <c r="AA398" i="1"/>
  <c r="W398" i="1"/>
  <c r="S398" i="1"/>
  <c r="S425" i="1" s="1"/>
  <c r="M398" i="1"/>
  <c r="M425" i="1" s="1"/>
  <c r="I398" i="1"/>
  <c r="I425" i="1" s="1"/>
  <c r="E398" i="1"/>
  <c r="E425" i="1" s="1"/>
  <c r="E429" i="1" s="1"/>
  <c r="C398" i="1"/>
  <c r="AR421" i="1"/>
  <c r="AN421" i="1"/>
  <c r="AJ421" i="1"/>
  <c r="X421" i="1"/>
  <c r="AB421" i="1"/>
  <c r="AF421" i="1"/>
  <c r="W421" i="1"/>
  <c r="S421" i="1"/>
  <c r="O421" i="1"/>
  <c r="AA420" i="1"/>
  <c r="C346" i="1"/>
  <c r="W420" i="1"/>
  <c r="Z418" i="1"/>
  <c r="AT324" i="1"/>
  <c r="N418" i="1"/>
  <c r="Y417" i="1"/>
  <c r="AG415" i="1"/>
  <c r="AC415" i="1"/>
  <c r="AO414" i="1"/>
  <c r="AK414" i="1"/>
  <c r="AT413" i="1"/>
  <c r="W412" i="1"/>
  <c r="AB411" i="1"/>
  <c r="X411" i="1"/>
  <c r="Y410" i="1"/>
  <c r="X409" i="1"/>
  <c r="AI407" i="1"/>
  <c r="AE407" i="1"/>
  <c r="AA407" i="1"/>
  <c r="C184" i="1"/>
  <c r="AJ407" i="1"/>
  <c r="W406" i="1"/>
  <c r="X405" i="1"/>
  <c r="Z404" i="1"/>
  <c r="V404" i="1"/>
  <c r="Y403" i="1"/>
  <c r="AB402" i="1"/>
  <c r="X402" i="1"/>
  <c r="X400" i="1"/>
  <c r="AA399" i="1"/>
  <c r="AP398" i="1"/>
  <c r="AP425" i="1" s="1"/>
  <c r="AL398" i="1"/>
  <c r="AL425" i="1" s="1"/>
  <c r="AH398" i="1"/>
  <c r="AH425" i="1" s="1"/>
  <c r="AD398" i="1"/>
  <c r="AD425" i="1" s="1"/>
  <c r="Z398" i="1"/>
  <c r="V398" i="1"/>
  <c r="R398" i="1"/>
  <c r="R425" i="1" s="1"/>
  <c r="P398" i="1"/>
  <c r="P425" i="1" s="1"/>
  <c r="L398" i="1"/>
  <c r="L425" i="1" s="1"/>
  <c r="H398" i="1"/>
  <c r="H425" i="1" s="1"/>
  <c r="K437" i="1"/>
  <c r="AT168" i="1"/>
  <c r="AU165" i="1"/>
  <c r="AU110" i="1"/>
  <c r="AU303" i="1"/>
  <c r="AU301" i="1"/>
  <c r="AU226" i="1"/>
  <c r="C196" i="1"/>
  <c r="AT164" i="1"/>
  <c r="AU19" i="1"/>
  <c r="AU17" i="1"/>
  <c r="AU15" i="1"/>
  <c r="AU352" i="1"/>
  <c r="AU350" i="1"/>
  <c r="AU327" i="1"/>
  <c r="C169" i="1"/>
  <c r="AU128" i="1"/>
  <c r="C101" i="1"/>
  <c r="AU99" i="1"/>
  <c r="AU97" i="1"/>
  <c r="AU94" i="1"/>
  <c r="AU92" i="1"/>
  <c r="AU80" i="1"/>
  <c r="AU379" i="1"/>
  <c r="C376" i="1"/>
  <c r="C195" i="1"/>
  <c r="C409" i="1" s="1"/>
  <c r="AT184" i="1"/>
  <c r="AU184" i="1" s="1"/>
  <c r="AT171" i="1"/>
  <c r="AT122" i="1"/>
  <c r="L383" i="1"/>
  <c r="AB170" i="1"/>
  <c r="AT170" i="1" s="1"/>
  <c r="C137" i="1"/>
  <c r="AU137" i="1" s="1"/>
  <c r="AU135" i="1"/>
  <c r="AU125" i="1"/>
  <c r="AT133" i="1"/>
  <c r="AU133" i="1" s="1"/>
  <c r="AT109" i="1"/>
  <c r="C87" i="1"/>
  <c r="AT151" i="1"/>
  <c r="AT84" i="1"/>
  <c r="AU13" i="1"/>
  <c r="AU358" i="1"/>
  <c r="AU356" i="1"/>
  <c r="AT106" i="1"/>
  <c r="C363" i="1"/>
  <c r="AT353" i="1"/>
  <c r="AU345" i="1"/>
  <c r="AU334" i="1"/>
  <c r="AU329" i="1"/>
  <c r="AT308" i="1"/>
  <c r="AT305" i="1"/>
  <c r="AT304" i="1"/>
  <c r="AT241" i="1"/>
  <c r="C238" i="1"/>
  <c r="C236" i="1"/>
  <c r="C412" i="1" s="1"/>
  <c r="AT227" i="1"/>
  <c r="AT199" i="1"/>
  <c r="C176" i="1"/>
  <c r="AU174" i="1"/>
  <c r="C172" i="1"/>
  <c r="AU172" i="1" s="1"/>
  <c r="C147" i="1"/>
  <c r="C145" i="1"/>
  <c r="AT144" i="1"/>
  <c r="AT142" i="1"/>
  <c r="AU140" i="1"/>
  <c r="AT116" i="1"/>
  <c r="AU114" i="1"/>
  <c r="AU112" i="1"/>
  <c r="C109" i="1"/>
  <c r="AU105" i="1"/>
  <c r="AT102" i="1"/>
  <c r="C90" i="1"/>
  <c r="AT87" i="1"/>
  <c r="C82" i="1"/>
  <c r="AT68" i="1"/>
  <c r="V56" i="1"/>
  <c r="AK56" i="1" s="1"/>
  <c r="V52" i="1"/>
  <c r="AK52" i="1" s="1"/>
  <c r="V40" i="1"/>
  <c r="AU31" i="1"/>
  <c r="AU28" i="1"/>
  <c r="N381" i="1"/>
  <c r="AT330" i="1"/>
  <c r="AU315" i="1"/>
  <c r="AU313" i="1"/>
  <c r="AU311" i="1"/>
  <c r="AU259" i="1"/>
  <c r="AU257" i="1"/>
  <c r="AU255" i="1"/>
  <c r="AU253" i="1"/>
  <c r="AU250" i="1"/>
  <c r="AT248" i="1"/>
  <c r="AT178" i="1"/>
  <c r="AT175" i="1"/>
  <c r="AU175" i="1" s="1"/>
  <c r="C155" i="1"/>
  <c r="C117" i="1"/>
  <c r="AT115" i="1"/>
  <c r="AU115" i="1" s="1"/>
  <c r="AT119" i="1"/>
  <c r="AP383" i="1"/>
  <c r="AU354" i="1"/>
  <c r="AT163" i="1"/>
  <c r="AT139" i="1"/>
  <c r="AT404" i="1" s="1"/>
  <c r="AT81" i="1"/>
  <c r="AH383" i="1"/>
  <c r="AT342" i="1"/>
  <c r="AT419" i="1" s="1"/>
  <c r="AU176" i="1"/>
  <c r="AK40" i="1"/>
  <c r="AT40" i="1" s="1"/>
  <c r="AU26" i="1"/>
  <c r="AU24" i="1"/>
  <c r="AU22" i="1"/>
  <c r="AU20" i="1"/>
  <c r="AU18" i="1"/>
  <c r="AU16" i="1"/>
  <c r="AU14" i="1"/>
  <c r="AU364" i="1"/>
  <c r="C309" i="1"/>
  <c r="AT271" i="1"/>
  <c r="AT239" i="1"/>
  <c r="AU196" i="1"/>
  <c r="AU193" i="1"/>
  <c r="AU191" i="1"/>
  <c r="AU189" i="1"/>
  <c r="AU182" i="1"/>
  <c r="AT179" i="1"/>
  <c r="C159" i="1"/>
  <c r="AU159" i="1" s="1"/>
  <c r="AT156" i="1"/>
  <c r="AU122" i="1"/>
  <c r="AU118" i="1"/>
  <c r="C85" i="1"/>
  <c r="AT76" i="1"/>
  <c r="C75" i="1"/>
  <c r="AU75" i="1" s="1"/>
  <c r="C72" i="1"/>
  <c r="C400" i="1" s="1"/>
  <c r="C68" i="1"/>
  <c r="V59" i="1"/>
  <c r="AK59" i="1" s="1"/>
  <c r="V55" i="1"/>
  <c r="AK55" i="1" s="1"/>
  <c r="V43" i="1"/>
  <c r="AK43" i="1" s="1"/>
  <c r="AT370" i="1"/>
  <c r="AT363" i="1"/>
  <c r="C353" i="1"/>
  <c r="AU341" i="1"/>
  <c r="AU339" i="1"/>
  <c r="AT336" i="1"/>
  <c r="AT328" i="1"/>
  <c r="AT326" i="1"/>
  <c r="AT300" i="1"/>
  <c r="AU273" i="1"/>
  <c r="AT245" i="1"/>
  <c r="AT244" i="1"/>
  <c r="C241" i="1"/>
  <c r="AU241" i="1" s="1"/>
  <c r="AT223" i="1"/>
  <c r="AT216" i="1"/>
  <c r="AU209" i="1"/>
  <c r="AU206" i="1"/>
  <c r="AU203" i="1"/>
  <c r="AU201" i="1"/>
  <c r="C171" i="1"/>
  <c r="AU171" i="1" s="1"/>
  <c r="AT143" i="1"/>
  <c r="R383" i="1"/>
  <c r="F383" i="1"/>
  <c r="AT337" i="1"/>
  <c r="AU169" i="1"/>
  <c r="AT167" i="1"/>
  <c r="AT154" i="1"/>
  <c r="AT153" i="1"/>
  <c r="C152" i="1"/>
  <c r="AT121" i="1"/>
  <c r="AU70" i="1"/>
  <c r="AL383" i="1"/>
  <c r="AT378" i="1"/>
  <c r="AT422" i="1" s="1"/>
  <c r="AU362" i="1"/>
  <c r="AU360" i="1"/>
  <c r="AU347" i="1"/>
  <c r="AU343" i="1"/>
  <c r="C337" i="1"/>
  <c r="C336" i="1"/>
  <c r="C333" i="1"/>
  <c r="C330" i="1"/>
  <c r="AU319" i="1"/>
  <c r="AU317" i="1"/>
  <c r="AU314" i="1"/>
  <c r="AU312" i="1"/>
  <c r="C304" i="1"/>
  <c r="AU302" i="1"/>
  <c r="C276" i="1"/>
  <c r="AT246" i="1"/>
  <c r="AU377" i="1"/>
  <c r="AU375" i="1"/>
  <c r="AU373" i="1"/>
  <c r="C370" i="1"/>
  <c r="AT366" i="1"/>
  <c r="C361" i="1"/>
  <c r="AT346" i="1"/>
  <c r="AU346" i="1" s="1"/>
  <c r="AT335" i="1"/>
  <c r="AU335" i="1" s="1"/>
  <c r="AT322" i="1"/>
  <c r="C321" i="1"/>
  <c r="AT320" i="1"/>
  <c r="C316" i="1"/>
  <c r="AT309" i="1"/>
  <c r="AU309" i="1" s="1"/>
  <c r="AU299" i="1"/>
  <c r="AU297" i="1"/>
  <c r="AU295" i="1"/>
  <c r="AU293" i="1"/>
  <c r="AU291" i="1"/>
  <c r="AU289" i="1"/>
  <c r="AU287" i="1"/>
  <c r="AT285" i="1"/>
  <c r="AU283" i="1"/>
  <c r="AU281" i="1"/>
  <c r="AU279" i="1"/>
  <c r="AS383" i="1"/>
  <c r="C371" i="1"/>
  <c r="AU363" i="1"/>
  <c r="AT361" i="1"/>
  <c r="AU353" i="1"/>
  <c r="C348" i="1"/>
  <c r="C275" i="1"/>
  <c r="C415" i="1" s="1"/>
  <c r="AT275" i="1"/>
  <c r="AT415" i="1" s="1"/>
  <c r="AT376" i="1"/>
  <c r="AU376" i="1" s="1"/>
  <c r="AU374" i="1"/>
  <c r="AU372" i="1"/>
  <c r="AU369" i="1"/>
  <c r="AU367" i="1"/>
  <c r="AT365" i="1"/>
  <c r="C359" i="1"/>
  <c r="C421" i="1" s="1"/>
  <c r="AU357" i="1"/>
  <c r="AU355" i="1"/>
  <c r="AU351" i="1"/>
  <c r="AU349" i="1"/>
  <c r="C342" i="1"/>
  <c r="C419" i="1" s="1"/>
  <c r="AU340" i="1"/>
  <c r="AU338" i="1"/>
  <c r="AU331" i="1"/>
  <c r="C328" i="1"/>
  <c r="AU328" i="1" s="1"/>
  <c r="AU326" i="1"/>
  <c r="C322" i="1"/>
  <c r="AU322" i="1" s="1"/>
  <c r="C320" i="1"/>
  <c r="AT316" i="1"/>
  <c r="C308" i="1"/>
  <c r="AU308" i="1" s="1"/>
  <c r="AU306" i="1"/>
  <c r="C305" i="1"/>
  <c r="AU305" i="1" s="1"/>
  <c r="C300" i="1"/>
  <c r="AU298" i="1"/>
  <c r="AU296" i="1"/>
  <c r="AU294" i="1"/>
  <c r="AU292" i="1"/>
  <c r="AU290" i="1"/>
  <c r="AU288" i="1"/>
  <c r="AU286" i="1"/>
  <c r="AU284" i="1"/>
  <c r="AU282" i="1"/>
  <c r="AU280" i="1"/>
  <c r="AU278" i="1"/>
  <c r="C271" i="1"/>
  <c r="AU269" i="1"/>
  <c r="C141" i="1"/>
  <c r="AT141" i="1"/>
  <c r="AT251" i="1"/>
  <c r="AU247" i="1"/>
  <c r="C245" i="1"/>
  <c r="AU245" i="1" s="1"/>
  <c r="C239" i="1"/>
  <c r="AU234" i="1"/>
  <c r="AU232" i="1"/>
  <c r="AU230" i="1"/>
  <c r="AU228" i="1"/>
  <c r="C224" i="1"/>
  <c r="AU224" i="1" s="1"/>
  <c r="C223" i="1"/>
  <c r="AU223" i="1" s="1"/>
  <c r="AU221" i="1"/>
  <c r="AU219" i="1"/>
  <c r="AU217" i="1"/>
  <c r="AT204" i="1"/>
  <c r="AT410" i="1" s="1"/>
  <c r="C199" i="1"/>
  <c r="AU199" i="1" s="1"/>
  <c r="AU197" i="1"/>
  <c r="C188" i="1"/>
  <c r="C408" i="1" s="1"/>
  <c r="AT185" i="1"/>
  <c r="AT172" i="1"/>
  <c r="AU167" i="1"/>
  <c r="C160" i="1"/>
  <c r="AU153" i="1"/>
  <c r="C150" i="1"/>
  <c r="C148" i="1"/>
  <c r="AU148" i="1" s="1"/>
  <c r="AT145" i="1"/>
  <c r="C142" i="1"/>
  <c r="C139" i="1"/>
  <c r="AU138" i="1"/>
  <c r="AU136" i="1"/>
  <c r="C129" i="1"/>
  <c r="C403" i="1" s="1"/>
  <c r="AU100" i="1"/>
  <c r="AU98" i="1"/>
  <c r="AU96" i="1"/>
  <c r="AU93" i="1"/>
  <c r="AT89" i="1"/>
  <c r="C89" i="1"/>
  <c r="C69" i="1"/>
  <c r="AU68" i="1"/>
  <c r="V67" i="1"/>
  <c r="V64" i="1"/>
  <c r="AK64" i="1" s="1"/>
  <c r="V61" i="1"/>
  <c r="V58" i="1"/>
  <c r="C52" i="1"/>
  <c r="V51" i="1"/>
  <c r="AK51" i="1" s="1"/>
  <c r="V48" i="1"/>
  <c r="AK48" i="1" s="1"/>
  <c r="V45" i="1"/>
  <c r="AT43" i="1"/>
  <c r="V42" i="1"/>
  <c r="V39" i="1"/>
  <c r="AK39" i="1" s="1"/>
  <c r="V36" i="1"/>
  <c r="AU274" i="1"/>
  <c r="AT272" i="1"/>
  <c r="C272" i="1"/>
  <c r="AU266" i="1"/>
  <c r="AU264" i="1"/>
  <c r="AU262" i="1"/>
  <c r="AU260" i="1"/>
  <c r="AU258" i="1"/>
  <c r="AU256" i="1"/>
  <c r="AU254" i="1"/>
  <c r="AU252" i="1"/>
  <c r="AU249" i="1"/>
  <c r="AT242" i="1"/>
  <c r="C237" i="1"/>
  <c r="C227" i="1"/>
  <c r="AU227" i="1" s="1"/>
  <c r="AU225" i="1"/>
  <c r="C216" i="1"/>
  <c r="AU216" i="1" s="1"/>
  <c r="C213" i="1"/>
  <c r="C411" i="1" s="1"/>
  <c r="AU210" i="1"/>
  <c r="AU207" i="1"/>
  <c r="AU205" i="1"/>
  <c r="AU202" i="1"/>
  <c r="AU194" i="1"/>
  <c r="AU192" i="1"/>
  <c r="AU190" i="1"/>
  <c r="AT188" i="1"/>
  <c r="AT408" i="1" s="1"/>
  <c r="AU187" i="1"/>
  <c r="AU181" i="1"/>
  <c r="C177" i="1"/>
  <c r="C168" i="1"/>
  <c r="AU168" i="1" s="1"/>
  <c r="C164" i="1"/>
  <c r="AU164" i="1" s="1"/>
  <c r="C163" i="1"/>
  <c r="AU161" i="1"/>
  <c r="AU158" i="1"/>
  <c r="AT155" i="1"/>
  <c r="AU151" i="1"/>
  <c r="AT149" i="1"/>
  <c r="AU146" i="1"/>
  <c r="C144" i="1"/>
  <c r="AU144" i="1" s="1"/>
  <c r="AT134" i="1"/>
  <c r="AU130" i="1"/>
  <c r="AT127" i="1"/>
  <c r="AU126" i="1"/>
  <c r="AU124" i="1"/>
  <c r="AT120" i="1"/>
  <c r="AU120" i="1" s="1"/>
  <c r="C119" i="1"/>
  <c r="AU119" i="1" s="1"/>
  <c r="AU113" i="1"/>
  <c r="AU108" i="1"/>
  <c r="C106" i="1"/>
  <c r="AU103" i="1"/>
  <c r="C91" i="1"/>
  <c r="C79" i="1"/>
  <c r="C77" i="1"/>
  <c r="AU77" i="1" s="1"/>
  <c r="C64" i="1"/>
  <c r="AU64" i="1" s="1"/>
  <c r="V63" i="1"/>
  <c r="V60" i="1"/>
  <c r="AK60" i="1" s="1"/>
  <c r="C59" i="1"/>
  <c r="V57" i="1"/>
  <c r="AT55" i="1"/>
  <c r="V54" i="1"/>
  <c r="AT52" i="1"/>
  <c r="C48" i="1"/>
  <c r="V47" i="1"/>
  <c r="V44" i="1"/>
  <c r="C43" i="1"/>
  <c r="AT41" i="1"/>
  <c r="V38" i="1"/>
  <c r="AK38" i="1" s="1"/>
  <c r="AT34" i="1"/>
  <c r="C33" i="1"/>
  <c r="AT30" i="1"/>
  <c r="AT398" i="1" s="1"/>
  <c r="AT276" i="1"/>
  <c r="AU270" i="1"/>
  <c r="C268" i="1"/>
  <c r="C414" i="1" s="1"/>
  <c r="C248" i="1"/>
  <c r="AU248" i="1" s="1"/>
  <c r="C246" i="1"/>
  <c r="AU246" i="1" s="1"/>
  <c r="AU243" i="1"/>
  <c r="AT240" i="1"/>
  <c r="AU235" i="1"/>
  <c r="AU233" i="1"/>
  <c r="AU231" i="1"/>
  <c r="AU229" i="1"/>
  <c r="AU222" i="1"/>
  <c r="AU220" i="1"/>
  <c r="AU218" i="1"/>
  <c r="AU215" i="1"/>
  <c r="AT213" i="1"/>
  <c r="AT411" i="1" s="1"/>
  <c r="AU212" i="1"/>
  <c r="AT208" i="1"/>
  <c r="AT200" i="1"/>
  <c r="AU198" i="1"/>
  <c r="AT195" i="1"/>
  <c r="AT409" i="1" s="1"/>
  <c r="C186" i="1"/>
  <c r="C185" i="1"/>
  <c r="AT177" i="1"/>
  <c r="AT162" i="1"/>
  <c r="AU162" i="1" s="1"/>
  <c r="C154" i="1"/>
  <c r="AU154" i="1" s="1"/>
  <c r="AU149" i="1"/>
  <c r="C143" i="1"/>
  <c r="AU143" i="1" s="1"/>
  <c r="C134" i="1"/>
  <c r="AU134" i="1" s="1"/>
  <c r="C132" i="1"/>
  <c r="AT129" i="1"/>
  <c r="AT403" i="1" s="1"/>
  <c r="C123" i="1"/>
  <c r="C121" i="1"/>
  <c r="AU121" i="1" s="1"/>
  <c r="AU117" i="1"/>
  <c r="C116" i="1"/>
  <c r="AU116" i="1" s="1"/>
  <c r="AT104" i="1"/>
  <c r="AU101" i="1"/>
  <c r="C95" i="1"/>
  <c r="AT90" i="1"/>
  <c r="AU88" i="1"/>
  <c r="AT86" i="1"/>
  <c r="AT83" i="1"/>
  <c r="AU83" i="1" s="1"/>
  <c r="AT78" i="1"/>
  <c r="C76" i="1"/>
  <c r="AU76" i="1" s="1"/>
  <c r="AU71" i="1"/>
  <c r="V66" i="1"/>
  <c r="AT64" i="1"/>
  <c r="C60" i="1"/>
  <c r="C55" i="1"/>
  <c r="V53" i="1"/>
  <c r="AT51" i="1"/>
  <c r="V50" i="1"/>
  <c r="C40" i="1"/>
  <c r="V37" i="1"/>
  <c r="AK37" i="1" s="1"/>
  <c r="AU35" i="1"/>
  <c r="C214" i="1"/>
  <c r="C211" i="1"/>
  <c r="AT186" i="1"/>
  <c r="AU155" i="1"/>
  <c r="AU147" i="1"/>
  <c r="AU145" i="1"/>
  <c r="AU109" i="1"/>
  <c r="C104" i="1"/>
  <c r="AU87" i="1"/>
  <c r="C84" i="1"/>
  <c r="C81" i="1"/>
  <c r="AU81" i="1" s="1"/>
  <c r="C78" i="1"/>
  <c r="C74" i="1"/>
  <c r="AT72" i="1"/>
  <c r="AU72" i="1" s="1"/>
  <c r="V65" i="1"/>
  <c r="AK65" i="1" s="1"/>
  <c r="V62" i="1"/>
  <c r="AT60" i="1"/>
  <c r="C51" i="1"/>
  <c r="AU51" i="1" s="1"/>
  <c r="V49" i="1"/>
  <c r="V46" i="1"/>
  <c r="C41" i="1"/>
  <c r="AT32" i="1"/>
  <c r="G383" i="1"/>
  <c r="M383" i="1"/>
  <c r="I383" i="1"/>
  <c r="E383" i="1"/>
  <c r="AQ383" i="1"/>
  <c r="AM383" i="1"/>
  <c r="P383" i="1"/>
  <c r="C378" i="1"/>
  <c r="C422" i="1" s="1"/>
  <c r="AT277" i="1"/>
  <c r="C366" i="1"/>
  <c r="C365" i="1"/>
  <c r="AT359" i="1"/>
  <c r="AT421" i="1" s="1"/>
  <c r="C344" i="1"/>
  <c r="C420" i="1" s="1"/>
  <c r="AT333" i="1"/>
  <c r="AT321" i="1"/>
  <c r="C285" i="1"/>
  <c r="AU285" i="1" s="1"/>
  <c r="C277" i="1"/>
  <c r="AT180" i="1"/>
  <c r="C180" i="1"/>
  <c r="AT371" i="1"/>
  <c r="AT348" i="1"/>
  <c r="AT107" i="1"/>
  <c r="C107" i="1"/>
  <c r="AT268" i="1"/>
  <c r="AT414" i="1" s="1"/>
  <c r="C251" i="1"/>
  <c r="AU251" i="1" s="1"/>
  <c r="C244" i="1"/>
  <c r="AU244" i="1" s="1"/>
  <c r="C242" i="1"/>
  <c r="C240" i="1"/>
  <c r="AU240" i="1" s="1"/>
  <c r="AT237" i="1"/>
  <c r="AT236" i="1"/>
  <c r="AT412" i="1" s="1"/>
  <c r="AT214" i="1"/>
  <c r="AT211" i="1"/>
  <c r="C208" i="1"/>
  <c r="AU208" i="1" s="1"/>
  <c r="C204" i="1"/>
  <c r="C410" i="1" s="1"/>
  <c r="C200" i="1"/>
  <c r="AT183" i="1"/>
  <c r="Z173" i="1"/>
  <c r="AT173" i="1" s="1"/>
  <c r="AT166" i="1"/>
  <c r="AU166" i="1" s="1"/>
  <c r="C156" i="1"/>
  <c r="AU156" i="1" s="1"/>
  <c r="AT152" i="1"/>
  <c r="AT150" i="1"/>
  <c r="AT132" i="1"/>
  <c r="AT131" i="1"/>
  <c r="AU131" i="1" s="1"/>
  <c r="AT123" i="1"/>
  <c r="AT111" i="1"/>
  <c r="AU111" i="1" s="1"/>
  <c r="AT95" i="1"/>
  <c r="AT91" i="1"/>
  <c r="C86" i="1"/>
  <c r="AT73" i="1"/>
  <c r="AU73" i="1" s="1"/>
  <c r="AT69" i="1"/>
  <c r="C34" i="1"/>
  <c r="AU34" i="1" s="1"/>
  <c r="C32" i="1"/>
  <c r="C30" i="1"/>
  <c r="C170" i="1"/>
  <c r="C127" i="1"/>
  <c r="AT85" i="1"/>
  <c r="AT82" i="1"/>
  <c r="AU82" i="1" s="1"/>
  <c r="AT79" i="1"/>
  <c r="AT400" i="1" s="1"/>
  <c r="AT33" i="1"/>
  <c r="C179" i="1"/>
  <c r="AU179" i="1" s="1"/>
  <c r="C178" i="1"/>
  <c r="AU178" i="1" s="1"/>
  <c r="AT160" i="1"/>
  <c r="C102" i="1"/>
  <c r="AU102" i="1" s="1"/>
  <c r="AT238" i="1"/>
  <c r="AU238" i="1" s="1"/>
  <c r="Y157" i="1"/>
  <c r="Y405" i="1" s="1"/>
  <c r="AT74" i="1"/>
  <c r="AI425" i="1" l="1"/>
  <c r="AR425" i="1"/>
  <c r="AB406" i="1"/>
  <c r="AB425" i="1" s="1"/>
  <c r="O425" i="1"/>
  <c r="AC425" i="1"/>
  <c r="C404" i="1"/>
  <c r="Z406" i="1"/>
  <c r="Z425" i="1" s="1"/>
  <c r="AU324" i="1"/>
  <c r="AU170" i="1"/>
  <c r="AU90" i="1"/>
  <c r="AU106" i="1"/>
  <c r="AU142" i="1"/>
  <c r="AU336" i="1"/>
  <c r="H383" i="1"/>
  <c r="C401" i="1"/>
  <c r="F429" i="1"/>
  <c r="E439" i="1"/>
  <c r="W425" i="1"/>
  <c r="N425" i="1"/>
  <c r="AF425" i="1"/>
  <c r="Q425" i="1"/>
  <c r="AG425" i="1"/>
  <c r="AU30" i="1"/>
  <c r="AU85" i="1"/>
  <c r="AU152" i="1"/>
  <c r="AT407" i="1"/>
  <c r="S383" i="1"/>
  <c r="AU163" i="1"/>
  <c r="AU43" i="1"/>
  <c r="AU304" i="1"/>
  <c r="C402" i="1"/>
  <c r="AT420" i="1"/>
  <c r="AA425" i="1"/>
  <c r="AT401" i="1"/>
  <c r="T425" i="1"/>
  <c r="AJ425" i="1"/>
  <c r="U425" i="1"/>
  <c r="C407" i="1"/>
  <c r="AT39" i="1"/>
  <c r="AU84" i="1"/>
  <c r="AT48" i="1"/>
  <c r="AK36" i="1"/>
  <c r="V399" i="1"/>
  <c r="V425" i="1" s="1"/>
  <c r="AT56" i="1"/>
  <c r="AU271" i="1"/>
  <c r="L437" i="1"/>
  <c r="AE425" i="1"/>
  <c r="AT402" i="1"/>
  <c r="X425" i="1"/>
  <c r="AN425" i="1"/>
  <c r="AT406" i="1"/>
  <c r="K425" i="1"/>
  <c r="Y425" i="1"/>
  <c r="AO425" i="1"/>
  <c r="C37" i="1"/>
  <c r="AT65" i="1"/>
  <c r="AU242" i="1"/>
  <c r="AU180" i="1"/>
  <c r="AU365" i="1"/>
  <c r="AT59" i="1"/>
  <c r="AU59" i="1" s="1"/>
  <c r="AU239" i="1"/>
  <c r="C56" i="1"/>
  <c r="AU32" i="1"/>
  <c r="C38" i="1"/>
  <c r="AU300" i="1"/>
  <c r="AU370" i="1"/>
  <c r="AT37" i="1"/>
  <c r="AU37" i="1" s="1"/>
  <c r="C65" i="1"/>
  <c r="AD383" i="1"/>
  <c r="AK42" i="1"/>
  <c r="C42" i="1" s="1"/>
  <c r="AU337" i="1"/>
  <c r="Q381" i="1"/>
  <c r="Q383" i="1" s="1"/>
  <c r="AU104" i="1"/>
  <c r="AA381" i="1"/>
  <c r="AA383" i="1" s="1"/>
  <c r="AU195" i="1"/>
  <c r="AK46" i="1"/>
  <c r="C46" i="1" s="1"/>
  <c r="AU186" i="1"/>
  <c r="AK57" i="1"/>
  <c r="AT57" i="1" s="1"/>
  <c r="AK67" i="1"/>
  <c r="AT67" i="1" s="1"/>
  <c r="J383" i="1"/>
  <c r="AK53" i="1"/>
  <c r="AT53" i="1" s="1"/>
  <c r="AK66" i="1"/>
  <c r="AT66" i="1" s="1"/>
  <c r="AK44" i="1"/>
  <c r="C44" i="1" s="1"/>
  <c r="AK54" i="1"/>
  <c r="AT54" i="1" s="1"/>
  <c r="AK62" i="1"/>
  <c r="AT62" i="1" s="1"/>
  <c r="AK50" i="1"/>
  <c r="AT50" i="1" s="1"/>
  <c r="AT38" i="1"/>
  <c r="AU38" i="1" s="1"/>
  <c r="AK47" i="1"/>
  <c r="AT47" i="1" s="1"/>
  <c r="C39" i="1"/>
  <c r="AU39" i="1" s="1"/>
  <c r="AK45" i="1"/>
  <c r="AT45" i="1" s="1"/>
  <c r="AK61" i="1"/>
  <c r="AT61" i="1" s="1"/>
  <c r="AU141" i="1"/>
  <c r="AK49" i="1"/>
  <c r="AT49" i="1" s="1"/>
  <c r="AU40" i="1"/>
  <c r="AK63" i="1"/>
  <c r="AT63" i="1" s="1"/>
  <c r="AK58" i="1"/>
  <c r="C58" i="1" s="1"/>
  <c r="AU89" i="1"/>
  <c r="AU48" i="1"/>
  <c r="AU55" i="1"/>
  <c r="AU41" i="1"/>
  <c r="AU277" i="1"/>
  <c r="AU344" i="1"/>
  <c r="AT157" i="1"/>
  <c r="AT405" i="1" s="1"/>
  <c r="AU200" i="1"/>
  <c r="AU107" i="1"/>
  <c r="AU378" i="1"/>
  <c r="AU78" i="1"/>
  <c r="AU236" i="1"/>
  <c r="AU60" i="1"/>
  <c r="AU95" i="1"/>
  <c r="AU185" i="1"/>
  <c r="AU268" i="1"/>
  <c r="AU33" i="1"/>
  <c r="AU91" i="1"/>
  <c r="AU272" i="1"/>
  <c r="AU160" i="1"/>
  <c r="AU275" i="1"/>
  <c r="AU321" i="1"/>
  <c r="AU361" i="1"/>
  <c r="AB332" i="1"/>
  <c r="AB418" i="1" s="1"/>
  <c r="AU330" i="1"/>
  <c r="AU132" i="1"/>
  <c r="AU177" i="1"/>
  <c r="AU213" i="1"/>
  <c r="AU237" i="1"/>
  <c r="AU188" i="1"/>
  <c r="AU342" i="1"/>
  <c r="AU276" i="1"/>
  <c r="AU333" i="1"/>
  <c r="AU204" i="1"/>
  <c r="AU86" i="1"/>
  <c r="AU366" i="1"/>
  <c r="C62" i="1"/>
  <c r="AU211" i="1"/>
  <c r="AT42" i="1"/>
  <c r="AU42" i="1" s="1"/>
  <c r="AU52" i="1"/>
  <c r="AU69" i="1"/>
  <c r="AU129" i="1"/>
  <c r="AU139" i="1"/>
  <c r="AU150" i="1"/>
  <c r="AU320" i="1"/>
  <c r="AU359" i="1"/>
  <c r="AB310" i="1"/>
  <c r="AB417" i="1" s="1"/>
  <c r="AU316" i="1"/>
  <c r="AU127" i="1"/>
  <c r="AU74" i="1"/>
  <c r="AU214" i="1"/>
  <c r="AU123" i="1"/>
  <c r="AU79" i="1"/>
  <c r="AU183" i="1"/>
  <c r="AT36" i="1"/>
  <c r="V381" i="1"/>
  <c r="AU348" i="1"/>
  <c r="AU371" i="1"/>
  <c r="X381" i="1"/>
  <c r="Y381" i="1"/>
  <c r="T381" i="1"/>
  <c r="Z381" i="1"/>
  <c r="C173" i="1"/>
  <c r="C406" i="1" s="1"/>
  <c r="C157" i="1"/>
  <c r="C405" i="1" s="1"/>
  <c r="AU56" i="1" l="1"/>
  <c r="AO383" i="1"/>
  <c r="AN383" i="1"/>
  <c r="M437" i="1"/>
  <c r="AJ383" i="1"/>
  <c r="AF383" i="1"/>
  <c r="G429" i="1"/>
  <c r="F439" i="1"/>
  <c r="AC383" i="1"/>
  <c r="AR383" i="1"/>
  <c r="AU65" i="1"/>
  <c r="AK399" i="1"/>
  <c r="AK425" i="1" s="1"/>
  <c r="C36" i="1"/>
  <c r="N383" i="1"/>
  <c r="O383" i="1"/>
  <c r="AU36" i="1"/>
  <c r="K383" i="1"/>
  <c r="AG383" i="1"/>
  <c r="W383" i="1"/>
  <c r="AE383" i="1"/>
  <c r="U383" i="1"/>
  <c r="AI383" i="1"/>
  <c r="C50" i="1"/>
  <c r="AU50" i="1" s="1"/>
  <c r="C53" i="1"/>
  <c r="AU53" i="1" s="1"/>
  <c r="C67" i="1"/>
  <c r="AU67" i="1" s="1"/>
  <c r="C54" i="1"/>
  <c r="AU54" i="1" s="1"/>
  <c r="C57" i="1"/>
  <c r="AU57" i="1" s="1"/>
  <c r="Z383" i="1"/>
  <c r="V383" i="1"/>
  <c r="AU62" i="1"/>
  <c r="C66" i="1"/>
  <c r="AU66" i="1" s="1"/>
  <c r="X383" i="1"/>
  <c r="C61" i="1"/>
  <c r="AU61" i="1" s="1"/>
  <c r="AT44" i="1"/>
  <c r="AU44" i="1" s="1"/>
  <c r="C45" i="1"/>
  <c r="AU45" i="1" s="1"/>
  <c r="C47" i="1"/>
  <c r="AU47" i="1" s="1"/>
  <c r="AT58" i="1"/>
  <c r="AU58" i="1" s="1"/>
  <c r="AT46" i="1"/>
  <c r="AU46" i="1" s="1"/>
  <c r="C63" i="1"/>
  <c r="AU63" i="1" s="1"/>
  <c r="C49" i="1"/>
  <c r="AU49" i="1" s="1"/>
  <c r="AK381" i="1"/>
  <c r="AT310" i="1"/>
  <c r="AT417" i="1" s="1"/>
  <c r="AB381" i="1"/>
  <c r="C310" i="1"/>
  <c r="C417" i="1" s="1"/>
  <c r="AT332" i="1"/>
  <c r="AT418" i="1" s="1"/>
  <c r="C332" i="1"/>
  <c r="C418" i="1" s="1"/>
  <c r="Y383" i="1"/>
  <c r="AU173" i="1"/>
  <c r="AU157" i="1"/>
  <c r="T383" i="1"/>
  <c r="C399" i="1" l="1"/>
  <c r="C425" i="1" s="1"/>
  <c r="C429" i="1" s="1"/>
  <c r="C439" i="1" s="1"/>
  <c r="H429" i="1"/>
  <c r="G439" i="1"/>
  <c r="AT399" i="1"/>
  <c r="AT425" i="1" s="1"/>
  <c r="N437" i="1"/>
  <c r="AT381" i="1"/>
  <c r="AK383" i="1"/>
  <c r="C381" i="1"/>
  <c r="AU381" i="1"/>
  <c r="AU332" i="1"/>
  <c r="AU310" i="1"/>
  <c r="AT383" i="1" l="1"/>
  <c r="O437" i="1"/>
  <c r="I429" i="1"/>
  <c r="H439" i="1"/>
  <c r="AB383" i="1"/>
  <c r="AU383" i="1"/>
  <c r="P437" i="1" l="1"/>
  <c r="J429" i="1"/>
  <c r="I439" i="1"/>
  <c r="C383" i="1"/>
  <c r="K429" i="1" l="1"/>
  <c r="J439" i="1"/>
  <c r="Q437" i="1"/>
  <c r="L429" i="1" l="1"/>
  <c r="K439" i="1"/>
  <c r="R437" i="1"/>
  <c r="M429" i="1" l="1"/>
  <c r="L439" i="1"/>
  <c r="S437" i="1"/>
  <c r="N429" i="1" l="1"/>
  <c r="M439" i="1"/>
  <c r="T437" i="1"/>
  <c r="U437" i="1" l="1"/>
  <c r="O429" i="1"/>
  <c r="N439" i="1"/>
  <c r="V437" i="1" l="1"/>
  <c r="P429" i="1"/>
  <c r="O439" i="1"/>
  <c r="Q429" i="1" l="1"/>
  <c r="P439" i="1"/>
  <c r="W437" i="1"/>
  <c r="X437" i="1" l="1"/>
  <c r="R429" i="1"/>
  <c r="Q439" i="1"/>
  <c r="S429" i="1" l="1"/>
  <c r="R439" i="1"/>
  <c r="Y437" i="1"/>
  <c r="Z437" i="1" l="1"/>
  <c r="T429" i="1"/>
  <c r="S439" i="1"/>
  <c r="U429" i="1" l="1"/>
  <c r="T439" i="1"/>
  <c r="AA437" i="1"/>
  <c r="AB437" i="1" l="1"/>
  <c r="V429" i="1"/>
  <c r="U439" i="1"/>
  <c r="AC437" i="1" l="1"/>
  <c r="W429" i="1"/>
  <c r="V439" i="1"/>
  <c r="X429" i="1" l="1"/>
  <c r="W439" i="1"/>
  <c r="AD437" i="1"/>
  <c r="Y429" i="1" l="1"/>
  <c r="X439" i="1"/>
  <c r="AE437" i="1"/>
  <c r="AF437" i="1" l="1"/>
  <c r="Z429" i="1"/>
  <c r="Y439" i="1"/>
  <c r="AA429" i="1" l="1"/>
  <c r="Z439" i="1"/>
  <c r="AG437" i="1"/>
  <c r="AH437" i="1" l="1"/>
  <c r="AB429" i="1"/>
  <c r="AA439" i="1"/>
  <c r="AI437" i="1" l="1"/>
  <c r="AC429" i="1"/>
  <c r="AB439" i="1"/>
  <c r="AD429" i="1" l="1"/>
  <c r="AC439" i="1"/>
  <c r="AJ437" i="1"/>
  <c r="AE429" i="1" l="1"/>
  <c r="AD439" i="1"/>
  <c r="AK437" i="1"/>
  <c r="AL437" i="1" l="1"/>
  <c r="AF429" i="1"/>
  <c r="AE439" i="1"/>
  <c r="AG429" i="1" l="1"/>
  <c r="AF439" i="1"/>
  <c r="AM437" i="1"/>
  <c r="AH429" i="1" l="1"/>
  <c r="AG439" i="1"/>
  <c r="AN437" i="1"/>
  <c r="AI429" i="1" l="1"/>
  <c r="AH439" i="1"/>
  <c r="AO437" i="1"/>
  <c r="AJ429" i="1" l="1"/>
  <c r="AI439" i="1"/>
  <c r="AP437" i="1"/>
  <c r="AK429" i="1" l="1"/>
  <c r="AJ439" i="1"/>
  <c r="AQ437" i="1"/>
  <c r="AL429" i="1" l="1"/>
  <c r="AK439" i="1"/>
  <c r="AR437" i="1"/>
  <c r="AS437" i="1" l="1"/>
  <c r="AM429" i="1"/>
  <c r="AL439" i="1"/>
  <c r="AN429" i="1" l="1"/>
  <c r="AM439" i="1"/>
  <c r="AO429" i="1" l="1"/>
  <c r="AN439" i="1"/>
  <c r="AP429" i="1" l="1"/>
  <c r="AO439" i="1"/>
  <c r="AQ429" i="1" l="1"/>
  <c r="AP439" i="1"/>
  <c r="AR429" i="1" l="1"/>
  <c r="AQ439" i="1"/>
  <c r="AS429" i="1" l="1"/>
  <c r="AS439" i="1" s="1"/>
  <c r="AR439" i="1"/>
</calcChain>
</file>

<file path=xl/sharedStrings.xml><?xml version="1.0" encoding="utf-8"?>
<sst xmlns="http://schemas.openxmlformats.org/spreadsheetml/2006/main" count="730" uniqueCount="380">
  <si>
    <t>::</t>
  </si>
  <si>
    <t>Week commencing</t>
  </si>
  <si>
    <t>DEVELOPMENT:-</t>
  </si>
  <si>
    <t>Producer</t>
  </si>
  <si>
    <t>Writer fee</t>
  </si>
  <si>
    <t>Writer fee-FDPP</t>
  </si>
  <si>
    <t>Writer Pension-Payment 1</t>
  </si>
  <si>
    <t>Writer Pension-Payment 2</t>
  </si>
  <si>
    <t>Schedule &amp; Budget</t>
  </si>
  <si>
    <t>Development Overheads</t>
  </si>
  <si>
    <t>Research</t>
  </si>
  <si>
    <t>Admin costs</t>
  </si>
  <si>
    <t>Travel</t>
  </si>
  <si>
    <t>Gratuities</t>
  </si>
  <si>
    <t>Script Editor</t>
  </si>
  <si>
    <t>Legal Fees</t>
  </si>
  <si>
    <t>Insurances</t>
  </si>
  <si>
    <t>PRODUCER/DIRECTOR:-</t>
  </si>
  <si>
    <t>Executive Producer</t>
  </si>
  <si>
    <t>Line Producer</t>
  </si>
  <si>
    <t>Director</t>
  </si>
  <si>
    <t>ARTISTS:-</t>
  </si>
  <si>
    <t>Overtime</t>
  </si>
  <si>
    <t>Rehearsals etc.</t>
  </si>
  <si>
    <t>Supporting artists UK</t>
  </si>
  <si>
    <t>SALARIES-PRODUCTION:-</t>
  </si>
  <si>
    <t>Location Manager</t>
  </si>
  <si>
    <t>Unit Manager</t>
  </si>
  <si>
    <t>Unit Manager-N.I</t>
  </si>
  <si>
    <t>Location Assistant</t>
  </si>
  <si>
    <t>Location Assistant-N.I</t>
  </si>
  <si>
    <t>Production Coordinator</t>
  </si>
  <si>
    <t>Production Coordinator-N.I</t>
  </si>
  <si>
    <t>Production Assistant</t>
  </si>
  <si>
    <t>Production Assistant-N.I</t>
  </si>
  <si>
    <t>Runner</t>
  </si>
  <si>
    <t>Runner-N.I</t>
  </si>
  <si>
    <t>Production Accountant</t>
  </si>
  <si>
    <t>Assistant Accountant</t>
  </si>
  <si>
    <t>Assistant Accountant-N.I/rounding</t>
  </si>
  <si>
    <t>Casting Director</t>
  </si>
  <si>
    <t>Casting Expenses</t>
  </si>
  <si>
    <t>Researcher</t>
  </si>
  <si>
    <t>ASSISTANT DIRECTORS/CONTINUITY:-</t>
  </si>
  <si>
    <t>First A.D</t>
  </si>
  <si>
    <t>Second A.D</t>
  </si>
  <si>
    <t>Second A.D-N.I</t>
  </si>
  <si>
    <t>Third A.D</t>
  </si>
  <si>
    <t>Third A.D-N.I</t>
  </si>
  <si>
    <t>Floor Runner</t>
  </si>
  <si>
    <t>Floor Runner-N.I</t>
  </si>
  <si>
    <t>Script Supervisor</t>
  </si>
  <si>
    <t>CREW-CAMERA:-</t>
  </si>
  <si>
    <t>DOP</t>
  </si>
  <si>
    <t>Camera Assistant-1</t>
  </si>
  <si>
    <t>Camera Assistant-1-N.I</t>
  </si>
  <si>
    <t>Camera Assistant-2</t>
  </si>
  <si>
    <t>Camera Assistant-2-N.I</t>
  </si>
  <si>
    <t>DIT</t>
  </si>
  <si>
    <t>DIT-N.I/rounding</t>
  </si>
  <si>
    <t>Grips</t>
  </si>
  <si>
    <t>Second Unit Grips</t>
  </si>
  <si>
    <t>Second Unit crew</t>
  </si>
  <si>
    <t>CREW-SOUND:-</t>
  </si>
  <si>
    <t>Sound Recordist</t>
  </si>
  <si>
    <t>Boom</t>
  </si>
  <si>
    <t>Boom-N.I</t>
  </si>
  <si>
    <t>Sound Trainee</t>
  </si>
  <si>
    <t>Sound Trainee-N.I/rounding</t>
  </si>
  <si>
    <t>CREW-LIGHTING:-</t>
  </si>
  <si>
    <t>Gaffer</t>
  </si>
  <si>
    <t>Best Boy</t>
  </si>
  <si>
    <t>Electricians</t>
  </si>
  <si>
    <t>Genny Operator</t>
  </si>
  <si>
    <t>Dailies</t>
  </si>
  <si>
    <t>CREW-ART DEPT:-</t>
  </si>
  <si>
    <t>Designer</t>
  </si>
  <si>
    <t>Art Director</t>
  </si>
  <si>
    <t>Stand-by Art Director</t>
  </si>
  <si>
    <t>Stand-by Art Director-N.I</t>
  </si>
  <si>
    <t>Prop Master</t>
  </si>
  <si>
    <t>Prop Buyer</t>
  </si>
  <si>
    <t>Prop Buyer-N.I</t>
  </si>
  <si>
    <t>Set Dressers</t>
  </si>
  <si>
    <t>Set Dressers-N.I</t>
  </si>
  <si>
    <t>Stand-by Props</t>
  </si>
  <si>
    <t>Stand-by Props-N.I</t>
  </si>
  <si>
    <t>Art Department Runner</t>
  </si>
  <si>
    <t>Art Department Runner-N.I/rounding</t>
  </si>
  <si>
    <t>CREW-WARDROBE/MAKE-UP:-</t>
  </si>
  <si>
    <t>Costume Designer</t>
  </si>
  <si>
    <t>Costume Supervisor</t>
  </si>
  <si>
    <t>Wardrobe Assistant</t>
  </si>
  <si>
    <t>Wardrobe Assistant-N.I</t>
  </si>
  <si>
    <t>Wardrobe Dailies</t>
  </si>
  <si>
    <t>Wardrobe Dailies-N.I</t>
  </si>
  <si>
    <t>Make-Up Designer</t>
  </si>
  <si>
    <t>Make-Up Artist</t>
  </si>
  <si>
    <t>Make-Up Artist-N.I</t>
  </si>
  <si>
    <t>Make-Up Dailies</t>
  </si>
  <si>
    <t>Make-Up Dailies-N.I/rounding</t>
  </si>
  <si>
    <t>CREW-EDIT:-</t>
  </si>
  <si>
    <t>Editor</t>
  </si>
  <si>
    <t>Assistant Editor</t>
  </si>
  <si>
    <t>Assistant Editor-N.I</t>
  </si>
  <si>
    <t>Post Production Supervisor</t>
  </si>
  <si>
    <t>UNIT OVERTIME:-</t>
  </si>
  <si>
    <t>MATERIALS-ART DEPARTMENT:-</t>
  </si>
  <si>
    <t>Construction Materials</t>
  </si>
  <si>
    <t>Prop hire</t>
  </si>
  <si>
    <t>SFX</t>
  </si>
  <si>
    <t>Action Vehicles</t>
  </si>
  <si>
    <t>Graphics</t>
  </si>
  <si>
    <t>Tool Hire</t>
  </si>
  <si>
    <t>Consumables</t>
  </si>
  <si>
    <t>Loss and damage</t>
  </si>
  <si>
    <t>MATERIALS-WARDROBE/MAKE-UP:-</t>
  </si>
  <si>
    <t>Costumes hired</t>
  </si>
  <si>
    <t>Costumes purchased</t>
  </si>
  <si>
    <t>Kit Hire</t>
  </si>
  <si>
    <t>Make-up Materials</t>
  </si>
  <si>
    <t>EQUIPMENT:-</t>
  </si>
  <si>
    <t>Camera Equipment</t>
  </si>
  <si>
    <t>Camera Consumables</t>
  </si>
  <si>
    <t>Grip equipment</t>
  </si>
  <si>
    <t>Sound Equipment</t>
  </si>
  <si>
    <t>Sound Consumables</t>
  </si>
  <si>
    <t>Lighting Equipment</t>
  </si>
  <si>
    <t>Lighting Consumables</t>
  </si>
  <si>
    <t>Walkie-Talkies</t>
  </si>
  <si>
    <t>LOCATION COSTS:-</t>
  </si>
  <si>
    <t>Rehearsal rooms</t>
  </si>
  <si>
    <t>Location Office</t>
  </si>
  <si>
    <t>Broadband</t>
  </si>
  <si>
    <t>Phones</t>
  </si>
  <si>
    <t>Prop Store</t>
  </si>
  <si>
    <t>Costume store</t>
  </si>
  <si>
    <t>Location fees</t>
  </si>
  <si>
    <t>Unit bases</t>
  </si>
  <si>
    <t>Security</t>
  </si>
  <si>
    <t>Location Equipment</t>
  </si>
  <si>
    <t>Mobiles</t>
  </si>
  <si>
    <t>Script Copying</t>
  </si>
  <si>
    <t>Health &amp; Safety</t>
  </si>
  <si>
    <t>On Set Medic</t>
  </si>
  <si>
    <t>Medical Kit</t>
  </si>
  <si>
    <t>Permits</t>
  </si>
  <si>
    <t>STOCK:-</t>
  </si>
  <si>
    <t>Dvcam playback stock</t>
  </si>
  <si>
    <t>Online stock</t>
  </si>
  <si>
    <t>Viewing Copies</t>
  </si>
  <si>
    <t>Sound Stock</t>
  </si>
  <si>
    <t>Offline Stock</t>
  </si>
  <si>
    <t>Effects Stock</t>
  </si>
  <si>
    <t>Masters stock</t>
  </si>
  <si>
    <t>Masters sound</t>
  </si>
  <si>
    <t>Delivery Stock</t>
  </si>
  <si>
    <t>POST-PRODUCTION:-</t>
  </si>
  <si>
    <t>Offline edit</t>
  </si>
  <si>
    <t>Offline edit-assistant</t>
  </si>
  <si>
    <t>Online Edit</t>
  </si>
  <si>
    <t>Dub</t>
  </si>
  <si>
    <t>CGI/Graphics</t>
  </si>
  <si>
    <t>ARCHIVE:-</t>
  </si>
  <si>
    <t>Viewing costs</t>
  </si>
  <si>
    <t>Search fees</t>
  </si>
  <si>
    <t>Transfers</t>
  </si>
  <si>
    <t>Royalties</t>
  </si>
  <si>
    <t>Stills</t>
  </si>
  <si>
    <t>Sound archive</t>
  </si>
  <si>
    <t>MUSIC:-</t>
  </si>
  <si>
    <t>Composer</t>
  </si>
  <si>
    <t>Commercial Music</t>
  </si>
  <si>
    <t>TRAVEL &amp; TRANSPORT:-</t>
  </si>
  <si>
    <t>Recce</t>
  </si>
  <si>
    <t>Car allowances-Producer</t>
  </si>
  <si>
    <t>Car allowances-Production runner</t>
  </si>
  <si>
    <t>Car allowances-Unit Manager</t>
  </si>
  <si>
    <t>Car allowances-Line Producer</t>
  </si>
  <si>
    <t>Car allowances-Location manager</t>
  </si>
  <si>
    <t>Car allowances-Location Assistants</t>
  </si>
  <si>
    <t>Car allowances-Production Designer</t>
  </si>
  <si>
    <t>Car allowances-Art Director</t>
  </si>
  <si>
    <t>Car allowances-Buyer</t>
  </si>
  <si>
    <t>Car allowances-Costume Designer</t>
  </si>
  <si>
    <t>Minibus</t>
  </si>
  <si>
    <t>UK Airport cars</t>
  </si>
  <si>
    <t>Unit Drivers</t>
  </si>
  <si>
    <t>Taxis</t>
  </si>
  <si>
    <t>Trucks/Facility Vehicles</t>
  </si>
  <si>
    <t>Equipment Vehicles</t>
  </si>
  <si>
    <t>Excess baggage</t>
  </si>
  <si>
    <t>Visas</t>
  </si>
  <si>
    <t>Fuel</t>
  </si>
  <si>
    <t>Bikes &amp; Taxis</t>
  </si>
  <si>
    <t>Congestion charge</t>
  </si>
  <si>
    <t>Parking</t>
  </si>
  <si>
    <t>Set Transport</t>
  </si>
  <si>
    <t>HOTEL &amp; LIVING:-</t>
  </si>
  <si>
    <t>Artist accomodation</t>
  </si>
  <si>
    <t>Location Catering</t>
  </si>
  <si>
    <t>Per Diems</t>
  </si>
  <si>
    <t>Meal allowances</t>
  </si>
  <si>
    <t>Hospitality</t>
  </si>
  <si>
    <t>Post-Production Script</t>
  </si>
  <si>
    <t>Research Materials</t>
  </si>
  <si>
    <t>FINANCE/LEGAL:-</t>
  </si>
  <si>
    <t>Insurance</t>
  </si>
  <si>
    <t>Excesses</t>
  </si>
  <si>
    <t>Bank charges</t>
  </si>
  <si>
    <t>Software Licences</t>
  </si>
  <si>
    <t>Finance charges</t>
  </si>
  <si>
    <t>Shipleys audit</t>
  </si>
  <si>
    <t>Neg Check</t>
  </si>
  <si>
    <t>Title Search</t>
  </si>
  <si>
    <t>Copyright report</t>
  </si>
  <si>
    <t>PRODUCTION OVERHEADS:-</t>
  </si>
  <si>
    <t>Production Office</t>
  </si>
  <si>
    <t>Telephone-Office</t>
  </si>
  <si>
    <t>Telephone-Location Office</t>
  </si>
  <si>
    <t>Printing/Stationery</t>
  </si>
  <si>
    <t>Postage</t>
  </si>
  <si>
    <t>Copier-office</t>
  </si>
  <si>
    <t>Paper</t>
  </si>
  <si>
    <t>Production copying</t>
  </si>
  <si>
    <t>Art dept Copying</t>
  </si>
  <si>
    <t>Copies</t>
  </si>
  <si>
    <t>Computers-Production</t>
  </si>
  <si>
    <t>Computers-ADs</t>
  </si>
  <si>
    <t>Computers-Locations</t>
  </si>
  <si>
    <t>Computers-Art Dept</t>
  </si>
  <si>
    <t>Computers-Accounts</t>
  </si>
  <si>
    <t>Press/Publicity</t>
  </si>
  <si>
    <t>PRODUCTION FEE:-</t>
  </si>
  <si>
    <t>CONTINGENCY</t>
  </si>
  <si>
    <t>Development</t>
  </si>
  <si>
    <t>Producer/Director</t>
  </si>
  <si>
    <t>Artists</t>
  </si>
  <si>
    <t>Salaries-Production</t>
  </si>
  <si>
    <t>Assistant Directors</t>
  </si>
  <si>
    <t>Crew-Camera</t>
  </si>
  <si>
    <t>Crew-Sound</t>
  </si>
  <si>
    <t>Crew-Lighting</t>
  </si>
  <si>
    <t>Crew-Art Department</t>
  </si>
  <si>
    <t>Crew-Wardrobe/Make-Up</t>
  </si>
  <si>
    <t>Crew-Edit</t>
  </si>
  <si>
    <t>Unit Overtime</t>
  </si>
  <si>
    <t>Materials-Art Department</t>
  </si>
  <si>
    <t>Materials-Make-Up/Wardrobe</t>
  </si>
  <si>
    <t>Equipment</t>
  </si>
  <si>
    <t>Stock</t>
  </si>
  <si>
    <t>Post-Production</t>
  </si>
  <si>
    <t>Archive</t>
  </si>
  <si>
    <t>Music</t>
  </si>
  <si>
    <t>Travel &amp; Transport</t>
  </si>
  <si>
    <t>Hotel &amp; Living</t>
  </si>
  <si>
    <t>Other Production Costs</t>
  </si>
  <si>
    <t>Finance/Legal</t>
  </si>
  <si>
    <t>Production Overheads</t>
  </si>
  <si>
    <t>Production fee</t>
  </si>
  <si>
    <t>Contingency</t>
  </si>
  <si>
    <t>Vat paid</t>
  </si>
  <si>
    <t>Vat recovered</t>
  </si>
  <si>
    <t>Cumulative Costs</t>
  </si>
  <si>
    <t>Income:-</t>
  </si>
  <si>
    <t>UK Investor</t>
  </si>
  <si>
    <t>Tax credit</t>
  </si>
  <si>
    <t>Cumulative Income</t>
  </si>
  <si>
    <t>Net Income</t>
  </si>
  <si>
    <t>Total</t>
  </si>
  <si>
    <t xml:space="preserve">£     </t>
  </si>
  <si>
    <t>-</t>
  </si>
  <si>
    <t>=</t>
  </si>
  <si>
    <t>====================================================================================================================================================================================================================================</t>
  </si>
  <si>
    <t>CASHFLOW FORECAST</t>
  </si>
  <si>
    <t>Shoot</t>
  </si>
  <si>
    <t>Delivery</t>
  </si>
  <si>
    <t>TOTAL</t>
  </si>
  <si>
    <t xml:space="preserve"> </t>
  </si>
  <si>
    <t>ABC FILMS LIMITED</t>
  </si>
  <si>
    <t>Line Producer-Austria</t>
  </si>
  <si>
    <t>Artist</t>
  </si>
  <si>
    <t>Production Coordinator-Austria</t>
  </si>
  <si>
    <t>Supporting artists Austria</t>
  </si>
  <si>
    <t>Production Assistant-Austria</t>
  </si>
  <si>
    <t>Runner-Austria</t>
  </si>
  <si>
    <t>Production Accountant-Austria</t>
  </si>
  <si>
    <t>Assistant Accountant-Austria</t>
  </si>
  <si>
    <t>Location Manager-Austria</t>
  </si>
  <si>
    <t>Location Assistant-Austria</t>
  </si>
  <si>
    <t>Location Assistant-Austria-Shoot</t>
  </si>
  <si>
    <t>Base Camp Manager-Austria</t>
  </si>
  <si>
    <t>Casting Director-Austria</t>
  </si>
  <si>
    <t>Fixer-Salzburg</t>
  </si>
  <si>
    <t>First A.D-Austria</t>
  </si>
  <si>
    <t>Third A.D-Austria</t>
  </si>
  <si>
    <t>Floor Runner-Austria</t>
  </si>
  <si>
    <t>Camera Assistant-2-Austria</t>
  </si>
  <si>
    <t>Grips-Austria</t>
  </si>
  <si>
    <t>Grips Labour-Austria</t>
  </si>
  <si>
    <t>Camera Labour-Austria</t>
  </si>
  <si>
    <t>Sound Trainee-Austria</t>
  </si>
  <si>
    <t>Gaffer-Austria</t>
  </si>
  <si>
    <t>Best Boy-Austria</t>
  </si>
  <si>
    <t>Electricians-Austria</t>
  </si>
  <si>
    <t>Genny Operator-Austria</t>
  </si>
  <si>
    <t>Prop Master-Austria</t>
  </si>
  <si>
    <t>Prop Buyer-Austria</t>
  </si>
  <si>
    <t>Set Dressers-Austria</t>
  </si>
  <si>
    <t>Stand-by Props-Austria</t>
  </si>
  <si>
    <t>Art Department Runner-Austria</t>
  </si>
  <si>
    <t>Costume Supervisor-Austria</t>
  </si>
  <si>
    <t>Wardrobe Assistant-Austria</t>
  </si>
  <si>
    <t>Wardrobe Dailies-Austria</t>
  </si>
  <si>
    <t>Make-Up Artist-Austria</t>
  </si>
  <si>
    <t>Make-Up Dailies-Austria</t>
  </si>
  <si>
    <t>Overtime-Austria</t>
  </si>
  <si>
    <t>Prop hire-Austria</t>
  </si>
  <si>
    <t>Action Vehicles-Austria</t>
  </si>
  <si>
    <t>Graphics-Austria</t>
  </si>
  <si>
    <t>Consumables-Austria</t>
  </si>
  <si>
    <t>Costumes hired-Austria</t>
  </si>
  <si>
    <t>Costumes purchased-Austria</t>
  </si>
  <si>
    <t>Make-up Materials-Austria</t>
  </si>
  <si>
    <t>Sound Equipment-Austria</t>
  </si>
  <si>
    <t>Lighting Equipment-Austria</t>
  </si>
  <si>
    <t>Walkie-Talkies-Austria</t>
  </si>
  <si>
    <t>Austria Office</t>
  </si>
  <si>
    <t>Austria Art dept/Costume</t>
  </si>
  <si>
    <t>Austria Light/Heat</t>
  </si>
  <si>
    <t>Location fees-Austria</t>
  </si>
  <si>
    <t>Mobiles-Austria</t>
  </si>
  <si>
    <t>Austrian Medic</t>
  </si>
  <si>
    <t>Catering equipment-Austria</t>
  </si>
  <si>
    <t>Crew flights-Austria</t>
  </si>
  <si>
    <t>Airport Cars-Austria</t>
  </si>
  <si>
    <t>Vehicle rental-Austria</t>
  </si>
  <si>
    <t>Artist flights-Austria</t>
  </si>
  <si>
    <t>Artist cars-Austria</t>
  </si>
  <si>
    <t>Buses-Austria</t>
  </si>
  <si>
    <t>Vehicles-Austria/rounding</t>
  </si>
  <si>
    <t>Freight-Austria</t>
  </si>
  <si>
    <t>Carnets-Austria</t>
  </si>
  <si>
    <t>Fuel-Austria</t>
  </si>
  <si>
    <t>Recce Austria</t>
  </si>
  <si>
    <t>Hotels-Prague</t>
  </si>
  <si>
    <t>Hotels-Austria</t>
  </si>
  <si>
    <t>Living allowance-Austria</t>
  </si>
  <si>
    <t>Artist accomodation-Austria</t>
  </si>
  <si>
    <t>Location Catering-Prague</t>
  </si>
  <si>
    <t>Location Catering-Austria</t>
  </si>
  <si>
    <t>Per Diems-Prague</t>
  </si>
  <si>
    <t>Per Diems-Austria</t>
  </si>
  <si>
    <t>Gratuities-Prague</t>
  </si>
  <si>
    <t>Gratuities-Austria</t>
  </si>
  <si>
    <t>Insurance-Prague</t>
  </si>
  <si>
    <t>Insurance-Austria</t>
  </si>
  <si>
    <t>Currency loss Austria</t>
  </si>
  <si>
    <t>Bank charges-Austria-rounding</t>
  </si>
  <si>
    <t>Telephone-Prague</t>
  </si>
  <si>
    <t>Telephone-Austria</t>
  </si>
  <si>
    <t>Service Company-Austria</t>
  </si>
  <si>
    <t>DOP-Prague</t>
  </si>
  <si>
    <t>Sound Recordist-Prague</t>
  </si>
  <si>
    <t>Camera Consumables-Prague</t>
  </si>
  <si>
    <t>Grip equipment-Prague</t>
  </si>
  <si>
    <t>Sound Equipment-Prague</t>
  </si>
  <si>
    <t>Sound Consumables-Prague</t>
  </si>
  <si>
    <t>Lighting Consumables-Prague</t>
  </si>
  <si>
    <t>Mobiles-Prague</t>
  </si>
  <si>
    <t>Drives-Prague</t>
  </si>
  <si>
    <t>Offline edit-Prague</t>
  </si>
  <si>
    <t>Recce-Prague</t>
  </si>
  <si>
    <t>Cars-Prague</t>
  </si>
  <si>
    <t>Excess baggage-Prague</t>
  </si>
  <si>
    <t>Fuel-Prague</t>
  </si>
  <si>
    <t>"PRODUCTION NAME"</t>
  </si>
  <si>
    <t>Check Total</t>
  </si>
  <si>
    <t>Last update 6 March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</si>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</sst>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-* #,##0_-;\-* #,##0_-;_-* &quot;-&quot;??_-;_-@_-"/>
    <numFmt numFmtId="173" formatCode="0.000"/>
  </numFmts>
  <fonts count="9">
    <font>
      <sz val="12"/>
      <name val="Arial"/>
    </font>
    <font>
      <sz val="12"/>
      <name val="Arial"/>
      <family val="2"/>
    </font>
    <font>
      <sz val="12"/>
      <name val="SWISS"/>
    </font>
    <font>
      <sz val="12"/>
      <name val="Arial"/>
      <family val="2"/>
    </font>
    <font>
      <b/>
      <u/>
      <sz val="18"/>
      <color indexed="8"/>
      <name val="SWISS"/>
    </font>
    <font>
      <b/>
      <u/>
      <sz val="12"/>
      <color indexed="8"/>
      <name val="SWISS"/>
    </font>
    <font>
      <b/>
      <sz val="12"/>
      <name val="SWISS"/>
    </font>
    <font>
      <b/>
      <sz val="12"/>
      <name val="Arial"/>
      <family val="2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NumberFormat="1" applyFont="1" applyAlignment="1"/>
    <xf numFmtId="1" fontId="4" fillId="0" borderId="0" xfId="0" applyNumberFormat="1" applyFont="1" applyAlignment="1"/>
    <xf numFmtId="1" fontId="5" fillId="0" borderId="0" xfId="0" applyNumberFormat="1" applyFont="1" applyAlignment="1"/>
    <xf numFmtId="1" fontId="2" fillId="0" borderId="0" xfId="0" applyNumberFormat="1" applyFont="1" applyAlignment="1">
      <alignment horizontal="right"/>
    </xf>
    <xf numFmtId="1" fontId="6" fillId="0" borderId="0" xfId="0" applyNumberFormat="1" applyFont="1" applyAlignment="1"/>
    <xf numFmtId="1" fontId="7" fillId="0" borderId="0" xfId="0" applyNumberFormat="1" applyFont="1" applyAlignment="1"/>
    <xf numFmtId="1" fontId="2" fillId="0" borderId="0" xfId="0" applyNumberFormat="1" applyFont="1" applyAlignment="1">
      <alignment horizontal="fill"/>
    </xf>
    <xf numFmtId="43" fontId="2" fillId="0" borderId="0" xfId="1" applyFont="1" applyAlignment="1"/>
    <xf numFmtId="165" fontId="2" fillId="0" borderId="0" xfId="1" applyNumberFormat="1" applyFont="1" applyAlignment="1"/>
    <xf numFmtId="165" fontId="2" fillId="0" borderId="0" xfId="1" applyNumberFormat="1" applyFont="1" applyAlignment="1">
      <alignment horizontal="right"/>
    </xf>
    <xf numFmtId="165" fontId="6" fillId="0" borderId="0" xfId="1" applyNumberFormat="1" applyFont="1" applyAlignment="1"/>
    <xf numFmtId="165" fontId="2" fillId="0" borderId="0" xfId="1" applyNumberFormat="1" applyFont="1" applyAlignment="1">
      <alignment horizontal="fill"/>
    </xf>
    <xf numFmtId="165" fontId="4" fillId="0" borderId="0" xfId="1" applyNumberFormat="1" applyFont="1" applyAlignment="1"/>
    <xf numFmtId="165" fontId="5" fillId="0" borderId="0" xfId="1" applyNumberFormat="1" applyFont="1" applyAlignment="1"/>
    <xf numFmtId="16" fontId="2" fillId="0" borderId="0" xfId="0" applyNumberFormat="1" applyFont="1" applyAlignment="1">
      <alignment horizontal="right"/>
    </xf>
    <xf numFmtId="173" fontId="2" fillId="0" borderId="0" xfId="0" applyNumberFormat="1" applyFont="1" applyAlignment="1"/>
    <xf numFmtId="38" fontId="2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43"/>
  <sheetViews>
    <sheetView tabSelected="1" showOutlineSymbols="0" zoomScale="80" zoomScaleNormal="80" workbookViewId="0">
      <pane xSplit="2" ySplit="8" topLeftCell="C424" activePane="bottomRight" state="frozen"/>
      <selection pane="topRight" activeCell="C1" sqref="C1"/>
      <selection pane="bottomLeft" activeCell="A9" sqref="A9"/>
      <selection pane="bottomRight" activeCell="A443" sqref="A443"/>
    </sheetView>
  </sheetViews>
  <sheetFormatPr defaultColWidth="9.6640625" defaultRowHeight="15"/>
  <cols>
    <col min="1" max="1" width="3.6640625" style="2" customWidth="1"/>
    <col min="2" max="2" width="33.6640625" style="2" customWidth="1"/>
    <col min="3" max="3" width="11.88671875" style="2" customWidth="1"/>
    <col min="4" max="4" width="6.77734375" style="2" customWidth="1"/>
    <col min="5" max="6" width="10.6640625" style="2" customWidth="1"/>
    <col min="7" max="7" width="8.5546875" style="2" bestFit="1" customWidth="1"/>
    <col min="8" max="8" width="11" style="2" customWidth="1"/>
    <col min="9" max="21" width="8.5546875" style="2" bestFit="1" customWidth="1"/>
    <col min="22" max="22" width="10.77734375" style="2" customWidth="1"/>
    <col min="23" max="29" width="10" style="2" bestFit="1" customWidth="1"/>
    <col min="30" max="30" width="13.5546875" style="2" bestFit="1" customWidth="1"/>
    <col min="31" max="31" width="10" style="2" bestFit="1" customWidth="1"/>
    <col min="32" max="32" width="10.77734375" style="2" customWidth="1"/>
    <col min="33" max="46" width="10" style="2" bestFit="1" customWidth="1"/>
    <col min="47" max="252" width="11.6640625" style="2" customWidth="1"/>
    <col min="253" max="253" width="11.6640625" style="1" customWidth="1"/>
    <col min="254" max="16384" width="9.6640625" style="1"/>
  </cols>
  <sheetData>
    <row r="1" spans="1:253">
      <c r="A1" s="2" t="s">
        <v>378</v>
      </c>
      <c r="IS1" s="3"/>
    </row>
    <row r="2" spans="1:253">
      <c r="IS2" s="3"/>
    </row>
    <row r="3" spans="1:253" ht="23.25">
      <c r="B3" s="4" t="s">
        <v>376</v>
      </c>
      <c r="C3" s="4"/>
      <c r="D3" s="4"/>
      <c r="E3" s="4"/>
      <c r="IS3" s="3"/>
    </row>
    <row r="4" spans="1:253">
      <c r="IS4" s="3"/>
    </row>
    <row r="5" spans="1:253" ht="23.25">
      <c r="B5" s="4" t="s">
        <v>279</v>
      </c>
      <c r="C5" s="4"/>
      <c r="D5" s="4"/>
      <c r="E5" s="4"/>
      <c r="F5" s="4"/>
      <c r="G5" s="4"/>
      <c r="H5" s="4" t="s">
        <v>274</v>
      </c>
      <c r="I5" s="4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IS5" s="3"/>
    </row>
    <row r="6" spans="1:253" ht="15.7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IS6" s="3"/>
    </row>
    <row r="7" spans="1:253" ht="15.75"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6"/>
      <c r="IS7" s="3"/>
    </row>
    <row r="8" spans="1:253">
      <c r="B8" s="2" t="s">
        <v>1</v>
      </c>
      <c r="C8" s="6" t="s">
        <v>269</v>
      </c>
      <c r="D8" s="6" t="s">
        <v>379</v>
      </c>
      <c r="E8" s="17">
        <v>43832</v>
      </c>
      <c r="F8" s="17">
        <v>43839</v>
      </c>
      <c r="G8" s="17">
        <v>43846</v>
      </c>
      <c r="H8" s="17">
        <v>43853</v>
      </c>
      <c r="I8" s="17">
        <v>43860</v>
      </c>
      <c r="J8" s="17">
        <v>43867</v>
      </c>
      <c r="K8" s="17">
        <v>43874</v>
      </c>
      <c r="L8" s="17">
        <v>43881</v>
      </c>
      <c r="M8" s="17">
        <v>43888</v>
      </c>
      <c r="N8" s="17">
        <v>43895</v>
      </c>
      <c r="O8" s="17">
        <v>43902</v>
      </c>
      <c r="P8" s="17">
        <v>43909</v>
      </c>
      <c r="Q8" s="17">
        <v>43916</v>
      </c>
      <c r="R8" s="17">
        <v>43923</v>
      </c>
      <c r="S8" s="17">
        <v>43930</v>
      </c>
      <c r="T8" s="17">
        <v>43937</v>
      </c>
      <c r="U8" s="17">
        <v>43944</v>
      </c>
      <c r="V8" s="17">
        <v>43951</v>
      </c>
      <c r="W8" s="17">
        <v>43958</v>
      </c>
      <c r="X8" s="17">
        <v>43965</v>
      </c>
      <c r="Y8" s="17">
        <v>43972</v>
      </c>
      <c r="Z8" s="17">
        <v>43979</v>
      </c>
      <c r="AA8" s="17">
        <v>43986</v>
      </c>
      <c r="AB8" s="17">
        <v>43993</v>
      </c>
      <c r="AC8" s="17">
        <v>44000</v>
      </c>
      <c r="AD8" s="17">
        <v>44007</v>
      </c>
      <c r="AE8" s="17">
        <v>44014</v>
      </c>
      <c r="AF8" s="17">
        <v>44021</v>
      </c>
      <c r="AG8" s="17">
        <v>44028</v>
      </c>
      <c r="AH8" s="17">
        <v>44035</v>
      </c>
      <c r="AI8" s="17">
        <v>44042</v>
      </c>
      <c r="AJ8" s="17">
        <v>44049</v>
      </c>
      <c r="AK8" s="17">
        <v>44056</v>
      </c>
      <c r="AL8" s="17">
        <v>44063</v>
      </c>
      <c r="AM8" s="17">
        <v>44070</v>
      </c>
      <c r="AN8" s="17">
        <v>44077</v>
      </c>
      <c r="AO8" s="17">
        <v>44084</v>
      </c>
      <c r="AP8" s="17">
        <v>44091</v>
      </c>
      <c r="AQ8" s="17">
        <v>44098</v>
      </c>
      <c r="AR8" s="17">
        <v>44105</v>
      </c>
      <c r="AS8" s="6" t="s">
        <v>276</v>
      </c>
      <c r="AT8" s="6" t="s">
        <v>277</v>
      </c>
      <c r="AU8" s="2" t="s">
        <v>377</v>
      </c>
      <c r="IS8" s="3"/>
    </row>
    <row r="9" spans="1:253">
      <c r="IS9" s="3"/>
    </row>
    <row r="10" spans="1:253">
      <c r="C10" s="6" t="s">
        <v>270</v>
      </c>
      <c r="D10" s="6"/>
      <c r="E10" s="6" t="s">
        <v>270</v>
      </c>
      <c r="F10" s="6" t="s">
        <v>270</v>
      </c>
      <c r="G10" s="6" t="s">
        <v>270</v>
      </c>
      <c r="H10" s="6" t="s">
        <v>270</v>
      </c>
      <c r="I10" s="6" t="s">
        <v>270</v>
      </c>
      <c r="J10" s="6" t="s">
        <v>270</v>
      </c>
      <c r="K10" s="6" t="s">
        <v>270</v>
      </c>
      <c r="L10" s="6" t="s">
        <v>270</v>
      </c>
      <c r="M10" s="6" t="s">
        <v>270</v>
      </c>
      <c r="N10" s="6" t="s">
        <v>270</v>
      </c>
      <c r="O10" s="6" t="s">
        <v>270</v>
      </c>
      <c r="P10" s="6" t="s">
        <v>270</v>
      </c>
      <c r="Q10" s="6" t="s">
        <v>270</v>
      </c>
      <c r="R10" s="6" t="s">
        <v>270</v>
      </c>
      <c r="S10" s="6" t="s">
        <v>270</v>
      </c>
      <c r="T10" s="6" t="s">
        <v>270</v>
      </c>
      <c r="U10" s="6" t="s">
        <v>270</v>
      </c>
      <c r="V10" s="6" t="s">
        <v>270</v>
      </c>
      <c r="W10" s="6" t="s">
        <v>270</v>
      </c>
      <c r="X10" s="6" t="s">
        <v>270</v>
      </c>
      <c r="Y10" s="6" t="s">
        <v>270</v>
      </c>
      <c r="Z10" s="6" t="s">
        <v>270</v>
      </c>
      <c r="AA10" s="6" t="s">
        <v>270</v>
      </c>
      <c r="AB10" s="6" t="s">
        <v>270</v>
      </c>
      <c r="AC10" s="6" t="s">
        <v>270</v>
      </c>
      <c r="AD10" s="6" t="s">
        <v>270</v>
      </c>
      <c r="AE10" s="6" t="s">
        <v>270</v>
      </c>
      <c r="AF10" s="6" t="s">
        <v>270</v>
      </c>
      <c r="AG10" s="6" t="s">
        <v>270</v>
      </c>
      <c r="AH10" s="6" t="s">
        <v>270</v>
      </c>
      <c r="AI10" s="6" t="s">
        <v>270</v>
      </c>
      <c r="AJ10" s="6" t="s">
        <v>270</v>
      </c>
      <c r="AK10" s="6" t="s">
        <v>270</v>
      </c>
      <c r="AL10" s="6" t="s">
        <v>270</v>
      </c>
      <c r="AM10" s="6" t="s">
        <v>270</v>
      </c>
      <c r="AN10" s="6" t="s">
        <v>270</v>
      </c>
      <c r="AO10" s="6" t="s">
        <v>270</v>
      </c>
      <c r="AP10" s="6" t="s">
        <v>270</v>
      </c>
      <c r="AQ10" s="6" t="s">
        <v>270</v>
      </c>
      <c r="AR10" s="6" t="s">
        <v>270</v>
      </c>
      <c r="AS10" s="6" t="s">
        <v>270</v>
      </c>
      <c r="AT10" s="6" t="s">
        <v>270</v>
      </c>
      <c r="IS10" s="3"/>
    </row>
    <row r="11" spans="1:253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 t="s">
        <v>275</v>
      </c>
      <c r="Y11" s="12" t="s">
        <v>275</v>
      </c>
      <c r="Z11" s="12" t="s">
        <v>275</v>
      </c>
      <c r="AA11" s="12" t="s">
        <v>275</v>
      </c>
      <c r="AB11" s="12" t="s">
        <v>275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1"/>
      <c r="AT11" s="11"/>
      <c r="IS11" s="3"/>
    </row>
    <row r="12" spans="1:253" ht="15.75">
      <c r="A12" s="7">
        <v>5</v>
      </c>
      <c r="B12" s="7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1">
        <f t="shared" ref="AT12:AT72" si="0">SUM(E12:AS12)</f>
        <v>0</v>
      </c>
      <c r="AU12" s="2">
        <f>C12-AT12</f>
        <v>0</v>
      </c>
      <c r="IS12" s="3"/>
    </row>
    <row r="13" spans="1:253">
      <c r="B13" s="2" t="s">
        <v>3</v>
      </c>
      <c r="C13" s="11">
        <f>SUM(E13:AS13)</f>
        <v>5000</v>
      </c>
      <c r="D13" s="6" t="s">
        <v>379</v>
      </c>
      <c r="E13" s="11">
        <v>5000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>
        <f t="shared" si="0"/>
        <v>5000</v>
      </c>
      <c r="AU13" s="2">
        <f>C13-AT13</f>
        <v>0</v>
      </c>
      <c r="IS13" s="3"/>
    </row>
    <row r="14" spans="1:253">
      <c r="B14" s="2" t="s">
        <v>3</v>
      </c>
      <c r="C14" s="11">
        <f>SUM(E14:AS14)</f>
        <v>6000</v>
      </c>
      <c r="D14" s="6" t="s">
        <v>379</v>
      </c>
      <c r="E14" s="11">
        <v>6000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>
        <f t="shared" si="0"/>
        <v>6000</v>
      </c>
      <c r="AU14" s="2">
        <f>C14-AT14</f>
        <v>0</v>
      </c>
      <c r="IS14" s="3"/>
    </row>
    <row r="15" spans="1:253">
      <c r="B15" s="2" t="s">
        <v>4</v>
      </c>
      <c r="C15" s="11">
        <f>SUM(E15:AS15)</f>
        <v>54000</v>
      </c>
      <c r="D15" s="6" t="s">
        <v>379</v>
      </c>
      <c r="E15" s="11">
        <v>54000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>
        <f t="shared" si="0"/>
        <v>54000</v>
      </c>
      <c r="AU15" s="2">
        <f>C15-AT15</f>
        <v>0</v>
      </c>
      <c r="IS15" s="3"/>
    </row>
    <row r="16" spans="1:253">
      <c r="B16" s="2" t="s">
        <v>5</v>
      </c>
      <c r="C16" s="11">
        <f>SUM(E16:AS16)</f>
        <v>54000</v>
      </c>
      <c r="D16" s="6" t="s">
        <v>379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v>54000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>
        <f t="shared" si="0"/>
        <v>54000</v>
      </c>
      <c r="AU16" s="2">
        <f>C16-AT16</f>
        <v>0</v>
      </c>
      <c r="IS16" s="3"/>
    </row>
    <row r="17" spans="1:253">
      <c r="B17" s="2" t="s">
        <v>6</v>
      </c>
      <c r="C17" s="11">
        <f>SUM(E17:AS17)</f>
        <v>1100</v>
      </c>
      <c r="D17" s="11"/>
      <c r="E17" s="11">
        <v>1100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>
        <f t="shared" si="0"/>
        <v>1100</v>
      </c>
      <c r="AU17" s="2">
        <f>C17-AT17</f>
        <v>0</v>
      </c>
      <c r="IS17" s="3"/>
    </row>
    <row r="18" spans="1:253">
      <c r="B18" s="2" t="s">
        <v>7</v>
      </c>
      <c r="C18" s="11">
        <f>SUM(E18:AS18)</f>
        <v>1100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1100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>
        <f t="shared" si="0"/>
        <v>1100</v>
      </c>
      <c r="AU18" s="2">
        <f>C18-AT18</f>
        <v>0</v>
      </c>
      <c r="IS18" s="3"/>
    </row>
    <row r="19" spans="1:253">
      <c r="B19" s="2" t="s">
        <v>8</v>
      </c>
      <c r="C19" s="11">
        <f>SUM(E19:AS19)</f>
        <v>4800</v>
      </c>
      <c r="D19" s="11" t="s">
        <v>379</v>
      </c>
      <c r="E19" s="11">
        <v>4800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>
        <f t="shared" si="0"/>
        <v>4800</v>
      </c>
      <c r="AU19" s="2">
        <f>C19-AT19</f>
        <v>0</v>
      </c>
      <c r="IS19" s="3"/>
    </row>
    <row r="20" spans="1:253">
      <c r="B20" s="2" t="s">
        <v>9</v>
      </c>
      <c r="C20" s="11">
        <f>SUM(E20:AS20)</f>
        <v>1800</v>
      </c>
      <c r="D20" s="11"/>
      <c r="E20" s="11">
        <v>1800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>
        <f t="shared" si="0"/>
        <v>1800</v>
      </c>
      <c r="AU20" s="2">
        <f>C20-AT20</f>
        <v>0</v>
      </c>
      <c r="IS20" s="3"/>
    </row>
    <row r="21" spans="1:253">
      <c r="B21" s="2" t="s">
        <v>10</v>
      </c>
      <c r="C21" s="11">
        <f>SUM(E21:AS21)</f>
        <v>14950</v>
      </c>
      <c r="D21" s="11" t="s">
        <v>379</v>
      </c>
      <c r="E21" s="11">
        <v>14950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>
        <f t="shared" si="0"/>
        <v>14950</v>
      </c>
      <c r="AU21" s="2">
        <f>C21-AT21</f>
        <v>0</v>
      </c>
      <c r="IS21" s="3"/>
    </row>
    <row r="22" spans="1:253">
      <c r="B22" s="2" t="s">
        <v>11</v>
      </c>
      <c r="C22" s="11">
        <f>SUM(E22:AS22)</f>
        <v>1950</v>
      </c>
      <c r="D22" s="11" t="s">
        <v>379</v>
      </c>
      <c r="E22" s="11">
        <v>1950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>
        <f t="shared" si="0"/>
        <v>1950</v>
      </c>
      <c r="AU22" s="2">
        <f>C22-AT22</f>
        <v>0</v>
      </c>
      <c r="IS22" s="3"/>
    </row>
    <row r="23" spans="1:253">
      <c r="B23" s="2" t="s">
        <v>12</v>
      </c>
      <c r="C23" s="11">
        <f>SUM(E23:AS23)</f>
        <v>4030</v>
      </c>
      <c r="D23" s="11"/>
      <c r="E23" s="11">
        <v>4030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>
        <f t="shared" si="0"/>
        <v>4030</v>
      </c>
      <c r="AU23" s="2">
        <f>C23-AT23</f>
        <v>0</v>
      </c>
      <c r="IS23" s="3"/>
    </row>
    <row r="24" spans="1:253">
      <c r="B24" s="2" t="s">
        <v>13</v>
      </c>
      <c r="C24" s="11">
        <f>SUM(E24:AS24)</f>
        <v>2500</v>
      </c>
      <c r="D24" s="11"/>
      <c r="E24" s="11">
        <v>2500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>
        <f t="shared" si="0"/>
        <v>2500</v>
      </c>
      <c r="AU24" s="2">
        <f>C24-AT24</f>
        <v>0</v>
      </c>
      <c r="IS24" s="3"/>
    </row>
    <row r="25" spans="1:253">
      <c r="B25" s="2" t="s">
        <v>14</v>
      </c>
      <c r="C25" s="11">
        <f>SUM(E25:AS25)</f>
        <v>10000</v>
      </c>
      <c r="D25" s="11"/>
      <c r="E25" s="11">
        <v>10000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>
        <f t="shared" si="0"/>
        <v>10000</v>
      </c>
      <c r="AU25" s="2">
        <f>C25-AT25</f>
        <v>0</v>
      </c>
      <c r="IS25" s="3"/>
    </row>
    <row r="26" spans="1:253">
      <c r="B26" s="2" t="s">
        <v>15</v>
      </c>
      <c r="C26" s="11">
        <f>SUM(E26:AS26)</f>
        <v>2500</v>
      </c>
      <c r="D26" s="11" t="s">
        <v>379</v>
      </c>
      <c r="E26" s="11">
        <v>2500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>
        <f t="shared" si="0"/>
        <v>2500</v>
      </c>
      <c r="AU26" s="2">
        <f>C26-AT26</f>
        <v>0</v>
      </c>
      <c r="IS26" s="3"/>
    </row>
    <row r="27" spans="1:253">
      <c r="B27" s="2" t="s">
        <v>16</v>
      </c>
      <c r="C27" s="11">
        <f>SUM(E27:AS27)</f>
        <v>800</v>
      </c>
      <c r="D27" s="11"/>
      <c r="E27" s="11">
        <v>800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>
        <f t="shared" si="0"/>
        <v>800</v>
      </c>
      <c r="AU27" s="2">
        <f>C27-AT27</f>
        <v>0</v>
      </c>
      <c r="IS27" s="3"/>
    </row>
    <row r="28" spans="1:253" ht="15.75">
      <c r="A28" s="7">
        <v>6</v>
      </c>
      <c r="B28" s="7" t="s">
        <v>17</v>
      </c>
      <c r="C28" s="11">
        <f>SUM(E28:AS28)</f>
        <v>0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>
        <f t="shared" si="0"/>
        <v>0</v>
      </c>
      <c r="AU28" s="2">
        <f>C28-AT28</f>
        <v>0</v>
      </c>
      <c r="IS28" s="3"/>
    </row>
    <row r="29" spans="1:253">
      <c r="B29" s="2" t="s">
        <v>18</v>
      </c>
      <c r="C29" s="11">
        <f>SUM(E29:AS29)</f>
        <v>3000</v>
      </c>
      <c r="D29" s="11" t="s">
        <v>379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>
        <v>3000</v>
      </c>
      <c r="AS29" s="11"/>
      <c r="AT29" s="11">
        <f t="shared" si="0"/>
        <v>3000</v>
      </c>
      <c r="AU29" s="2">
        <f>C29-AT29</f>
        <v>0</v>
      </c>
      <c r="IS29" s="3"/>
    </row>
    <row r="30" spans="1:253">
      <c r="B30" s="2" t="s">
        <v>19</v>
      </c>
      <c r="C30" s="11">
        <f>SUM(E30:AS30)</f>
        <v>34980</v>
      </c>
      <c r="D30" s="11" t="s">
        <v>379</v>
      </c>
      <c r="E30" s="11">
        <f t="shared" ref="E30:P30" si="1">1650*0.6</f>
        <v>990</v>
      </c>
      <c r="F30" s="11">
        <f t="shared" si="1"/>
        <v>990</v>
      </c>
      <c r="G30" s="11">
        <f t="shared" si="1"/>
        <v>990</v>
      </c>
      <c r="H30" s="11">
        <f t="shared" si="1"/>
        <v>990</v>
      </c>
      <c r="I30" s="11">
        <f t="shared" si="1"/>
        <v>990</v>
      </c>
      <c r="J30" s="11">
        <f t="shared" si="1"/>
        <v>990</v>
      </c>
      <c r="K30" s="11">
        <f t="shared" si="1"/>
        <v>990</v>
      </c>
      <c r="L30" s="11">
        <f t="shared" si="1"/>
        <v>990</v>
      </c>
      <c r="M30" s="11">
        <f t="shared" si="1"/>
        <v>990</v>
      </c>
      <c r="N30" s="11">
        <f t="shared" si="1"/>
        <v>990</v>
      </c>
      <c r="O30" s="11">
        <f t="shared" si="1"/>
        <v>990</v>
      </c>
      <c r="P30" s="11">
        <f t="shared" si="1"/>
        <v>990</v>
      </c>
      <c r="Q30" s="11">
        <v>1650</v>
      </c>
      <c r="R30" s="11">
        <v>1650</v>
      </c>
      <c r="S30" s="11">
        <v>1650</v>
      </c>
      <c r="T30" s="11">
        <v>1650</v>
      </c>
      <c r="U30" s="11">
        <v>1650</v>
      </c>
      <c r="V30" s="11">
        <v>1650</v>
      </c>
      <c r="W30" s="11">
        <v>1650</v>
      </c>
      <c r="X30" s="11">
        <v>1650</v>
      </c>
      <c r="Y30" s="11">
        <v>1650</v>
      </c>
      <c r="Z30" s="11">
        <v>1650</v>
      </c>
      <c r="AA30" s="11">
        <v>1650</v>
      </c>
      <c r="AB30" s="11">
        <v>1650</v>
      </c>
      <c r="AC30" s="11">
        <v>1650</v>
      </c>
      <c r="AD30" s="11">
        <v>1650</v>
      </c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>
        <f t="shared" si="0"/>
        <v>34980</v>
      </c>
      <c r="AU30" s="2">
        <f>C30-AT30</f>
        <v>0</v>
      </c>
      <c r="IS30" s="3"/>
    </row>
    <row r="31" spans="1:253">
      <c r="B31" s="2" t="s">
        <v>280</v>
      </c>
      <c r="C31" s="11">
        <f>SUM(E31:AS31)</f>
        <v>4150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v>4150</v>
      </c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>
        <f t="shared" si="0"/>
        <v>4150</v>
      </c>
      <c r="AU31" s="2">
        <f>C31-AT31</f>
        <v>0</v>
      </c>
      <c r="IS31" s="3"/>
    </row>
    <row r="32" spans="1:253">
      <c r="B32" s="2" t="s">
        <v>20</v>
      </c>
      <c r="C32" s="11">
        <f>SUM(E32:AS32)</f>
        <v>60000</v>
      </c>
      <c r="D32" s="11" t="s">
        <v>379</v>
      </c>
      <c r="E32" s="11">
        <f t="shared" ref="E32:N34" si="2">60000/40</f>
        <v>1500</v>
      </c>
      <c r="F32" s="11">
        <f t="shared" si="2"/>
        <v>1500</v>
      </c>
      <c r="G32" s="11">
        <f t="shared" si="2"/>
        <v>1500</v>
      </c>
      <c r="H32" s="11">
        <f t="shared" si="2"/>
        <v>1500</v>
      </c>
      <c r="I32" s="11">
        <f t="shared" si="2"/>
        <v>1500</v>
      </c>
      <c r="J32" s="11">
        <f t="shared" si="2"/>
        <v>1500</v>
      </c>
      <c r="K32" s="11">
        <f t="shared" si="2"/>
        <v>1500</v>
      </c>
      <c r="L32" s="11">
        <f t="shared" si="2"/>
        <v>1500</v>
      </c>
      <c r="M32" s="11">
        <f t="shared" si="2"/>
        <v>1500</v>
      </c>
      <c r="N32" s="11">
        <f t="shared" si="2"/>
        <v>1500</v>
      </c>
      <c r="O32" s="11">
        <f t="shared" ref="O32:X34" si="3">60000/40</f>
        <v>1500</v>
      </c>
      <c r="P32" s="11">
        <f t="shared" si="3"/>
        <v>1500</v>
      </c>
      <c r="Q32" s="11">
        <f t="shared" si="3"/>
        <v>1500</v>
      </c>
      <c r="R32" s="11">
        <f t="shared" si="3"/>
        <v>1500</v>
      </c>
      <c r="S32" s="11">
        <f t="shared" si="3"/>
        <v>1500</v>
      </c>
      <c r="T32" s="11">
        <f t="shared" si="3"/>
        <v>1500</v>
      </c>
      <c r="U32" s="11">
        <f t="shared" si="3"/>
        <v>1500</v>
      </c>
      <c r="V32" s="11">
        <f t="shared" si="3"/>
        <v>1500</v>
      </c>
      <c r="W32" s="11">
        <f t="shared" si="3"/>
        <v>1500</v>
      </c>
      <c r="X32" s="11">
        <f t="shared" si="3"/>
        <v>1500</v>
      </c>
      <c r="Y32" s="11">
        <f t="shared" ref="Y32:AH34" si="4">60000/40</f>
        <v>1500</v>
      </c>
      <c r="Z32" s="11">
        <f t="shared" si="4"/>
        <v>1500</v>
      </c>
      <c r="AA32" s="11">
        <f t="shared" si="4"/>
        <v>1500</v>
      </c>
      <c r="AB32" s="11">
        <f t="shared" si="4"/>
        <v>1500</v>
      </c>
      <c r="AC32" s="11">
        <f t="shared" si="4"/>
        <v>1500</v>
      </c>
      <c r="AD32" s="11">
        <f t="shared" si="4"/>
        <v>1500</v>
      </c>
      <c r="AE32" s="11">
        <f t="shared" si="4"/>
        <v>1500</v>
      </c>
      <c r="AF32" s="11">
        <f t="shared" si="4"/>
        <v>1500</v>
      </c>
      <c r="AG32" s="11">
        <f t="shared" si="4"/>
        <v>1500</v>
      </c>
      <c r="AH32" s="11">
        <f t="shared" si="4"/>
        <v>1500</v>
      </c>
      <c r="AI32" s="11">
        <f t="shared" ref="AI32:AR34" si="5">60000/40</f>
        <v>1500</v>
      </c>
      <c r="AJ32" s="11">
        <f t="shared" si="5"/>
        <v>1500</v>
      </c>
      <c r="AK32" s="11">
        <f t="shared" si="5"/>
        <v>1500</v>
      </c>
      <c r="AL32" s="11">
        <f t="shared" si="5"/>
        <v>1500</v>
      </c>
      <c r="AM32" s="11">
        <f t="shared" si="5"/>
        <v>1500</v>
      </c>
      <c r="AN32" s="11">
        <f t="shared" si="5"/>
        <v>1500</v>
      </c>
      <c r="AO32" s="11">
        <f t="shared" si="5"/>
        <v>1500</v>
      </c>
      <c r="AP32" s="11">
        <f t="shared" si="5"/>
        <v>1500</v>
      </c>
      <c r="AQ32" s="11">
        <f t="shared" si="5"/>
        <v>1500</v>
      </c>
      <c r="AR32" s="11">
        <f t="shared" si="5"/>
        <v>1500</v>
      </c>
      <c r="AS32" s="11"/>
      <c r="AT32" s="11">
        <f t="shared" si="0"/>
        <v>60000</v>
      </c>
      <c r="AU32" s="2">
        <f>C32-AT32</f>
        <v>0</v>
      </c>
      <c r="IS32" s="3"/>
    </row>
    <row r="33" spans="1:253">
      <c r="B33" s="2" t="s">
        <v>3</v>
      </c>
      <c r="C33" s="11">
        <f>SUM(E33:AS33)</f>
        <v>60000</v>
      </c>
      <c r="D33" s="11" t="s">
        <v>379</v>
      </c>
      <c r="E33" s="11">
        <f t="shared" si="2"/>
        <v>1500</v>
      </c>
      <c r="F33" s="11">
        <f t="shared" si="2"/>
        <v>1500</v>
      </c>
      <c r="G33" s="11">
        <f t="shared" si="2"/>
        <v>1500</v>
      </c>
      <c r="H33" s="11">
        <f t="shared" si="2"/>
        <v>1500</v>
      </c>
      <c r="I33" s="11">
        <f t="shared" si="2"/>
        <v>1500</v>
      </c>
      <c r="J33" s="11">
        <f t="shared" si="2"/>
        <v>1500</v>
      </c>
      <c r="K33" s="11">
        <f t="shared" si="2"/>
        <v>1500</v>
      </c>
      <c r="L33" s="11">
        <f t="shared" si="2"/>
        <v>1500</v>
      </c>
      <c r="M33" s="11">
        <f t="shared" si="2"/>
        <v>1500</v>
      </c>
      <c r="N33" s="11">
        <f t="shared" si="2"/>
        <v>1500</v>
      </c>
      <c r="O33" s="11">
        <f t="shared" si="3"/>
        <v>1500</v>
      </c>
      <c r="P33" s="11">
        <f t="shared" si="3"/>
        <v>1500</v>
      </c>
      <c r="Q33" s="11">
        <f t="shared" si="3"/>
        <v>1500</v>
      </c>
      <c r="R33" s="11">
        <f t="shared" si="3"/>
        <v>1500</v>
      </c>
      <c r="S33" s="11">
        <f t="shared" si="3"/>
        <v>1500</v>
      </c>
      <c r="T33" s="11">
        <f t="shared" si="3"/>
        <v>1500</v>
      </c>
      <c r="U33" s="11">
        <f t="shared" si="3"/>
        <v>1500</v>
      </c>
      <c r="V33" s="11">
        <f t="shared" si="3"/>
        <v>1500</v>
      </c>
      <c r="W33" s="11">
        <f t="shared" si="3"/>
        <v>1500</v>
      </c>
      <c r="X33" s="11">
        <f t="shared" si="3"/>
        <v>1500</v>
      </c>
      <c r="Y33" s="11">
        <f t="shared" si="4"/>
        <v>1500</v>
      </c>
      <c r="Z33" s="11">
        <f t="shared" si="4"/>
        <v>1500</v>
      </c>
      <c r="AA33" s="11">
        <f t="shared" si="4"/>
        <v>1500</v>
      </c>
      <c r="AB33" s="11">
        <f t="shared" si="4"/>
        <v>1500</v>
      </c>
      <c r="AC33" s="11">
        <f t="shared" si="4"/>
        <v>1500</v>
      </c>
      <c r="AD33" s="11">
        <f t="shared" si="4"/>
        <v>1500</v>
      </c>
      <c r="AE33" s="11">
        <f t="shared" si="4"/>
        <v>1500</v>
      </c>
      <c r="AF33" s="11">
        <f t="shared" si="4"/>
        <v>1500</v>
      </c>
      <c r="AG33" s="11">
        <f t="shared" si="4"/>
        <v>1500</v>
      </c>
      <c r="AH33" s="11">
        <f t="shared" si="4"/>
        <v>1500</v>
      </c>
      <c r="AI33" s="11">
        <f t="shared" si="5"/>
        <v>1500</v>
      </c>
      <c r="AJ33" s="11">
        <f t="shared" si="5"/>
        <v>1500</v>
      </c>
      <c r="AK33" s="11">
        <f t="shared" si="5"/>
        <v>1500</v>
      </c>
      <c r="AL33" s="11">
        <f t="shared" si="5"/>
        <v>1500</v>
      </c>
      <c r="AM33" s="11">
        <f t="shared" si="5"/>
        <v>1500</v>
      </c>
      <c r="AN33" s="11">
        <f t="shared" si="5"/>
        <v>1500</v>
      </c>
      <c r="AO33" s="11">
        <f t="shared" si="5"/>
        <v>1500</v>
      </c>
      <c r="AP33" s="11">
        <f t="shared" si="5"/>
        <v>1500</v>
      </c>
      <c r="AQ33" s="11">
        <f t="shared" si="5"/>
        <v>1500</v>
      </c>
      <c r="AR33" s="11">
        <f t="shared" si="5"/>
        <v>1500</v>
      </c>
      <c r="AS33" s="11"/>
      <c r="AT33" s="11">
        <f t="shared" si="0"/>
        <v>60000</v>
      </c>
      <c r="AU33" s="2">
        <f>C33-AT33</f>
        <v>0</v>
      </c>
      <c r="IS33" s="3"/>
    </row>
    <row r="34" spans="1:253">
      <c r="B34" s="2" t="s">
        <v>3</v>
      </c>
      <c r="C34" s="11">
        <f>SUM(E34:AS34)</f>
        <v>60000</v>
      </c>
      <c r="D34" s="11" t="s">
        <v>379</v>
      </c>
      <c r="E34" s="11">
        <f t="shared" si="2"/>
        <v>1500</v>
      </c>
      <c r="F34" s="11">
        <f t="shared" si="2"/>
        <v>1500</v>
      </c>
      <c r="G34" s="11">
        <f t="shared" si="2"/>
        <v>1500</v>
      </c>
      <c r="H34" s="11">
        <f t="shared" si="2"/>
        <v>1500</v>
      </c>
      <c r="I34" s="11">
        <f t="shared" si="2"/>
        <v>1500</v>
      </c>
      <c r="J34" s="11">
        <f t="shared" si="2"/>
        <v>1500</v>
      </c>
      <c r="K34" s="11">
        <f t="shared" si="2"/>
        <v>1500</v>
      </c>
      <c r="L34" s="11">
        <f t="shared" si="2"/>
        <v>1500</v>
      </c>
      <c r="M34" s="11">
        <f t="shared" si="2"/>
        <v>1500</v>
      </c>
      <c r="N34" s="11">
        <f t="shared" si="2"/>
        <v>1500</v>
      </c>
      <c r="O34" s="11">
        <f t="shared" si="3"/>
        <v>1500</v>
      </c>
      <c r="P34" s="11">
        <f t="shared" si="3"/>
        <v>1500</v>
      </c>
      <c r="Q34" s="11">
        <f t="shared" si="3"/>
        <v>1500</v>
      </c>
      <c r="R34" s="11">
        <f t="shared" si="3"/>
        <v>1500</v>
      </c>
      <c r="S34" s="11">
        <f t="shared" si="3"/>
        <v>1500</v>
      </c>
      <c r="T34" s="11">
        <f t="shared" si="3"/>
        <v>1500</v>
      </c>
      <c r="U34" s="11">
        <f t="shared" si="3"/>
        <v>1500</v>
      </c>
      <c r="V34" s="11">
        <f t="shared" si="3"/>
        <v>1500</v>
      </c>
      <c r="W34" s="11">
        <f t="shared" si="3"/>
        <v>1500</v>
      </c>
      <c r="X34" s="11">
        <f t="shared" si="3"/>
        <v>1500</v>
      </c>
      <c r="Y34" s="11">
        <f t="shared" si="4"/>
        <v>1500</v>
      </c>
      <c r="Z34" s="11">
        <f t="shared" si="4"/>
        <v>1500</v>
      </c>
      <c r="AA34" s="11">
        <f t="shared" si="4"/>
        <v>1500</v>
      </c>
      <c r="AB34" s="11">
        <f t="shared" si="4"/>
        <v>1500</v>
      </c>
      <c r="AC34" s="11">
        <f t="shared" si="4"/>
        <v>1500</v>
      </c>
      <c r="AD34" s="11">
        <f t="shared" si="4"/>
        <v>1500</v>
      </c>
      <c r="AE34" s="11">
        <f t="shared" si="4"/>
        <v>1500</v>
      </c>
      <c r="AF34" s="11">
        <f t="shared" si="4"/>
        <v>1500</v>
      </c>
      <c r="AG34" s="11">
        <f t="shared" si="4"/>
        <v>1500</v>
      </c>
      <c r="AH34" s="11">
        <f t="shared" si="4"/>
        <v>1500</v>
      </c>
      <c r="AI34" s="11">
        <f t="shared" si="5"/>
        <v>1500</v>
      </c>
      <c r="AJ34" s="11">
        <f t="shared" si="5"/>
        <v>1500</v>
      </c>
      <c r="AK34" s="11">
        <f t="shared" si="5"/>
        <v>1500</v>
      </c>
      <c r="AL34" s="11">
        <f t="shared" si="5"/>
        <v>1500</v>
      </c>
      <c r="AM34" s="11">
        <f t="shared" si="5"/>
        <v>1500</v>
      </c>
      <c r="AN34" s="11">
        <f t="shared" si="5"/>
        <v>1500</v>
      </c>
      <c r="AO34" s="11">
        <f t="shared" si="5"/>
        <v>1500</v>
      </c>
      <c r="AP34" s="11">
        <f t="shared" si="5"/>
        <v>1500</v>
      </c>
      <c r="AQ34" s="11">
        <f t="shared" si="5"/>
        <v>1500</v>
      </c>
      <c r="AR34" s="11">
        <f t="shared" si="5"/>
        <v>1500</v>
      </c>
      <c r="AS34" s="11"/>
      <c r="AT34" s="11">
        <f t="shared" si="0"/>
        <v>60000</v>
      </c>
      <c r="AU34" s="2">
        <f>C34-AT34</f>
        <v>0</v>
      </c>
      <c r="IS34" s="3"/>
    </row>
    <row r="35" spans="1:253" ht="15.75">
      <c r="A35" s="7">
        <v>7</v>
      </c>
      <c r="B35" s="7" t="s">
        <v>21</v>
      </c>
      <c r="C35" s="11">
        <f>SUM(E35:AS35)</f>
        <v>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>
        <f t="shared" si="0"/>
        <v>0</v>
      </c>
      <c r="AU35" s="2">
        <f>C35-AT35</f>
        <v>0</v>
      </c>
      <c r="IS35" s="3"/>
    </row>
    <row r="36" spans="1:253">
      <c r="B36" s="2" t="s">
        <v>281</v>
      </c>
      <c r="C36" s="11">
        <f>SUM(E36:AS36)</f>
        <v>39745.999999999993</v>
      </c>
      <c r="D36" s="11" t="s">
        <v>379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>X36+Y36</f>
        <v>15898.4</v>
      </c>
      <c r="W36" s="11"/>
      <c r="X36" s="11">
        <f>39746/5</f>
        <v>7949.2</v>
      </c>
      <c r="Y36" s="11">
        <f>39746/5</f>
        <v>7949.2</v>
      </c>
      <c r="Z36" s="11">
        <f>39746/5</f>
        <v>7949.2</v>
      </c>
      <c r="AA36" s="11">
        <f>39746/5</f>
        <v>7949.2</v>
      </c>
      <c r="AB36" s="11">
        <f>39746/5</f>
        <v>7949.2</v>
      </c>
      <c r="AC36" s="11"/>
      <c r="AD36" s="11"/>
      <c r="AE36" s="11"/>
      <c r="AF36" s="11"/>
      <c r="AG36" s="11"/>
      <c r="AH36" s="11"/>
      <c r="AI36" s="11"/>
      <c r="AJ36" s="11"/>
      <c r="AK36" s="11">
        <f>-V36</f>
        <v>-15898.4</v>
      </c>
      <c r="AL36" s="11"/>
      <c r="AM36" s="11"/>
      <c r="AN36" s="11"/>
      <c r="AO36" s="11"/>
      <c r="AP36" s="11"/>
      <c r="AQ36" s="11"/>
      <c r="AR36" s="11"/>
      <c r="AS36" s="11"/>
      <c r="AT36" s="11">
        <f t="shared" si="0"/>
        <v>39745.999999999993</v>
      </c>
      <c r="AU36" s="2">
        <f>C36-AT36</f>
        <v>0</v>
      </c>
      <c r="IS36" s="3"/>
    </row>
    <row r="37" spans="1:253">
      <c r="B37" s="2" t="s">
        <v>281</v>
      </c>
      <c r="C37" s="11">
        <f>SUM(E37:AS37)</f>
        <v>15918.999999999998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f t="shared" ref="V37:V67" si="6">X37+Y37</f>
        <v>6367.6</v>
      </c>
      <c r="W37" s="11"/>
      <c r="X37" s="11">
        <f>15919/5</f>
        <v>3183.8</v>
      </c>
      <c r="Y37" s="11">
        <f>15919/5</f>
        <v>3183.8</v>
      </c>
      <c r="Z37" s="11">
        <f>15919/5</f>
        <v>3183.8</v>
      </c>
      <c r="AA37" s="11">
        <f>15919/5</f>
        <v>3183.8</v>
      </c>
      <c r="AB37" s="11">
        <f>15919/5</f>
        <v>3183.8</v>
      </c>
      <c r="AC37" s="11"/>
      <c r="AD37" s="11"/>
      <c r="AE37" s="11"/>
      <c r="AF37" s="11"/>
      <c r="AG37" s="11"/>
      <c r="AH37" s="11"/>
      <c r="AI37" s="11"/>
      <c r="AJ37" s="11"/>
      <c r="AK37" s="11">
        <f t="shared" ref="AK37:AK67" si="7">-V37</f>
        <v>-6367.6</v>
      </c>
      <c r="AL37" s="11"/>
      <c r="AM37" s="11"/>
      <c r="AN37" s="11"/>
      <c r="AO37" s="11"/>
      <c r="AP37" s="11"/>
      <c r="AQ37" s="11"/>
      <c r="AR37" s="11"/>
      <c r="AS37" s="11"/>
      <c r="AT37" s="11">
        <f t="shared" si="0"/>
        <v>15918.999999999998</v>
      </c>
      <c r="AU37" s="2">
        <f>C37-AT37</f>
        <v>0</v>
      </c>
      <c r="IS37" s="3"/>
    </row>
    <row r="38" spans="1:253">
      <c r="B38" s="2" t="s">
        <v>281</v>
      </c>
      <c r="C38" s="11">
        <f>SUM(E38:AS38)</f>
        <v>14201.000000000002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f t="shared" si="6"/>
        <v>5680.4</v>
      </c>
      <c r="W38" s="11"/>
      <c r="X38" s="11">
        <f>14201/5</f>
        <v>2840.2</v>
      </c>
      <c r="Y38" s="11">
        <f>14201/5</f>
        <v>2840.2</v>
      </c>
      <c r="Z38" s="11">
        <f>14201/5</f>
        <v>2840.2</v>
      </c>
      <c r="AA38" s="11">
        <f>14201/5</f>
        <v>2840.2</v>
      </c>
      <c r="AB38" s="11">
        <f>14201/5</f>
        <v>2840.2</v>
      </c>
      <c r="AC38" s="11"/>
      <c r="AD38" s="11"/>
      <c r="AE38" s="11"/>
      <c r="AF38" s="11"/>
      <c r="AG38" s="11"/>
      <c r="AH38" s="11"/>
      <c r="AI38" s="11"/>
      <c r="AJ38" s="11"/>
      <c r="AK38" s="11">
        <f t="shared" si="7"/>
        <v>-5680.4</v>
      </c>
      <c r="AL38" s="11"/>
      <c r="AM38" s="11"/>
      <c r="AN38" s="11"/>
      <c r="AO38" s="11"/>
      <c r="AP38" s="11"/>
      <c r="AQ38" s="11"/>
      <c r="AR38" s="11"/>
      <c r="AS38" s="11"/>
      <c r="AT38" s="11">
        <f t="shared" si="0"/>
        <v>14201.000000000002</v>
      </c>
      <c r="AU38" s="2">
        <f>C38-AT38</f>
        <v>0</v>
      </c>
      <c r="IS38" s="3"/>
    </row>
    <row r="39" spans="1:253">
      <c r="B39" s="2" t="s">
        <v>281</v>
      </c>
      <c r="C39" s="11">
        <f>SUM(E39:AS39)</f>
        <v>12088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f t="shared" si="6"/>
        <v>4835.2</v>
      </c>
      <c r="W39" s="11"/>
      <c r="X39" s="11">
        <f>12088/5</f>
        <v>2417.6</v>
      </c>
      <c r="Y39" s="11">
        <f>12088/5</f>
        <v>2417.6</v>
      </c>
      <c r="Z39" s="11">
        <f>12088/5</f>
        <v>2417.6</v>
      </c>
      <c r="AA39" s="11">
        <f>12088/5</f>
        <v>2417.6</v>
      </c>
      <c r="AB39" s="11">
        <f>12088/5</f>
        <v>2417.6</v>
      </c>
      <c r="AC39" s="11"/>
      <c r="AD39" s="11"/>
      <c r="AE39" s="11"/>
      <c r="AF39" s="11"/>
      <c r="AG39" s="11"/>
      <c r="AH39" s="11"/>
      <c r="AI39" s="11"/>
      <c r="AJ39" s="11"/>
      <c r="AK39" s="11">
        <f t="shared" si="7"/>
        <v>-4835.2</v>
      </c>
      <c r="AL39" s="11"/>
      <c r="AM39" s="11"/>
      <c r="AN39" s="11"/>
      <c r="AO39" s="11"/>
      <c r="AP39" s="11"/>
      <c r="AQ39" s="11"/>
      <c r="AR39" s="11"/>
      <c r="AS39" s="11"/>
      <c r="AT39" s="11">
        <f t="shared" si="0"/>
        <v>12088</v>
      </c>
      <c r="AU39" s="2">
        <f>C39-AT39</f>
        <v>0</v>
      </c>
      <c r="IS39" s="3"/>
    </row>
    <row r="40" spans="1:253">
      <c r="B40" s="2" t="s">
        <v>281</v>
      </c>
      <c r="C40" s="11">
        <f>SUM(E40:AS40)</f>
        <v>5615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f t="shared" si="6"/>
        <v>2246</v>
      </c>
      <c r="W40" s="11"/>
      <c r="X40" s="11">
        <f>5615/5</f>
        <v>1123</v>
      </c>
      <c r="Y40" s="11">
        <f>5615/5</f>
        <v>1123</v>
      </c>
      <c r="Z40" s="11">
        <f>5615/5</f>
        <v>1123</v>
      </c>
      <c r="AA40" s="11">
        <f>5615/5</f>
        <v>1123</v>
      </c>
      <c r="AB40" s="11">
        <f>5615/5</f>
        <v>1123</v>
      </c>
      <c r="AC40" s="11"/>
      <c r="AD40" s="11"/>
      <c r="AE40" s="11"/>
      <c r="AF40" s="11"/>
      <c r="AG40" s="11"/>
      <c r="AH40" s="11"/>
      <c r="AI40" s="11"/>
      <c r="AJ40" s="11"/>
      <c r="AK40" s="11">
        <f t="shared" si="7"/>
        <v>-2246</v>
      </c>
      <c r="AL40" s="11"/>
      <c r="AM40" s="11"/>
      <c r="AN40" s="11"/>
      <c r="AO40" s="11"/>
      <c r="AP40" s="11"/>
      <c r="AQ40" s="11"/>
      <c r="AR40" s="11"/>
      <c r="AS40" s="11"/>
      <c r="AT40" s="11">
        <f t="shared" si="0"/>
        <v>5615</v>
      </c>
      <c r="AU40" s="2">
        <f>C40-AT40</f>
        <v>0</v>
      </c>
      <c r="IS40" s="3"/>
    </row>
    <row r="41" spans="1:253">
      <c r="B41" s="2" t="s">
        <v>22</v>
      </c>
      <c r="C41" s="11">
        <f>SUM(E41:AS41)</f>
        <v>3000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>
        <f>3000/5</f>
        <v>600</v>
      </c>
      <c r="Y41" s="11">
        <f>3000/5</f>
        <v>600</v>
      </c>
      <c r="Z41" s="11">
        <f>3000/5</f>
        <v>600</v>
      </c>
      <c r="AA41" s="11">
        <f>3000/5</f>
        <v>600</v>
      </c>
      <c r="AB41" s="11">
        <f>3000/5</f>
        <v>600</v>
      </c>
      <c r="AC41" s="11"/>
      <c r="AD41" s="11"/>
      <c r="AE41" s="11"/>
      <c r="AF41" s="11"/>
      <c r="AG41" s="11"/>
      <c r="AH41" s="11"/>
      <c r="AI41" s="11"/>
      <c r="AJ41" s="11"/>
      <c r="AK41" s="11">
        <f t="shared" si="7"/>
        <v>0</v>
      </c>
      <c r="AL41" s="11"/>
      <c r="AM41" s="11"/>
      <c r="AN41" s="11"/>
      <c r="AO41" s="11"/>
      <c r="AP41" s="11"/>
      <c r="AQ41" s="11"/>
      <c r="AR41" s="11"/>
      <c r="AS41" s="11"/>
      <c r="AT41" s="11">
        <f t="shared" si="0"/>
        <v>3000</v>
      </c>
      <c r="AU41" s="2">
        <f>C41-AT41</f>
        <v>0</v>
      </c>
      <c r="IS41" s="3"/>
    </row>
    <row r="42" spans="1:253">
      <c r="B42" s="2" t="s">
        <v>281</v>
      </c>
      <c r="C42" s="11">
        <f>SUM(E42:AS42)</f>
        <v>3290.9999999999995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f t="shared" si="6"/>
        <v>1316.4</v>
      </c>
      <c r="W42" s="11"/>
      <c r="X42" s="11">
        <f>3291/5</f>
        <v>658.2</v>
      </c>
      <c r="Y42" s="11">
        <f>3291/5</f>
        <v>658.2</v>
      </c>
      <c r="Z42" s="11">
        <f>3291/5</f>
        <v>658.2</v>
      </c>
      <c r="AA42" s="11">
        <f>3291/5</f>
        <v>658.2</v>
      </c>
      <c r="AB42" s="11">
        <f>3291/5</f>
        <v>658.2</v>
      </c>
      <c r="AC42" s="11"/>
      <c r="AD42" s="11"/>
      <c r="AE42" s="11"/>
      <c r="AF42" s="11"/>
      <c r="AG42" s="11"/>
      <c r="AH42" s="11"/>
      <c r="AI42" s="11"/>
      <c r="AJ42" s="11"/>
      <c r="AK42" s="11">
        <f t="shared" si="7"/>
        <v>-1316.4</v>
      </c>
      <c r="AL42" s="11"/>
      <c r="AM42" s="11"/>
      <c r="AN42" s="11"/>
      <c r="AO42" s="11"/>
      <c r="AP42" s="11"/>
      <c r="AQ42" s="11"/>
      <c r="AR42" s="11"/>
      <c r="AS42" s="11"/>
      <c r="AT42" s="11">
        <f t="shared" si="0"/>
        <v>3290.9999999999995</v>
      </c>
      <c r="AU42" s="2">
        <f>C42-AT42</f>
        <v>0</v>
      </c>
      <c r="IS42" s="3"/>
    </row>
    <row r="43" spans="1:253">
      <c r="B43" s="2" t="s">
        <v>281</v>
      </c>
      <c r="C43" s="11">
        <f>SUM(E43:AS43)</f>
        <v>3397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f t="shared" si="6"/>
        <v>1358.8</v>
      </c>
      <c r="W43" s="11"/>
      <c r="X43" s="11">
        <f>3397/5</f>
        <v>679.4</v>
      </c>
      <c r="Y43" s="11">
        <f>3397/5</f>
        <v>679.4</v>
      </c>
      <c r="Z43" s="11">
        <f>3397/5</f>
        <v>679.4</v>
      </c>
      <c r="AA43" s="11">
        <f>3397/5</f>
        <v>679.4</v>
      </c>
      <c r="AB43" s="11">
        <f>3397/5</f>
        <v>679.4</v>
      </c>
      <c r="AC43" s="11"/>
      <c r="AD43" s="11"/>
      <c r="AE43" s="11"/>
      <c r="AF43" s="11"/>
      <c r="AG43" s="11"/>
      <c r="AH43" s="11"/>
      <c r="AI43" s="11"/>
      <c r="AJ43" s="11"/>
      <c r="AK43" s="11">
        <f t="shared" si="7"/>
        <v>-1358.8</v>
      </c>
      <c r="AL43" s="11"/>
      <c r="AM43" s="11"/>
      <c r="AN43" s="11"/>
      <c r="AO43" s="11"/>
      <c r="AP43" s="11"/>
      <c r="AQ43" s="11"/>
      <c r="AR43" s="11"/>
      <c r="AS43" s="11"/>
      <c r="AT43" s="11">
        <f t="shared" si="0"/>
        <v>3397</v>
      </c>
      <c r="AU43" s="2">
        <f>C43-AT43</f>
        <v>0</v>
      </c>
      <c r="IS43" s="3"/>
    </row>
    <row r="44" spans="1:253">
      <c r="B44" s="2" t="s">
        <v>281</v>
      </c>
      <c r="C44" s="11">
        <f>SUM(E44:AS44)</f>
        <v>3183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>
        <f t="shared" si="6"/>
        <v>1273.2</v>
      </c>
      <c r="W44" s="11"/>
      <c r="X44" s="11">
        <f>3183/5</f>
        <v>636.6</v>
      </c>
      <c r="Y44" s="11">
        <f>3183/5</f>
        <v>636.6</v>
      </c>
      <c r="Z44" s="11">
        <f>3183/5</f>
        <v>636.6</v>
      </c>
      <c r="AA44" s="11">
        <f>3183/5</f>
        <v>636.6</v>
      </c>
      <c r="AB44" s="11">
        <f>3183/5</f>
        <v>636.6</v>
      </c>
      <c r="AC44" s="11"/>
      <c r="AD44" s="11"/>
      <c r="AE44" s="11"/>
      <c r="AF44" s="11"/>
      <c r="AG44" s="11"/>
      <c r="AH44" s="11"/>
      <c r="AI44" s="11"/>
      <c r="AJ44" s="11"/>
      <c r="AK44" s="11">
        <f t="shared" si="7"/>
        <v>-1273.2</v>
      </c>
      <c r="AL44" s="11"/>
      <c r="AM44" s="11"/>
      <c r="AN44" s="11"/>
      <c r="AO44" s="11"/>
      <c r="AP44" s="11"/>
      <c r="AQ44" s="11"/>
      <c r="AR44" s="11"/>
      <c r="AS44" s="11"/>
      <c r="AT44" s="11">
        <f t="shared" si="0"/>
        <v>3183</v>
      </c>
      <c r="AU44" s="2">
        <f>C44-AT44</f>
        <v>0</v>
      </c>
      <c r="IS44" s="3"/>
    </row>
    <row r="45" spans="1:253">
      <c r="B45" s="2" t="s">
        <v>281</v>
      </c>
      <c r="C45" s="11">
        <f>SUM(E45:AS45)</f>
        <v>3147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>
        <f t="shared" si="6"/>
        <v>1258.8</v>
      </c>
      <c r="W45" s="11"/>
      <c r="X45" s="11">
        <f>3147/5</f>
        <v>629.4</v>
      </c>
      <c r="Y45" s="11">
        <f>3147/5</f>
        <v>629.4</v>
      </c>
      <c r="Z45" s="11">
        <f>3147/5</f>
        <v>629.4</v>
      </c>
      <c r="AA45" s="11">
        <f>3147/5</f>
        <v>629.4</v>
      </c>
      <c r="AB45" s="11">
        <f>3147/5</f>
        <v>629.4</v>
      </c>
      <c r="AC45" s="11"/>
      <c r="AD45" s="11"/>
      <c r="AE45" s="11"/>
      <c r="AF45" s="11"/>
      <c r="AG45" s="11"/>
      <c r="AH45" s="11"/>
      <c r="AI45" s="11"/>
      <c r="AJ45" s="11"/>
      <c r="AK45" s="11">
        <f t="shared" si="7"/>
        <v>-1258.8</v>
      </c>
      <c r="AL45" s="11"/>
      <c r="AM45" s="11"/>
      <c r="AN45" s="11"/>
      <c r="AO45" s="11"/>
      <c r="AP45" s="11"/>
      <c r="AQ45" s="11"/>
      <c r="AR45" s="11"/>
      <c r="AS45" s="11"/>
      <c r="AT45" s="11">
        <f t="shared" si="0"/>
        <v>3147</v>
      </c>
      <c r="AU45" s="2">
        <f>C45-AT45</f>
        <v>0</v>
      </c>
      <c r="IS45" s="3"/>
    </row>
    <row r="46" spans="1:253">
      <c r="B46" s="2" t="s">
        <v>281</v>
      </c>
      <c r="C46" s="11">
        <f>SUM(E46:AS46)</f>
        <v>3360.9999999999995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>
        <f t="shared" si="6"/>
        <v>1344.4</v>
      </c>
      <c r="W46" s="11"/>
      <c r="X46" s="11">
        <f>3361/5</f>
        <v>672.2</v>
      </c>
      <c r="Y46" s="11">
        <f>3361/5</f>
        <v>672.2</v>
      </c>
      <c r="Z46" s="11">
        <f>3361/5</f>
        <v>672.2</v>
      </c>
      <c r="AA46" s="11">
        <f>3361/5</f>
        <v>672.2</v>
      </c>
      <c r="AB46" s="11">
        <f>3361/5</f>
        <v>672.2</v>
      </c>
      <c r="AC46" s="11"/>
      <c r="AD46" s="11"/>
      <c r="AE46" s="11"/>
      <c r="AF46" s="11"/>
      <c r="AG46" s="11"/>
      <c r="AH46" s="11"/>
      <c r="AI46" s="11"/>
      <c r="AJ46" s="11"/>
      <c r="AK46" s="11">
        <f t="shared" si="7"/>
        <v>-1344.4</v>
      </c>
      <c r="AL46" s="11"/>
      <c r="AM46" s="11"/>
      <c r="AN46" s="11"/>
      <c r="AO46" s="11"/>
      <c r="AP46" s="11"/>
      <c r="AQ46" s="11"/>
      <c r="AR46" s="11"/>
      <c r="AS46" s="11"/>
      <c r="AT46" s="11">
        <f t="shared" si="0"/>
        <v>3360.9999999999995</v>
      </c>
      <c r="AU46" s="2">
        <f>C46-AT46</f>
        <v>0</v>
      </c>
      <c r="IS46" s="3"/>
    </row>
    <row r="47" spans="1:253">
      <c r="B47" s="2" t="s">
        <v>281</v>
      </c>
      <c r="C47" s="11">
        <f>SUM(E47:AS47)</f>
        <v>2969.0000000000005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>
        <f t="shared" si="6"/>
        <v>1187.5999999999999</v>
      </c>
      <c r="W47" s="11"/>
      <c r="X47" s="11">
        <f>2969/5</f>
        <v>593.79999999999995</v>
      </c>
      <c r="Y47" s="11">
        <f>2969/5</f>
        <v>593.79999999999995</v>
      </c>
      <c r="Z47" s="11">
        <f>2969/5</f>
        <v>593.79999999999995</v>
      </c>
      <c r="AA47" s="11">
        <f>2969/5</f>
        <v>593.79999999999995</v>
      </c>
      <c r="AB47" s="11">
        <f>2969/5</f>
        <v>593.79999999999995</v>
      </c>
      <c r="AC47" s="11"/>
      <c r="AD47" s="11"/>
      <c r="AE47" s="11"/>
      <c r="AF47" s="11"/>
      <c r="AG47" s="11"/>
      <c r="AH47" s="11"/>
      <c r="AI47" s="11"/>
      <c r="AJ47" s="11"/>
      <c r="AK47" s="11">
        <f t="shared" si="7"/>
        <v>-1187.5999999999999</v>
      </c>
      <c r="AL47" s="11"/>
      <c r="AM47" s="11"/>
      <c r="AN47" s="11"/>
      <c r="AO47" s="11"/>
      <c r="AP47" s="11"/>
      <c r="AQ47" s="11"/>
      <c r="AR47" s="11"/>
      <c r="AS47" s="11"/>
      <c r="AT47" s="11">
        <f t="shared" si="0"/>
        <v>2969.0000000000005</v>
      </c>
      <c r="AU47" s="2">
        <f>C47-AT47</f>
        <v>0</v>
      </c>
      <c r="IS47" s="3"/>
    </row>
    <row r="48" spans="1:253">
      <c r="B48" s="2" t="s">
        <v>281</v>
      </c>
      <c r="C48" s="11">
        <f>SUM(E48:AS48)</f>
        <v>2899.0000000000005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>
        <f t="shared" si="6"/>
        <v>1159.5999999999999</v>
      </c>
      <c r="W48" s="11"/>
      <c r="X48" s="11">
        <f t="shared" ref="X48:AB49" si="8">2899/5</f>
        <v>579.79999999999995</v>
      </c>
      <c r="Y48" s="11">
        <f t="shared" si="8"/>
        <v>579.79999999999995</v>
      </c>
      <c r="Z48" s="11">
        <f t="shared" si="8"/>
        <v>579.79999999999995</v>
      </c>
      <c r="AA48" s="11">
        <f t="shared" si="8"/>
        <v>579.79999999999995</v>
      </c>
      <c r="AB48" s="11">
        <f t="shared" si="8"/>
        <v>579.79999999999995</v>
      </c>
      <c r="AC48" s="11"/>
      <c r="AD48" s="11"/>
      <c r="AE48" s="11"/>
      <c r="AF48" s="11"/>
      <c r="AG48" s="11"/>
      <c r="AH48" s="11"/>
      <c r="AI48" s="11"/>
      <c r="AJ48" s="11"/>
      <c r="AK48" s="11">
        <f t="shared" si="7"/>
        <v>-1159.5999999999999</v>
      </c>
      <c r="AL48" s="11"/>
      <c r="AM48" s="11"/>
      <c r="AN48" s="11"/>
      <c r="AO48" s="11"/>
      <c r="AP48" s="11"/>
      <c r="AQ48" s="11"/>
      <c r="AR48" s="11"/>
      <c r="AS48" s="11"/>
      <c r="AT48" s="11">
        <f t="shared" si="0"/>
        <v>2899.0000000000005</v>
      </c>
      <c r="AU48" s="2">
        <f>C48-AT48</f>
        <v>0</v>
      </c>
      <c r="IS48" s="3"/>
    </row>
    <row r="49" spans="2:253">
      <c r="B49" s="2" t="s">
        <v>281</v>
      </c>
      <c r="C49" s="11">
        <f>SUM(E49:AS49)</f>
        <v>2899.0000000000005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f t="shared" si="6"/>
        <v>1159.5999999999999</v>
      </c>
      <c r="W49" s="11"/>
      <c r="X49" s="11">
        <f t="shared" si="8"/>
        <v>579.79999999999995</v>
      </c>
      <c r="Y49" s="11">
        <f t="shared" si="8"/>
        <v>579.79999999999995</v>
      </c>
      <c r="Z49" s="11">
        <f t="shared" si="8"/>
        <v>579.79999999999995</v>
      </c>
      <c r="AA49" s="11">
        <f t="shared" si="8"/>
        <v>579.79999999999995</v>
      </c>
      <c r="AB49" s="11">
        <f t="shared" si="8"/>
        <v>579.79999999999995</v>
      </c>
      <c r="AC49" s="11"/>
      <c r="AD49" s="11"/>
      <c r="AE49" s="11"/>
      <c r="AF49" s="11"/>
      <c r="AG49" s="11"/>
      <c r="AH49" s="11"/>
      <c r="AI49" s="11"/>
      <c r="AJ49" s="11"/>
      <c r="AK49" s="11">
        <f t="shared" si="7"/>
        <v>-1159.5999999999999</v>
      </c>
      <c r="AL49" s="11"/>
      <c r="AM49" s="11"/>
      <c r="AN49" s="11"/>
      <c r="AO49" s="11"/>
      <c r="AP49" s="11"/>
      <c r="AQ49" s="11"/>
      <c r="AR49" s="11"/>
      <c r="AS49" s="11"/>
      <c r="AT49" s="11">
        <f t="shared" si="0"/>
        <v>2899.0000000000005</v>
      </c>
      <c r="AU49" s="2">
        <f>C49-AT49</f>
        <v>0</v>
      </c>
      <c r="IS49" s="3"/>
    </row>
    <row r="50" spans="2:253">
      <c r="B50" s="2" t="s">
        <v>281</v>
      </c>
      <c r="C50" s="11">
        <f>SUM(E50:AS50)</f>
        <v>3327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f t="shared" si="6"/>
        <v>1330.8</v>
      </c>
      <c r="W50" s="11"/>
      <c r="X50" s="11">
        <f>3327/5</f>
        <v>665.4</v>
      </c>
      <c r="Y50" s="11">
        <f>3327/5</f>
        <v>665.4</v>
      </c>
      <c r="Z50" s="11">
        <f>3327/5</f>
        <v>665.4</v>
      </c>
      <c r="AA50" s="11">
        <f>3327/5</f>
        <v>665.4</v>
      </c>
      <c r="AB50" s="11">
        <f>3327/5</f>
        <v>665.4</v>
      </c>
      <c r="AC50" s="11"/>
      <c r="AD50" s="11"/>
      <c r="AE50" s="11"/>
      <c r="AF50" s="11"/>
      <c r="AG50" s="11"/>
      <c r="AH50" s="11"/>
      <c r="AI50" s="11"/>
      <c r="AJ50" s="11"/>
      <c r="AK50" s="11">
        <f t="shared" si="7"/>
        <v>-1330.8</v>
      </c>
      <c r="AL50" s="11"/>
      <c r="AM50" s="11"/>
      <c r="AN50" s="11"/>
      <c r="AO50" s="11"/>
      <c r="AP50" s="11"/>
      <c r="AQ50" s="11"/>
      <c r="AR50" s="11"/>
      <c r="AS50" s="11"/>
      <c r="AT50" s="11">
        <f t="shared" si="0"/>
        <v>3327</v>
      </c>
      <c r="AU50" s="2">
        <f>C50-AT50</f>
        <v>0</v>
      </c>
      <c r="IS50" s="3"/>
    </row>
    <row r="51" spans="2:253">
      <c r="B51" s="2" t="s">
        <v>281</v>
      </c>
      <c r="C51" s="11">
        <f>SUM(E51:AS51)</f>
        <v>1932.0000000000002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>
        <f t="shared" si="6"/>
        <v>772.8</v>
      </c>
      <c r="W51" s="11"/>
      <c r="X51" s="11">
        <f>1932/5</f>
        <v>386.4</v>
      </c>
      <c r="Y51" s="11">
        <f>1932/5</f>
        <v>386.4</v>
      </c>
      <c r="Z51" s="11">
        <f>1932/5</f>
        <v>386.4</v>
      </c>
      <c r="AA51" s="11">
        <f>1932/5</f>
        <v>386.4</v>
      </c>
      <c r="AB51" s="11">
        <f>1932/5</f>
        <v>386.4</v>
      </c>
      <c r="AC51" s="11"/>
      <c r="AD51" s="11"/>
      <c r="AE51" s="11"/>
      <c r="AF51" s="11"/>
      <c r="AG51" s="11"/>
      <c r="AH51" s="11"/>
      <c r="AI51" s="11"/>
      <c r="AJ51" s="11"/>
      <c r="AK51" s="11">
        <f t="shared" si="7"/>
        <v>-772.8</v>
      </c>
      <c r="AL51" s="11"/>
      <c r="AM51" s="11"/>
      <c r="AN51" s="11"/>
      <c r="AO51" s="11"/>
      <c r="AP51" s="11"/>
      <c r="AQ51" s="11"/>
      <c r="AR51" s="11"/>
      <c r="AS51" s="11"/>
      <c r="AT51" s="11">
        <f t="shared" si="0"/>
        <v>1932.0000000000002</v>
      </c>
      <c r="AU51" s="2">
        <f>C51-AT51</f>
        <v>0</v>
      </c>
      <c r="IS51" s="3"/>
    </row>
    <row r="52" spans="2:253">
      <c r="B52" s="2" t="s">
        <v>281</v>
      </c>
      <c r="C52" s="11">
        <f>SUM(E52:AS52)</f>
        <v>1862.0000000000002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>
        <f t="shared" si="6"/>
        <v>744.8</v>
      </c>
      <c r="W52" s="11"/>
      <c r="X52" s="11">
        <f t="shared" ref="X52:AB56" si="9">1862/5</f>
        <v>372.4</v>
      </c>
      <c r="Y52" s="11">
        <f t="shared" si="9"/>
        <v>372.4</v>
      </c>
      <c r="Z52" s="11">
        <f t="shared" si="9"/>
        <v>372.4</v>
      </c>
      <c r="AA52" s="11">
        <f t="shared" si="9"/>
        <v>372.4</v>
      </c>
      <c r="AB52" s="11">
        <f t="shared" si="9"/>
        <v>372.4</v>
      </c>
      <c r="AC52" s="11"/>
      <c r="AD52" s="11"/>
      <c r="AE52" s="11"/>
      <c r="AF52" s="11"/>
      <c r="AG52" s="11"/>
      <c r="AH52" s="11"/>
      <c r="AI52" s="11"/>
      <c r="AJ52" s="11"/>
      <c r="AK52" s="11">
        <f t="shared" si="7"/>
        <v>-744.8</v>
      </c>
      <c r="AL52" s="11"/>
      <c r="AM52" s="11"/>
      <c r="AN52" s="11"/>
      <c r="AO52" s="11"/>
      <c r="AP52" s="11"/>
      <c r="AQ52" s="11"/>
      <c r="AR52" s="11"/>
      <c r="AS52" s="11"/>
      <c r="AT52" s="11">
        <f t="shared" si="0"/>
        <v>1862.0000000000002</v>
      </c>
      <c r="AU52" s="2">
        <f>C52-AT52</f>
        <v>0</v>
      </c>
      <c r="IS52" s="3"/>
    </row>
    <row r="53" spans="2:253">
      <c r="B53" s="2" t="s">
        <v>281</v>
      </c>
      <c r="C53" s="11">
        <f>SUM(E53:AS53)</f>
        <v>1862.0000000000002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>
        <f t="shared" si="6"/>
        <v>744.8</v>
      </c>
      <c r="W53" s="11"/>
      <c r="X53" s="11">
        <f t="shared" si="9"/>
        <v>372.4</v>
      </c>
      <c r="Y53" s="11">
        <f t="shared" si="9"/>
        <v>372.4</v>
      </c>
      <c r="Z53" s="11">
        <f t="shared" si="9"/>
        <v>372.4</v>
      </c>
      <c r="AA53" s="11">
        <f t="shared" si="9"/>
        <v>372.4</v>
      </c>
      <c r="AB53" s="11">
        <f t="shared" si="9"/>
        <v>372.4</v>
      </c>
      <c r="AC53" s="11"/>
      <c r="AD53" s="11"/>
      <c r="AE53" s="11"/>
      <c r="AF53" s="11"/>
      <c r="AG53" s="11"/>
      <c r="AH53" s="11"/>
      <c r="AI53" s="11"/>
      <c r="AJ53" s="11"/>
      <c r="AK53" s="11">
        <f t="shared" si="7"/>
        <v>-744.8</v>
      </c>
      <c r="AL53" s="11"/>
      <c r="AM53" s="11"/>
      <c r="AN53" s="11"/>
      <c r="AO53" s="11"/>
      <c r="AP53" s="11"/>
      <c r="AQ53" s="11"/>
      <c r="AR53" s="11"/>
      <c r="AS53" s="11"/>
      <c r="AT53" s="11">
        <f t="shared" si="0"/>
        <v>1862.0000000000002</v>
      </c>
      <c r="AU53" s="2">
        <f>C53-AT53</f>
        <v>0</v>
      </c>
      <c r="IS53" s="3"/>
    </row>
    <row r="54" spans="2:253">
      <c r="B54" s="2" t="s">
        <v>281</v>
      </c>
      <c r="C54" s="11">
        <f>SUM(E54:AS54)</f>
        <v>1862.0000000000002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>
        <f t="shared" si="6"/>
        <v>744.8</v>
      </c>
      <c r="W54" s="11"/>
      <c r="X54" s="11">
        <f t="shared" si="9"/>
        <v>372.4</v>
      </c>
      <c r="Y54" s="11">
        <f t="shared" si="9"/>
        <v>372.4</v>
      </c>
      <c r="Z54" s="11">
        <f t="shared" si="9"/>
        <v>372.4</v>
      </c>
      <c r="AA54" s="11">
        <f t="shared" si="9"/>
        <v>372.4</v>
      </c>
      <c r="AB54" s="11">
        <f t="shared" si="9"/>
        <v>372.4</v>
      </c>
      <c r="AC54" s="11"/>
      <c r="AD54" s="11"/>
      <c r="AE54" s="11"/>
      <c r="AF54" s="11"/>
      <c r="AG54" s="11"/>
      <c r="AH54" s="11"/>
      <c r="AI54" s="11"/>
      <c r="AJ54" s="11"/>
      <c r="AK54" s="11">
        <f t="shared" si="7"/>
        <v>-744.8</v>
      </c>
      <c r="AL54" s="11"/>
      <c r="AM54" s="11"/>
      <c r="AN54" s="11"/>
      <c r="AO54" s="11"/>
      <c r="AP54" s="11"/>
      <c r="AQ54" s="11"/>
      <c r="AR54" s="11"/>
      <c r="AS54" s="11"/>
      <c r="AT54" s="11">
        <f t="shared" si="0"/>
        <v>1862.0000000000002</v>
      </c>
      <c r="AU54" s="2">
        <f>C54-AT54</f>
        <v>0</v>
      </c>
      <c r="IS54" s="3"/>
    </row>
    <row r="55" spans="2:253">
      <c r="B55" s="2" t="s">
        <v>281</v>
      </c>
      <c r="C55" s="11">
        <f>SUM(E55:AS55)</f>
        <v>1862.0000000000002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>
        <f t="shared" si="6"/>
        <v>744.8</v>
      </c>
      <c r="W55" s="11"/>
      <c r="X55" s="11">
        <f t="shared" si="9"/>
        <v>372.4</v>
      </c>
      <c r="Y55" s="11">
        <f t="shared" si="9"/>
        <v>372.4</v>
      </c>
      <c r="Z55" s="11">
        <f t="shared" si="9"/>
        <v>372.4</v>
      </c>
      <c r="AA55" s="11">
        <f t="shared" si="9"/>
        <v>372.4</v>
      </c>
      <c r="AB55" s="11">
        <f t="shared" si="9"/>
        <v>372.4</v>
      </c>
      <c r="AC55" s="11"/>
      <c r="AD55" s="11"/>
      <c r="AE55" s="11"/>
      <c r="AF55" s="11"/>
      <c r="AG55" s="11"/>
      <c r="AH55" s="11"/>
      <c r="AI55" s="11"/>
      <c r="AJ55" s="11"/>
      <c r="AK55" s="11">
        <f t="shared" si="7"/>
        <v>-744.8</v>
      </c>
      <c r="AL55" s="11"/>
      <c r="AM55" s="11"/>
      <c r="AN55" s="11"/>
      <c r="AO55" s="11"/>
      <c r="AP55" s="11"/>
      <c r="AQ55" s="11"/>
      <c r="AR55" s="11"/>
      <c r="AS55" s="11"/>
      <c r="AT55" s="11">
        <f t="shared" si="0"/>
        <v>1862.0000000000002</v>
      </c>
      <c r="AU55" s="2">
        <f>C55-AT55</f>
        <v>0</v>
      </c>
      <c r="IS55" s="3"/>
    </row>
    <row r="56" spans="2:253">
      <c r="B56" s="2" t="s">
        <v>281</v>
      </c>
      <c r="C56" s="11">
        <f>SUM(E56:AS56)</f>
        <v>1862.0000000000002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>
        <f t="shared" si="6"/>
        <v>744.8</v>
      </c>
      <c r="W56" s="11"/>
      <c r="X56" s="11">
        <f t="shared" si="9"/>
        <v>372.4</v>
      </c>
      <c r="Y56" s="11">
        <f t="shared" si="9"/>
        <v>372.4</v>
      </c>
      <c r="Z56" s="11">
        <f t="shared" si="9"/>
        <v>372.4</v>
      </c>
      <c r="AA56" s="11">
        <f t="shared" si="9"/>
        <v>372.4</v>
      </c>
      <c r="AB56" s="11">
        <f t="shared" si="9"/>
        <v>372.4</v>
      </c>
      <c r="AC56" s="11"/>
      <c r="AD56" s="11"/>
      <c r="AE56" s="11"/>
      <c r="AF56" s="11"/>
      <c r="AG56" s="11"/>
      <c r="AH56" s="11"/>
      <c r="AI56" s="11"/>
      <c r="AJ56" s="11"/>
      <c r="AK56" s="11">
        <f t="shared" si="7"/>
        <v>-744.8</v>
      </c>
      <c r="AL56" s="11"/>
      <c r="AM56" s="11"/>
      <c r="AN56" s="11"/>
      <c r="AO56" s="11"/>
      <c r="AP56" s="11"/>
      <c r="AQ56" s="11"/>
      <c r="AR56" s="11"/>
      <c r="AS56" s="11"/>
      <c r="AT56" s="11">
        <f t="shared" si="0"/>
        <v>1862.0000000000002</v>
      </c>
      <c r="AU56" s="2">
        <f>C56-AT56</f>
        <v>0</v>
      </c>
      <c r="IS56" s="3"/>
    </row>
    <row r="57" spans="2:253">
      <c r="B57" s="2" t="s">
        <v>281</v>
      </c>
      <c r="C57" s="11">
        <f>SUM(E57:AS57)</f>
        <v>2075.9999999999995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>
        <f t="shared" si="6"/>
        <v>830.4</v>
      </c>
      <c r="W57" s="11"/>
      <c r="X57" s="11">
        <f>2076/5</f>
        <v>415.2</v>
      </c>
      <c r="Y57" s="11">
        <f>2076/5</f>
        <v>415.2</v>
      </c>
      <c r="Z57" s="11">
        <f>2076/5</f>
        <v>415.2</v>
      </c>
      <c r="AA57" s="11">
        <f>2076/5</f>
        <v>415.2</v>
      </c>
      <c r="AB57" s="11">
        <f>2076/5</f>
        <v>415.2</v>
      </c>
      <c r="AC57" s="11"/>
      <c r="AD57" s="11"/>
      <c r="AE57" s="11"/>
      <c r="AF57" s="11"/>
      <c r="AG57" s="11"/>
      <c r="AH57" s="11"/>
      <c r="AI57" s="11"/>
      <c r="AJ57" s="11"/>
      <c r="AK57" s="11">
        <f t="shared" si="7"/>
        <v>-830.4</v>
      </c>
      <c r="AL57" s="11"/>
      <c r="AM57" s="11"/>
      <c r="AN57" s="11"/>
      <c r="AO57" s="11"/>
      <c r="AP57" s="11"/>
      <c r="AQ57" s="11"/>
      <c r="AR57" s="11"/>
      <c r="AS57" s="11"/>
      <c r="AT57" s="11">
        <f t="shared" si="0"/>
        <v>2075.9999999999995</v>
      </c>
      <c r="AU57" s="2">
        <f>C57-AT57</f>
        <v>0</v>
      </c>
      <c r="IS57" s="3"/>
    </row>
    <row r="58" spans="2:253">
      <c r="B58" s="2" t="s">
        <v>281</v>
      </c>
      <c r="C58" s="11">
        <f>SUM(E58:AS58)</f>
        <v>1895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>
        <f t="shared" si="6"/>
        <v>758</v>
      </c>
      <c r="W58" s="11"/>
      <c r="X58" s="11">
        <f>1895/5</f>
        <v>379</v>
      </c>
      <c r="Y58" s="11">
        <f>1895/5</f>
        <v>379</v>
      </c>
      <c r="Z58" s="11">
        <f>1895/5</f>
        <v>379</v>
      </c>
      <c r="AA58" s="11">
        <f>1895/5</f>
        <v>379</v>
      </c>
      <c r="AB58" s="11">
        <f>1895/5</f>
        <v>379</v>
      </c>
      <c r="AC58" s="11"/>
      <c r="AD58" s="11"/>
      <c r="AE58" s="11"/>
      <c r="AF58" s="11"/>
      <c r="AG58" s="11"/>
      <c r="AH58" s="11"/>
      <c r="AI58" s="11"/>
      <c r="AJ58" s="11"/>
      <c r="AK58" s="11">
        <f t="shared" si="7"/>
        <v>-758</v>
      </c>
      <c r="AL58" s="11"/>
      <c r="AM58" s="11"/>
      <c r="AN58" s="11"/>
      <c r="AO58" s="11"/>
      <c r="AP58" s="11"/>
      <c r="AQ58" s="11"/>
      <c r="AR58" s="11"/>
      <c r="AS58" s="11"/>
      <c r="AT58" s="11">
        <f t="shared" si="0"/>
        <v>1895</v>
      </c>
      <c r="AU58" s="2">
        <f>C58-AT58</f>
        <v>0</v>
      </c>
      <c r="IS58" s="3"/>
    </row>
    <row r="59" spans="2:253">
      <c r="B59" s="2" t="s">
        <v>281</v>
      </c>
      <c r="C59" s="11">
        <f>SUM(E59:AS59)</f>
        <v>1862.0000000000002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>
        <f t="shared" si="6"/>
        <v>744.8</v>
      </c>
      <c r="W59" s="11"/>
      <c r="X59" s="11">
        <f t="shared" ref="X59:AB60" si="10">1862/5</f>
        <v>372.4</v>
      </c>
      <c r="Y59" s="11">
        <f t="shared" si="10"/>
        <v>372.4</v>
      </c>
      <c r="Z59" s="11">
        <f t="shared" si="10"/>
        <v>372.4</v>
      </c>
      <c r="AA59" s="11">
        <f t="shared" si="10"/>
        <v>372.4</v>
      </c>
      <c r="AB59" s="11">
        <f t="shared" si="10"/>
        <v>372.4</v>
      </c>
      <c r="AC59" s="11"/>
      <c r="AD59" s="11"/>
      <c r="AE59" s="11"/>
      <c r="AF59" s="11"/>
      <c r="AG59" s="11"/>
      <c r="AH59" s="11"/>
      <c r="AI59" s="11"/>
      <c r="AJ59" s="11"/>
      <c r="AK59" s="11">
        <f t="shared" si="7"/>
        <v>-744.8</v>
      </c>
      <c r="AL59" s="11"/>
      <c r="AM59" s="11"/>
      <c r="AN59" s="11"/>
      <c r="AO59" s="11"/>
      <c r="AP59" s="11"/>
      <c r="AQ59" s="11"/>
      <c r="AR59" s="11"/>
      <c r="AS59" s="11"/>
      <c r="AT59" s="11">
        <f t="shared" si="0"/>
        <v>1862.0000000000002</v>
      </c>
      <c r="AU59" s="2">
        <f>C59-AT59</f>
        <v>0</v>
      </c>
      <c r="IS59" s="3"/>
    </row>
    <row r="60" spans="2:253">
      <c r="B60" s="2" t="s">
        <v>281</v>
      </c>
      <c r="C60" s="11">
        <f>SUM(E60:AS60)</f>
        <v>1862.0000000000002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>
        <f t="shared" si="6"/>
        <v>744.8</v>
      </c>
      <c r="W60" s="11"/>
      <c r="X60" s="11">
        <f t="shared" si="10"/>
        <v>372.4</v>
      </c>
      <c r="Y60" s="11">
        <f t="shared" si="10"/>
        <v>372.4</v>
      </c>
      <c r="Z60" s="11">
        <f t="shared" si="10"/>
        <v>372.4</v>
      </c>
      <c r="AA60" s="11">
        <f t="shared" si="10"/>
        <v>372.4</v>
      </c>
      <c r="AB60" s="11">
        <f t="shared" si="10"/>
        <v>372.4</v>
      </c>
      <c r="AC60" s="11"/>
      <c r="AD60" s="11"/>
      <c r="AE60" s="11"/>
      <c r="AF60" s="11"/>
      <c r="AG60" s="11"/>
      <c r="AH60" s="11"/>
      <c r="AI60" s="11"/>
      <c r="AJ60" s="11"/>
      <c r="AK60" s="11">
        <f t="shared" si="7"/>
        <v>-744.8</v>
      </c>
      <c r="AL60" s="11"/>
      <c r="AM60" s="11"/>
      <c r="AN60" s="11"/>
      <c r="AO60" s="11"/>
      <c r="AP60" s="11"/>
      <c r="AQ60" s="11"/>
      <c r="AR60" s="11"/>
      <c r="AS60" s="11"/>
      <c r="AT60" s="11">
        <f t="shared" si="0"/>
        <v>1862.0000000000002</v>
      </c>
      <c r="AU60" s="2">
        <f>C60-AT60</f>
        <v>0</v>
      </c>
      <c r="IS60" s="3"/>
    </row>
    <row r="61" spans="2:253">
      <c r="B61" s="2" t="s">
        <v>281</v>
      </c>
      <c r="C61" s="11">
        <f>SUM(E61:AS61)</f>
        <v>2075.9999999999995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>
        <f t="shared" si="6"/>
        <v>830.4</v>
      </c>
      <c r="W61" s="11"/>
      <c r="X61" s="11">
        <f>2076/5</f>
        <v>415.2</v>
      </c>
      <c r="Y61" s="11">
        <f>2076/5</f>
        <v>415.2</v>
      </c>
      <c r="Z61" s="11">
        <f>2076/5</f>
        <v>415.2</v>
      </c>
      <c r="AA61" s="11">
        <f>2076/5</f>
        <v>415.2</v>
      </c>
      <c r="AB61" s="11">
        <f>2076/5</f>
        <v>415.2</v>
      </c>
      <c r="AC61" s="11"/>
      <c r="AD61" s="11"/>
      <c r="AE61" s="11"/>
      <c r="AF61" s="11"/>
      <c r="AG61" s="11"/>
      <c r="AH61" s="11"/>
      <c r="AI61" s="11"/>
      <c r="AJ61" s="11"/>
      <c r="AK61" s="11">
        <f t="shared" si="7"/>
        <v>-830.4</v>
      </c>
      <c r="AL61" s="11"/>
      <c r="AM61" s="11"/>
      <c r="AN61" s="11"/>
      <c r="AO61" s="11"/>
      <c r="AP61" s="11"/>
      <c r="AQ61" s="11"/>
      <c r="AR61" s="11"/>
      <c r="AS61" s="11"/>
      <c r="AT61" s="11">
        <f t="shared" si="0"/>
        <v>2075.9999999999995</v>
      </c>
      <c r="AU61" s="2">
        <f>C61-AT61</f>
        <v>0</v>
      </c>
      <c r="IS61" s="3"/>
    </row>
    <row r="62" spans="2:253">
      <c r="B62" s="2" t="s">
        <v>281</v>
      </c>
      <c r="C62" s="11">
        <f>SUM(E62:AS62)</f>
        <v>1895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>
        <f t="shared" si="6"/>
        <v>758</v>
      </c>
      <c r="W62" s="11"/>
      <c r="X62" s="11">
        <f>1895/5</f>
        <v>379</v>
      </c>
      <c r="Y62" s="11">
        <f>1895/5</f>
        <v>379</v>
      </c>
      <c r="Z62" s="11">
        <f>1895/5</f>
        <v>379</v>
      </c>
      <c r="AA62" s="11">
        <f>1895/5</f>
        <v>379</v>
      </c>
      <c r="AB62" s="11">
        <f>1895/5</f>
        <v>379</v>
      </c>
      <c r="AC62" s="11"/>
      <c r="AD62" s="11"/>
      <c r="AE62" s="11"/>
      <c r="AF62" s="11"/>
      <c r="AG62" s="11"/>
      <c r="AH62" s="11"/>
      <c r="AI62" s="11"/>
      <c r="AJ62" s="11"/>
      <c r="AK62" s="11">
        <f t="shared" si="7"/>
        <v>-758</v>
      </c>
      <c r="AL62" s="11"/>
      <c r="AM62" s="11"/>
      <c r="AN62" s="11"/>
      <c r="AO62" s="11"/>
      <c r="AP62" s="11"/>
      <c r="AQ62" s="11"/>
      <c r="AR62" s="11"/>
      <c r="AS62" s="11"/>
      <c r="AT62" s="11">
        <f t="shared" si="0"/>
        <v>1895</v>
      </c>
      <c r="AU62" s="2">
        <f>C62-AT62</f>
        <v>0</v>
      </c>
      <c r="IS62" s="3"/>
    </row>
    <row r="63" spans="2:253">
      <c r="B63" s="2" t="s">
        <v>281</v>
      </c>
      <c r="C63" s="11">
        <f>SUM(E63:AS63)</f>
        <v>1862.0000000000002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>
        <f t="shared" si="6"/>
        <v>744.8</v>
      </c>
      <c r="W63" s="11"/>
      <c r="X63" s="11">
        <f>1862/5</f>
        <v>372.4</v>
      </c>
      <c r="Y63" s="11">
        <f>1862/5</f>
        <v>372.4</v>
      </c>
      <c r="Z63" s="11">
        <f>1862/5</f>
        <v>372.4</v>
      </c>
      <c r="AA63" s="11">
        <f>1862/5</f>
        <v>372.4</v>
      </c>
      <c r="AB63" s="11">
        <f>1862/5</f>
        <v>372.4</v>
      </c>
      <c r="AC63" s="11"/>
      <c r="AD63" s="11"/>
      <c r="AE63" s="11"/>
      <c r="AF63" s="11"/>
      <c r="AG63" s="11"/>
      <c r="AH63" s="11"/>
      <c r="AI63" s="11"/>
      <c r="AJ63" s="11"/>
      <c r="AK63" s="11">
        <f t="shared" si="7"/>
        <v>-744.8</v>
      </c>
      <c r="AL63" s="11"/>
      <c r="AM63" s="11"/>
      <c r="AN63" s="11"/>
      <c r="AO63" s="11"/>
      <c r="AP63" s="11"/>
      <c r="AQ63" s="11"/>
      <c r="AR63" s="11"/>
      <c r="AS63" s="11"/>
      <c r="AT63" s="11">
        <f t="shared" si="0"/>
        <v>1862.0000000000002</v>
      </c>
      <c r="AU63" s="2">
        <f>C63-AT63</f>
        <v>0</v>
      </c>
      <c r="IS63" s="3"/>
    </row>
    <row r="64" spans="2:253">
      <c r="B64" s="2" t="s">
        <v>281</v>
      </c>
      <c r="C64" s="11">
        <f>SUM(E64:AS64)</f>
        <v>150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>
        <f t="shared" si="6"/>
        <v>60</v>
      </c>
      <c r="W64" s="11"/>
      <c r="X64" s="11">
        <f t="shared" ref="X64:AB65" si="11">150/5</f>
        <v>30</v>
      </c>
      <c r="Y64" s="11">
        <f t="shared" si="11"/>
        <v>30</v>
      </c>
      <c r="Z64" s="11">
        <f t="shared" si="11"/>
        <v>30</v>
      </c>
      <c r="AA64" s="11">
        <f t="shared" si="11"/>
        <v>30</v>
      </c>
      <c r="AB64" s="11">
        <f t="shared" si="11"/>
        <v>30</v>
      </c>
      <c r="AC64" s="11"/>
      <c r="AD64" s="11"/>
      <c r="AE64" s="11"/>
      <c r="AF64" s="11"/>
      <c r="AG64" s="11"/>
      <c r="AH64" s="11"/>
      <c r="AI64" s="11"/>
      <c r="AJ64" s="11"/>
      <c r="AK64" s="11">
        <f t="shared" si="7"/>
        <v>-60</v>
      </c>
      <c r="AL64" s="11"/>
      <c r="AM64" s="11"/>
      <c r="AN64" s="11"/>
      <c r="AO64" s="11"/>
      <c r="AP64" s="11"/>
      <c r="AQ64" s="11"/>
      <c r="AR64" s="11"/>
      <c r="AS64" s="11"/>
      <c r="AT64" s="11">
        <f t="shared" si="0"/>
        <v>150</v>
      </c>
      <c r="AU64" s="2">
        <f>C64-AT64</f>
        <v>0</v>
      </c>
      <c r="IS64" s="3"/>
    </row>
    <row r="65" spans="1:253">
      <c r="B65" s="2" t="s">
        <v>281</v>
      </c>
      <c r="C65" s="11">
        <f>SUM(E65:AS65)</f>
        <v>150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>
        <f t="shared" si="6"/>
        <v>60</v>
      </c>
      <c r="W65" s="11"/>
      <c r="X65" s="11">
        <f t="shared" si="11"/>
        <v>30</v>
      </c>
      <c r="Y65" s="11">
        <f t="shared" si="11"/>
        <v>30</v>
      </c>
      <c r="Z65" s="11">
        <f t="shared" si="11"/>
        <v>30</v>
      </c>
      <c r="AA65" s="11">
        <f t="shared" si="11"/>
        <v>30</v>
      </c>
      <c r="AB65" s="11">
        <f t="shared" si="11"/>
        <v>30</v>
      </c>
      <c r="AC65" s="11"/>
      <c r="AD65" s="11"/>
      <c r="AE65" s="11"/>
      <c r="AF65" s="11"/>
      <c r="AG65" s="11"/>
      <c r="AH65" s="11"/>
      <c r="AI65" s="11"/>
      <c r="AJ65" s="11"/>
      <c r="AK65" s="11">
        <f t="shared" si="7"/>
        <v>-60</v>
      </c>
      <c r="AL65" s="11"/>
      <c r="AM65" s="11"/>
      <c r="AN65" s="11"/>
      <c r="AO65" s="11"/>
      <c r="AP65" s="11"/>
      <c r="AQ65" s="11"/>
      <c r="AR65" s="11"/>
      <c r="AS65" s="11"/>
      <c r="AT65" s="11">
        <f t="shared" si="0"/>
        <v>150</v>
      </c>
      <c r="AU65" s="2">
        <f>C65-AT65</f>
        <v>0</v>
      </c>
      <c r="IS65" s="3"/>
    </row>
    <row r="66" spans="1:253">
      <c r="B66" s="2" t="s">
        <v>281</v>
      </c>
      <c r="C66" s="11">
        <f>SUM(E66:AS66)</f>
        <v>200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>
        <f t="shared" si="6"/>
        <v>80</v>
      </c>
      <c r="W66" s="11"/>
      <c r="X66" s="11">
        <f t="shared" ref="X66:AB67" si="12">200/5</f>
        <v>40</v>
      </c>
      <c r="Y66" s="11">
        <f t="shared" si="12"/>
        <v>40</v>
      </c>
      <c r="Z66" s="11">
        <f t="shared" si="12"/>
        <v>40</v>
      </c>
      <c r="AA66" s="11">
        <f t="shared" si="12"/>
        <v>40</v>
      </c>
      <c r="AB66" s="11">
        <f t="shared" si="12"/>
        <v>40</v>
      </c>
      <c r="AC66" s="11"/>
      <c r="AD66" s="11"/>
      <c r="AE66" s="11"/>
      <c r="AF66" s="11"/>
      <c r="AG66" s="11"/>
      <c r="AH66" s="11"/>
      <c r="AI66" s="11"/>
      <c r="AJ66" s="11"/>
      <c r="AK66" s="11">
        <f t="shared" si="7"/>
        <v>-80</v>
      </c>
      <c r="AL66" s="11"/>
      <c r="AM66" s="11"/>
      <c r="AN66" s="11"/>
      <c r="AO66" s="11"/>
      <c r="AP66" s="11"/>
      <c r="AQ66" s="11"/>
      <c r="AR66" s="11"/>
      <c r="AS66" s="11"/>
      <c r="AT66" s="11">
        <f t="shared" si="0"/>
        <v>200</v>
      </c>
      <c r="AU66" s="2">
        <f>C66-AT66</f>
        <v>0</v>
      </c>
      <c r="IS66" s="3"/>
    </row>
    <row r="67" spans="1:253">
      <c r="B67" s="2" t="s">
        <v>281</v>
      </c>
      <c r="C67" s="11">
        <f>SUM(E67:AS67)</f>
        <v>200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>
        <f t="shared" si="6"/>
        <v>80</v>
      </c>
      <c r="W67" s="11"/>
      <c r="X67" s="11">
        <f t="shared" si="12"/>
        <v>40</v>
      </c>
      <c r="Y67" s="11">
        <f t="shared" si="12"/>
        <v>40</v>
      </c>
      <c r="Z67" s="11">
        <f t="shared" si="12"/>
        <v>40</v>
      </c>
      <c r="AA67" s="11">
        <f t="shared" si="12"/>
        <v>40</v>
      </c>
      <c r="AB67" s="11">
        <f t="shared" si="12"/>
        <v>40</v>
      </c>
      <c r="AC67" s="11"/>
      <c r="AD67" s="11"/>
      <c r="AE67" s="11"/>
      <c r="AF67" s="11"/>
      <c r="AG67" s="11"/>
      <c r="AH67" s="11"/>
      <c r="AI67" s="11"/>
      <c r="AJ67" s="11"/>
      <c r="AK67" s="11">
        <f t="shared" si="7"/>
        <v>-80</v>
      </c>
      <c r="AL67" s="11"/>
      <c r="AM67" s="11"/>
      <c r="AN67" s="11"/>
      <c r="AO67" s="11"/>
      <c r="AP67" s="11"/>
      <c r="AQ67" s="11"/>
      <c r="AR67" s="11"/>
      <c r="AS67" s="11"/>
      <c r="AT67" s="11">
        <f t="shared" si="0"/>
        <v>200</v>
      </c>
      <c r="AU67" s="2">
        <f>C67-AT67</f>
        <v>0</v>
      </c>
      <c r="IS67" s="3"/>
    </row>
    <row r="68" spans="1:253">
      <c r="B68" s="2" t="s">
        <v>23</v>
      </c>
      <c r="C68" s="11">
        <f>SUM(E68:AS68)</f>
        <v>4000.0000000000005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>
        <f t="shared" ref="Q68:W68" si="13">4000/7</f>
        <v>571.42857142857144</v>
      </c>
      <c r="R68" s="11">
        <f t="shared" si="13"/>
        <v>571.42857142857144</v>
      </c>
      <c r="S68" s="11">
        <f t="shared" si="13"/>
        <v>571.42857142857144</v>
      </c>
      <c r="T68" s="11">
        <f t="shared" si="13"/>
        <v>571.42857142857144</v>
      </c>
      <c r="U68" s="11">
        <f t="shared" si="13"/>
        <v>571.42857142857144</v>
      </c>
      <c r="V68" s="11">
        <f t="shared" si="13"/>
        <v>571.42857142857144</v>
      </c>
      <c r="W68" s="11">
        <f t="shared" si="13"/>
        <v>571.42857142857144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>
        <f t="shared" si="0"/>
        <v>4000.0000000000005</v>
      </c>
      <c r="AU68" s="2">
        <f>C68-AT68</f>
        <v>0</v>
      </c>
      <c r="IS68" s="3"/>
    </row>
    <row r="69" spans="1:253">
      <c r="B69" s="2" t="s">
        <v>24</v>
      </c>
      <c r="C69" s="11">
        <f>SUM(E69:AS69)</f>
        <v>60000</v>
      </c>
      <c r="D69" s="11" t="s">
        <v>379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>
        <f>60000/5</f>
        <v>12000</v>
      </c>
      <c r="Y69" s="11">
        <f>60000/5</f>
        <v>12000</v>
      </c>
      <c r="Z69" s="11">
        <f>60000/5</f>
        <v>12000</v>
      </c>
      <c r="AA69" s="11">
        <f>60000/5</f>
        <v>12000</v>
      </c>
      <c r="AB69" s="11">
        <f>60000/5</f>
        <v>12000</v>
      </c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>
        <f t="shared" si="0"/>
        <v>60000</v>
      </c>
      <c r="AU69" s="2">
        <f>C69-AT69</f>
        <v>0</v>
      </c>
      <c r="IS69" s="3"/>
    </row>
    <row r="70" spans="1:253">
      <c r="B70" s="2" t="s">
        <v>283</v>
      </c>
      <c r="C70" s="11">
        <f>SUM(E70:AS70)</f>
        <v>16250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>
        <v>16250</v>
      </c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>
        <f t="shared" si="0"/>
        <v>16250</v>
      </c>
      <c r="AU70" s="2">
        <f>C70-AT70</f>
        <v>0</v>
      </c>
      <c r="IS70" s="3"/>
    </row>
    <row r="71" spans="1:253" ht="15.75">
      <c r="A71" s="8">
        <v>9</v>
      </c>
      <c r="B71" s="7" t="s">
        <v>25</v>
      </c>
      <c r="C71" s="11">
        <f>SUM(E71:AS71)</f>
        <v>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>
        <f t="shared" si="0"/>
        <v>0</v>
      </c>
      <c r="AU71" s="2">
        <f>C71-AT71</f>
        <v>0</v>
      </c>
      <c r="IS71" s="3"/>
    </row>
    <row r="72" spans="1:253">
      <c r="B72" s="2" t="s">
        <v>26</v>
      </c>
      <c r="C72" s="11">
        <f>SUM(E72:AS72)</f>
        <v>23040</v>
      </c>
      <c r="D72" s="11"/>
      <c r="E72" s="11"/>
      <c r="F72" s="11"/>
      <c r="G72" s="11"/>
      <c r="H72" s="11"/>
      <c r="I72" s="11"/>
      <c r="J72" s="11"/>
      <c r="K72" s="11">
        <f>23040/4</f>
        <v>5760</v>
      </c>
      <c r="L72" s="11">
        <f>23040/4</f>
        <v>5760</v>
      </c>
      <c r="M72" s="11">
        <f>23040/4</f>
        <v>5760</v>
      </c>
      <c r="N72" s="11"/>
      <c r="O72" s="11">
        <f>23040/4</f>
        <v>5760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>
        <f t="shared" si="0"/>
        <v>23040</v>
      </c>
      <c r="AU72" s="2">
        <f>C72-AT72</f>
        <v>0</v>
      </c>
      <c r="IS72" s="3"/>
    </row>
    <row r="73" spans="1:253">
      <c r="B73" s="2" t="s">
        <v>27</v>
      </c>
      <c r="C73" s="11">
        <f>SUM(E73:AS73)</f>
        <v>6025.8879999999999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>
        <v>850</v>
      </c>
      <c r="W73" s="11">
        <v>850</v>
      </c>
      <c r="X73" s="11">
        <v>850</v>
      </c>
      <c r="Y73" s="11">
        <v>850</v>
      </c>
      <c r="Z73" s="11">
        <v>850</v>
      </c>
      <c r="AA73" s="11">
        <v>850</v>
      </c>
      <c r="AB73" s="11">
        <f>340+5440*10.77/100</f>
        <v>925.88799999999992</v>
      </c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>
        <f t="shared" ref="AT73:AT136" si="14">SUM(E73:AS73)</f>
        <v>6025.8879999999999</v>
      </c>
      <c r="AU73" s="2">
        <f>C73-AT73</f>
        <v>0</v>
      </c>
      <c r="IS73" s="3"/>
    </row>
    <row r="74" spans="1:253">
      <c r="B74" s="2" t="s">
        <v>28</v>
      </c>
      <c r="C74" s="11">
        <f t="shared" ref="C74:C137" si="15">SUM(E74:AS74)</f>
        <v>750.71999999999991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>
        <f>$V$73*13.8/100</f>
        <v>117.3</v>
      </c>
      <c r="W74" s="11">
        <f>$W$73*13.8/100</f>
        <v>117.3</v>
      </c>
      <c r="X74" s="11">
        <f>$X$73*13.8/100</f>
        <v>117.3</v>
      </c>
      <c r="Y74" s="11">
        <f>$Y$73*13.8/100</f>
        <v>117.3</v>
      </c>
      <c r="Z74" s="11">
        <f>$Z$73*13.8/100</f>
        <v>117.3</v>
      </c>
      <c r="AA74" s="11">
        <f>$AA$73*13.8/100</f>
        <v>117.3</v>
      </c>
      <c r="AB74" s="11">
        <f>340*13.8/100</f>
        <v>46.92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>
        <f t="shared" si="14"/>
        <v>750.71999999999991</v>
      </c>
      <c r="AU74" s="2">
        <f t="shared" ref="AU74:AU137" si="16">C74-AT74</f>
        <v>0</v>
      </c>
      <c r="IS74" s="3"/>
    </row>
    <row r="75" spans="1:253">
      <c r="B75" s="2" t="s">
        <v>29</v>
      </c>
      <c r="C75" s="11">
        <f t="shared" si="15"/>
        <v>6646.2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>
        <v>750</v>
      </c>
      <c r="U75" s="11">
        <v>750</v>
      </c>
      <c r="V75" s="11">
        <v>750</v>
      </c>
      <c r="W75" s="11">
        <v>750</v>
      </c>
      <c r="X75" s="11">
        <v>750</v>
      </c>
      <c r="Y75" s="11">
        <v>750</v>
      </c>
      <c r="Z75" s="11">
        <v>750</v>
      </c>
      <c r="AA75" s="11">
        <f>750+6000*10.77/100</f>
        <v>1396.2</v>
      </c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>
        <f t="shared" si="14"/>
        <v>6646.2</v>
      </c>
      <c r="AU75" s="2">
        <f t="shared" si="16"/>
        <v>0</v>
      </c>
      <c r="IS75" s="3"/>
    </row>
    <row r="76" spans="1:253">
      <c r="B76" s="2" t="s">
        <v>30</v>
      </c>
      <c r="C76" s="11">
        <f t="shared" si="15"/>
        <v>828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>
        <f>$T$75*13.8/100</f>
        <v>103.5</v>
      </c>
      <c r="U76" s="11">
        <f>$U$75*13.8/100</f>
        <v>103.5</v>
      </c>
      <c r="V76" s="11">
        <f>$V$75*13.8/100</f>
        <v>103.5</v>
      </c>
      <c r="W76" s="11">
        <f>$W$75*13.8/100</f>
        <v>103.5</v>
      </c>
      <c r="X76" s="11">
        <f>$X$75*13.8/100</f>
        <v>103.5</v>
      </c>
      <c r="Y76" s="11">
        <f>$Y$75*13.8/100</f>
        <v>103.5</v>
      </c>
      <c r="Z76" s="11">
        <f>$Z$75*13.8/100</f>
        <v>103.5</v>
      </c>
      <c r="AA76" s="11">
        <f>750*13.8/100</f>
        <v>103.5</v>
      </c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f t="shared" si="14"/>
        <v>828</v>
      </c>
      <c r="AU76" s="2">
        <f t="shared" si="16"/>
        <v>0</v>
      </c>
      <c r="IS76" s="3"/>
    </row>
    <row r="77" spans="1:253">
      <c r="B77" s="2" t="s">
        <v>31</v>
      </c>
      <c r="C77" s="11">
        <f t="shared" si="15"/>
        <v>13957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>
        <v>900</v>
      </c>
      <c r="R77" s="11">
        <v>900</v>
      </c>
      <c r="S77" s="11">
        <v>900</v>
      </c>
      <c r="T77" s="11">
        <v>900</v>
      </c>
      <c r="U77" s="11">
        <v>900</v>
      </c>
      <c r="V77" s="11">
        <v>900</v>
      </c>
      <c r="W77" s="11">
        <v>900</v>
      </c>
      <c r="X77" s="11">
        <v>900</v>
      </c>
      <c r="Y77" s="11">
        <v>900</v>
      </c>
      <c r="Z77" s="11">
        <v>900</v>
      </c>
      <c r="AA77" s="11">
        <v>900</v>
      </c>
      <c r="AB77" s="11">
        <v>900</v>
      </c>
      <c r="AC77" s="11">
        <v>900</v>
      </c>
      <c r="AD77" s="11">
        <f>900+1357</f>
        <v>2257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>
        <f t="shared" si="14"/>
        <v>13957</v>
      </c>
      <c r="AU77" s="2">
        <f t="shared" si="16"/>
        <v>0</v>
      </c>
      <c r="IS77" s="3"/>
    </row>
    <row r="78" spans="1:253">
      <c r="B78" s="2" t="s">
        <v>32</v>
      </c>
      <c r="C78" s="11">
        <f t="shared" si="15"/>
        <v>1739.0000000000002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>
        <f t="shared" ref="Q78:AD78" si="17">1739/14</f>
        <v>124.21428571428571</v>
      </c>
      <c r="R78" s="11">
        <f t="shared" si="17"/>
        <v>124.21428571428571</v>
      </c>
      <c r="S78" s="11">
        <f t="shared" si="17"/>
        <v>124.21428571428571</v>
      </c>
      <c r="T78" s="11">
        <f t="shared" si="17"/>
        <v>124.21428571428571</v>
      </c>
      <c r="U78" s="11">
        <f t="shared" si="17"/>
        <v>124.21428571428571</v>
      </c>
      <c r="V78" s="11">
        <f t="shared" si="17"/>
        <v>124.21428571428571</v>
      </c>
      <c r="W78" s="11">
        <f t="shared" si="17"/>
        <v>124.21428571428571</v>
      </c>
      <c r="X78" s="11">
        <f t="shared" si="17"/>
        <v>124.21428571428571</v>
      </c>
      <c r="Y78" s="11">
        <f t="shared" si="17"/>
        <v>124.21428571428571</v>
      </c>
      <c r="Z78" s="11">
        <f t="shared" si="17"/>
        <v>124.21428571428571</v>
      </c>
      <c r="AA78" s="11">
        <f t="shared" si="17"/>
        <v>124.21428571428571</v>
      </c>
      <c r="AB78" s="11">
        <f t="shared" si="17"/>
        <v>124.21428571428571</v>
      </c>
      <c r="AC78" s="11">
        <f t="shared" si="17"/>
        <v>124.21428571428571</v>
      </c>
      <c r="AD78" s="11">
        <f t="shared" si="17"/>
        <v>124.21428571428571</v>
      </c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>
        <f t="shared" si="14"/>
        <v>1739.0000000000002</v>
      </c>
      <c r="AU78" s="2">
        <f t="shared" si="16"/>
        <v>0</v>
      </c>
      <c r="IS78" s="3"/>
    </row>
    <row r="79" spans="1:253">
      <c r="B79" s="2" t="s">
        <v>282</v>
      </c>
      <c r="C79" s="11">
        <f t="shared" si="15"/>
        <v>2459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>
        <f>2459/4</f>
        <v>614.75</v>
      </c>
      <c r="Z79" s="11">
        <f>2459/4</f>
        <v>614.75</v>
      </c>
      <c r="AA79" s="11">
        <f>2459/4</f>
        <v>614.75</v>
      </c>
      <c r="AB79" s="11">
        <f>2459/4</f>
        <v>614.75</v>
      </c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>
        <f t="shared" si="14"/>
        <v>2459</v>
      </c>
      <c r="AU79" s="2">
        <f t="shared" si="16"/>
        <v>0</v>
      </c>
      <c r="IS79" s="3"/>
    </row>
    <row r="80" spans="1:253">
      <c r="B80" s="2" t="s">
        <v>33</v>
      </c>
      <c r="C80" s="11">
        <f t="shared" si="15"/>
        <v>7350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>
        <v>250</v>
      </c>
      <c r="R80" s="11">
        <v>500</v>
      </c>
      <c r="S80" s="11">
        <v>600</v>
      </c>
      <c r="T80" s="11">
        <v>600</v>
      </c>
      <c r="U80" s="11">
        <v>600</v>
      </c>
      <c r="V80" s="11">
        <v>600</v>
      </c>
      <c r="W80" s="11">
        <v>600</v>
      </c>
      <c r="X80" s="11">
        <v>600</v>
      </c>
      <c r="Y80" s="11">
        <v>600</v>
      </c>
      <c r="Z80" s="11">
        <v>600</v>
      </c>
      <c r="AA80" s="11">
        <v>600</v>
      </c>
      <c r="AB80" s="11">
        <v>600</v>
      </c>
      <c r="AC80" s="11">
        <v>600</v>
      </c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>
        <f t="shared" si="14"/>
        <v>7350</v>
      </c>
      <c r="AU80" s="2">
        <f t="shared" si="16"/>
        <v>0</v>
      </c>
      <c r="IS80" s="3"/>
    </row>
    <row r="81" spans="2:253">
      <c r="B81" s="2" t="s">
        <v>34</v>
      </c>
      <c r="C81" s="11">
        <f t="shared" si="15"/>
        <v>1621.7999999999997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f>$S$80*13.8/100</f>
        <v>82.8</v>
      </c>
      <c r="T81" s="11">
        <f>$T$80*13.8/100</f>
        <v>82.8</v>
      </c>
      <c r="U81" s="11">
        <f>$U$80*13.8/100</f>
        <v>82.8</v>
      </c>
      <c r="V81" s="11">
        <f>$V$80*13.8/100</f>
        <v>82.8</v>
      </c>
      <c r="W81" s="11">
        <f>$W$80*13.8/100</f>
        <v>82.8</v>
      </c>
      <c r="X81" s="11">
        <f>$X$80*13.8/100</f>
        <v>82.8</v>
      </c>
      <c r="Y81" s="11">
        <f>$Y$80*13.8/100</f>
        <v>82.8</v>
      </c>
      <c r="Z81" s="11">
        <f>$Z$80*13.8/100</f>
        <v>82.8</v>
      </c>
      <c r="AA81" s="11">
        <f>$AA$80*13.8/100</f>
        <v>82.8</v>
      </c>
      <c r="AB81" s="11">
        <f>$AB$80*13.8/100</f>
        <v>82.8</v>
      </c>
      <c r="AC81" s="11">
        <f>600*13.8/100+711</f>
        <v>793.8</v>
      </c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>
        <f t="shared" si="14"/>
        <v>1621.7999999999997</v>
      </c>
      <c r="AU81" s="2">
        <f t="shared" si="16"/>
        <v>0</v>
      </c>
      <c r="IS81" s="3"/>
    </row>
    <row r="82" spans="2:253">
      <c r="B82" s="2" t="s">
        <v>284</v>
      </c>
      <c r="C82" s="11">
        <f t="shared" si="15"/>
        <v>1153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>
        <f>1153/3</f>
        <v>384.33333333333331</v>
      </c>
      <c r="AA82" s="11">
        <f>1153/3</f>
        <v>384.33333333333331</v>
      </c>
      <c r="AB82" s="11">
        <f>1153/3</f>
        <v>384.33333333333331</v>
      </c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>
        <f t="shared" si="14"/>
        <v>1153</v>
      </c>
      <c r="AU82" s="2">
        <f t="shared" si="16"/>
        <v>0</v>
      </c>
      <c r="IS82" s="3"/>
    </row>
    <row r="83" spans="2:253">
      <c r="B83" s="2" t="s">
        <v>35</v>
      </c>
      <c r="C83" s="11">
        <f t="shared" si="15"/>
        <v>5072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>
        <v>450</v>
      </c>
      <c r="U83" s="11">
        <v>450</v>
      </c>
      <c r="V83" s="11">
        <v>450</v>
      </c>
      <c r="W83" s="11">
        <v>450</v>
      </c>
      <c r="X83" s="11">
        <v>450</v>
      </c>
      <c r="Y83" s="11">
        <v>450</v>
      </c>
      <c r="Z83" s="11">
        <v>450</v>
      </c>
      <c r="AA83" s="11">
        <v>450</v>
      </c>
      <c r="AB83" s="11">
        <v>450</v>
      </c>
      <c r="AC83" s="11">
        <f>450+572</f>
        <v>1022</v>
      </c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f t="shared" si="14"/>
        <v>5072</v>
      </c>
      <c r="AU83" s="2">
        <f t="shared" si="16"/>
        <v>0</v>
      </c>
      <c r="IS83" s="3"/>
    </row>
    <row r="84" spans="2:253">
      <c r="B84" s="2" t="s">
        <v>36</v>
      </c>
      <c r="C84" s="11">
        <f t="shared" si="15"/>
        <v>732.00000000000011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>
        <f t="shared" ref="T84:AC84" si="18">732/10</f>
        <v>73.2</v>
      </c>
      <c r="U84" s="11">
        <f t="shared" si="18"/>
        <v>73.2</v>
      </c>
      <c r="V84" s="11">
        <f t="shared" si="18"/>
        <v>73.2</v>
      </c>
      <c r="W84" s="11">
        <f t="shared" si="18"/>
        <v>73.2</v>
      </c>
      <c r="X84" s="11">
        <f t="shared" si="18"/>
        <v>73.2</v>
      </c>
      <c r="Y84" s="11">
        <f t="shared" si="18"/>
        <v>73.2</v>
      </c>
      <c r="Z84" s="11">
        <f t="shared" si="18"/>
        <v>73.2</v>
      </c>
      <c r="AA84" s="11">
        <f t="shared" si="18"/>
        <v>73.2</v>
      </c>
      <c r="AB84" s="11">
        <f t="shared" si="18"/>
        <v>73.2</v>
      </c>
      <c r="AC84" s="11">
        <f t="shared" si="18"/>
        <v>73.2</v>
      </c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f t="shared" si="14"/>
        <v>732.00000000000011</v>
      </c>
      <c r="AU84" s="2">
        <f t="shared" si="16"/>
        <v>0</v>
      </c>
      <c r="IS84" s="3"/>
    </row>
    <row r="85" spans="2:253">
      <c r="B85" s="2" t="s">
        <v>285</v>
      </c>
      <c r="C85" s="11">
        <f t="shared" si="15"/>
        <v>807</v>
      </c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>
        <f>807/3</f>
        <v>269</v>
      </c>
      <c r="AA85" s="11">
        <f>807/3</f>
        <v>269</v>
      </c>
      <c r="AB85" s="11">
        <f>807/3</f>
        <v>269</v>
      </c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>
        <f t="shared" si="14"/>
        <v>807</v>
      </c>
      <c r="AU85" s="2">
        <f t="shared" si="16"/>
        <v>0</v>
      </c>
      <c r="IS85" s="3"/>
    </row>
    <row r="86" spans="2:253">
      <c r="B86" s="2" t="s">
        <v>37</v>
      </c>
      <c r="C86" s="11">
        <f t="shared" si="15"/>
        <v>27970</v>
      </c>
      <c r="D86" s="11" t="s">
        <v>379</v>
      </c>
      <c r="E86" s="11"/>
      <c r="F86" s="11"/>
      <c r="G86" s="11"/>
      <c r="H86" s="11"/>
      <c r="I86" s="11"/>
      <c r="J86" s="11">
        <v>250</v>
      </c>
      <c r="K86" s="11"/>
      <c r="L86" s="11"/>
      <c r="M86" s="11"/>
      <c r="N86" s="11"/>
      <c r="O86" s="11"/>
      <c r="P86" s="11"/>
      <c r="Q86" s="11">
        <v>1400</v>
      </c>
      <c r="R86" s="11">
        <v>1400</v>
      </c>
      <c r="S86" s="11">
        <v>1400</v>
      </c>
      <c r="T86" s="11">
        <v>1400</v>
      </c>
      <c r="U86" s="11">
        <v>1400</v>
      </c>
      <c r="V86" s="11">
        <v>1400</v>
      </c>
      <c r="W86" s="11">
        <v>1400</v>
      </c>
      <c r="X86" s="11">
        <v>1400</v>
      </c>
      <c r="Y86" s="11">
        <v>1400</v>
      </c>
      <c r="Z86" s="11">
        <v>1400</v>
      </c>
      <c r="AA86" s="11">
        <v>1400</v>
      </c>
      <c r="AB86" s="11">
        <v>1400</v>
      </c>
      <c r="AC86" s="11">
        <v>1400</v>
      </c>
      <c r="AD86" s="11">
        <v>1400</v>
      </c>
      <c r="AE86" s="11">
        <v>1400</v>
      </c>
      <c r="AF86" s="11">
        <f t="shared" ref="AF86:AQ86" si="19">1400*0.4</f>
        <v>560</v>
      </c>
      <c r="AG86" s="11">
        <f t="shared" si="19"/>
        <v>560</v>
      </c>
      <c r="AH86" s="11">
        <f t="shared" si="19"/>
        <v>560</v>
      </c>
      <c r="AI86" s="11">
        <f t="shared" si="19"/>
        <v>560</v>
      </c>
      <c r="AJ86" s="11">
        <f t="shared" si="19"/>
        <v>560</v>
      </c>
      <c r="AK86" s="11">
        <f t="shared" si="19"/>
        <v>560</v>
      </c>
      <c r="AL86" s="11">
        <f t="shared" si="19"/>
        <v>560</v>
      </c>
      <c r="AM86" s="11">
        <f t="shared" si="19"/>
        <v>560</v>
      </c>
      <c r="AN86" s="11">
        <f t="shared" si="19"/>
        <v>560</v>
      </c>
      <c r="AO86" s="11">
        <f t="shared" si="19"/>
        <v>560</v>
      </c>
      <c r="AP86" s="11">
        <f t="shared" si="19"/>
        <v>560</v>
      </c>
      <c r="AQ86" s="11">
        <f t="shared" si="19"/>
        <v>560</v>
      </c>
      <c r="AR86" s="11"/>
      <c r="AS86" s="11"/>
      <c r="AT86" s="11">
        <f t="shared" si="14"/>
        <v>27970</v>
      </c>
      <c r="AU86" s="2">
        <f t="shared" si="16"/>
        <v>0</v>
      </c>
      <c r="IS86" s="3"/>
    </row>
    <row r="87" spans="2:253">
      <c r="B87" s="2" t="s">
        <v>286</v>
      </c>
      <c r="C87" s="11">
        <f t="shared" si="15"/>
        <v>2767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>
        <f>2767/3</f>
        <v>922.33333333333337</v>
      </c>
      <c r="AA87" s="11">
        <f>2767/3</f>
        <v>922.33333333333337</v>
      </c>
      <c r="AB87" s="11">
        <f>2767/3</f>
        <v>922.33333333333337</v>
      </c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>
        <f t="shared" si="14"/>
        <v>2767</v>
      </c>
      <c r="AU87" s="2">
        <f t="shared" si="16"/>
        <v>0</v>
      </c>
      <c r="IS87" s="3"/>
    </row>
    <row r="88" spans="2:253">
      <c r="B88" s="2" t="s">
        <v>38</v>
      </c>
      <c r="C88" s="11">
        <f t="shared" si="15"/>
        <v>11299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>
        <v>850</v>
      </c>
      <c r="T88" s="11">
        <v>850</v>
      </c>
      <c r="U88" s="11">
        <v>850</v>
      </c>
      <c r="V88" s="11">
        <v>850</v>
      </c>
      <c r="W88" s="11">
        <v>850</v>
      </c>
      <c r="X88" s="11">
        <v>850</v>
      </c>
      <c r="Y88" s="11">
        <v>850</v>
      </c>
      <c r="Z88" s="11">
        <v>850</v>
      </c>
      <c r="AA88" s="11">
        <v>850</v>
      </c>
      <c r="AB88" s="11">
        <v>850</v>
      </c>
      <c r="AC88" s="11">
        <v>850</v>
      </c>
      <c r="AD88" s="11">
        <f>850+1099</f>
        <v>1949</v>
      </c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>
        <f t="shared" si="14"/>
        <v>11299</v>
      </c>
      <c r="AU88" s="2">
        <f t="shared" si="16"/>
        <v>0</v>
      </c>
      <c r="IS88" s="3"/>
    </row>
    <row r="89" spans="2:253">
      <c r="B89" s="2" t="s">
        <v>39</v>
      </c>
      <c r="C89" s="11">
        <f t="shared" si="15"/>
        <v>1405.9999999999998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>
        <f t="shared" ref="S89:AC89" si="20">1408/12</f>
        <v>117.33333333333333</v>
      </c>
      <c r="T89" s="11">
        <f t="shared" si="20"/>
        <v>117.33333333333333</v>
      </c>
      <c r="U89" s="11">
        <f t="shared" si="20"/>
        <v>117.33333333333333</v>
      </c>
      <c r="V89" s="11">
        <f t="shared" si="20"/>
        <v>117.33333333333333</v>
      </c>
      <c r="W89" s="11">
        <f t="shared" si="20"/>
        <v>117.33333333333333</v>
      </c>
      <c r="X89" s="11">
        <f t="shared" si="20"/>
        <v>117.33333333333333</v>
      </c>
      <c r="Y89" s="11">
        <f t="shared" si="20"/>
        <v>117.33333333333333</v>
      </c>
      <c r="Z89" s="11">
        <f t="shared" si="20"/>
        <v>117.33333333333333</v>
      </c>
      <c r="AA89" s="11">
        <f t="shared" si="20"/>
        <v>117.33333333333333</v>
      </c>
      <c r="AB89" s="11">
        <f t="shared" si="20"/>
        <v>117.33333333333333</v>
      </c>
      <c r="AC89" s="11">
        <f t="shared" si="20"/>
        <v>117.33333333333333</v>
      </c>
      <c r="AD89" s="11">
        <f>1408/12-2</f>
        <v>115.33333333333333</v>
      </c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>
        <f t="shared" si="14"/>
        <v>1405.9999999999998</v>
      </c>
      <c r="AU89" s="2">
        <f t="shared" si="16"/>
        <v>0</v>
      </c>
      <c r="IS89" s="3"/>
    </row>
    <row r="90" spans="2:253">
      <c r="B90" s="2" t="s">
        <v>287</v>
      </c>
      <c r="C90" s="11">
        <f t="shared" si="15"/>
        <v>922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f>922/2</f>
        <v>461</v>
      </c>
      <c r="AB90" s="11">
        <f>922/2</f>
        <v>461</v>
      </c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>
        <f t="shared" si="14"/>
        <v>922</v>
      </c>
      <c r="AU90" s="2">
        <f t="shared" si="16"/>
        <v>0</v>
      </c>
      <c r="IS90" s="3"/>
    </row>
    <row r="91" spans="2:253">
      <c r="B91" s="2" t="s">
        <v>288</v>
      </c>
      <c r="C91" s="11">
        <f t="shared" si="15"/>
        <v>3689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>
        <f>2767/3</f>
        <v>922.33333333333337</v>
      </c>
      <c r="V91" s="11">
        <f>2767/3</f>
        <v>922.33333333333337</v>
      </c>
      <c r="W91" s="11">
        <f>2767/3</f>
        <v>922.33333333333337</v>
      </c>
      <c r="X91" s="11">
        <v>922</v>
      </c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>
        <f t="shared" si="14"/>
        <v>3689</v>
      </c>
      <c r="AU91" s="2">
        <f t="shared" si="16"/>
        <v>0</v>
      </c>
      <c r="IS91" s="3"/>
    </row>
    <row r="92" spans="2:253">
      <c r="B92" s="2" t="s">
        <v>289</v>
      </c>
      <c r="C92" s="11">
        <f t="shared" si="15"/>
        <v>1614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>
        <v>538</v>
      </c>
      <c r="AA92" s="11">
        <v>538</v>
      </c>
      <c r="AB92" s="11">
        <v>538</v>
      </c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>
        <f t="shared" si="14"/>
        <v>1614</v>
      </c>
      <c r="AU92" s="2">
        <f t="shared" si="16"/>
        <v>0</v>
      </c>
      <c r="IS92" s="3"/>
    </row>
    <row r="93" spans="2:253">
      <c r="B93" s="2" t="s">
        <v>290</v>
      </c>
      <c r="C93" s="11">
        <f t="shared" si="15"/>
        <v>576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>
        <v>192</v>
      </c>
      <c r="AB93" s="11">
        <v>384</v>
      </c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>
        <f t="shared" si="14"/>
        <v>576</v>
      </c>
      <c r="AU93" s="2">
        <f t="shared" si="16"/>
        <v>0</v>
      </c>
      <c r="IS93" s="3"/>
    </row>
    <row r="94" spans="2:253">
      <c r="B94" s="2" t="s">
        <v>291</v>
      </c>
      <c r="C94" s="11">
        <f t="shared" si="15"/>
        <v>519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173</v>
      </c>
      <c r="AB94" s="11">
        <v>346</v>
      </c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>
        <f t="shared" si="14"/>
        <v>519</v>
      </c>
      <c r="AU94" s="2">
        <f t="shared" si="16"/>
        <v>0</v>
      </c>
      <c r="IS94" s="3"/>
    </row>
    <row r="95" spans="2:253">
      <c r="B95" s="2" t="s">
        <v>40</v>
      </c>
      <c r="C95" s="11">
        <f t="shared" si="15"/>
        <v>20000</v>
      </c>
      <c r="D95" s="11" t="s">
        <v>379</v>
      </c>
      <c r="E95" s="11"/>
      <c r="F95" s="11"/>
      <c r="G95" s="11"/>
      <c r="H95" s="11"/>
      <c r="I95" s="11"/>
      <c r="J95" s="11"/>
      <c r="K95" s="11"/>
      <c r="L95" s="11">
        <f>20000/4</f>
        <v>5000</v>
      </c>
      <c r="M95" s="11"/>
      <c r="N95" s="11"/>
      <c r="O95" s="11"/>
      <c r="P95" s="11"/>
      <c r="Q95" s="11">
        <f>20000/4</f>
        <v>5000</v>
      </c>
      <c r="R95" s="11"/>
      <c r="S95" s="11"/>
      <c r="T95" s="11"/>
      <c r="U95" s="11"/>
      <c r="V95" s="11"/>
      <c r="W95" s="11"/>
      <c r="X95" s="11">
        <f>20000/4</f>
        <v>5000</v>
      </c>
      <c r="Y95" s="11">
        <f>20000/4</f>
        <v>5000</v>
      </c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>
        <f t="shared" si="14"/>
        <v>20000</v>
      </c>
      <c r="AU95" s="2">
        <f t="shared" si="16"/>
        <v>0</v>
      </c>
      <c r="IS95" s="3"/>
    </row>
    <row r="96" spans="2:253">
      <c r="B96" s="2" t="s">
        <v>41</v>
      </c>
      <c r="C96" s="11">
        <f t="shared" si="15"/>
        <v>1000</v>
      </c>
      <c r="D96" s="11" t="s">
        <v>379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>
        <v>1000</v>
      </c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>
        <f t="shared" si="14"/>
        <v>1000</v>
      </c>
      <c r="AU96" s="2">
        <f t="shared" si="16"/>
        <v>0</v>
      </c>
      <c r="IS96" s="3"/>
    </row>
    <row r="97" spans="1:253">
      <c r="B97" s="2" t="s">
        <v>292</v>
      </c>
      <c r="C97" s="11">
        <f t="shared" si="15"/>
        <v>2459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>
        <v>2459</v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>
        <f t="shared" si="14"/>
        <v>2459</v>
      </c>
      <c r="AU97" s="2">
        <f t="shared" si="16"/>
        <v>0</v>
      </c>
      <c r="IS97" s="3"/>
    </row>
    <row r="98" spans="1:253">
      <c r="B98" s="2" t="s">
        <v>293</v>
      </c>
      <c r="C98" s="11">
        <f t="shared" si="15"/>
        <v>1210</v>
      </c>
      <c r="D98" s="11"/>
      <c r="E98" s="11"/>
      <c r="F98" s="11"/>
      <c r="G98" s="11"/>
      <c r="H98" s="11">
        <v>1210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>
        <f t="shared" si="14"/>
        <v>1210</v>
      </c>
      <c r="AU98" s="2">
        <f t="shared" si="16"/>
        <v>0</v>
      </c>
      <c r="IS98" s="3"/>
    </row>
    <row r="99" spans="1:253">
      <c r="B99" s="2" t="s">
        <v>42</v>
      </c>
      <c r="C99" s="11">
        <f t="shared" si="15"/>
        <v>1500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>
        <v>500</v>
      </c>
      <c r="O99" s="11">
        <v>500</v>
      </c>
      <c r="P99" s="11">
        <v>500</v>
      </c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>
        <f t="shared" si="14"/>
        <v>1500</v>
      </c>
      <c r="AU99" s="2">
        <f t="shared" si="16"/>
        <v>0</v>
      </c>
      <c r="IS99" s="3"/>
    </row>
    <row r="100" spans="1:253" ht="15.75">
      <c r="A100" s="7">
        <v>10</v>
      </c>
      <c r="B100" s="7" t="s">
        <v>43</v>
      </c>
      <c r="C100" s="11">
        <f t="shared" si="15"/>
        <v>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>
        <f t="shared" si="14"/>
        <v>0</v>
      </c>
      <c r="AU100" s="2">
        <f t="shared" si="16"/>
        <v>0</v>
      </c>
      <c r="IS100" s="3"/>
    </row>
    <row r="101" spans="1:253">
      <c r="B101" s="2" t="s">
        <v>44</v>
      </c>
      <c r="C101" s="11">
        <f t="shared" si="15"/>
        <v>15508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>
        <v>1400</v>
      </c>
      <c r="T101" s="11">
        <v>1400</v>
      </c>
      <c r="U101" s="11">
        <v>1400</v>
      </c>
      <c r="V101" s="11">
        <v>1400</v>
      </c>
      <c r="W101" s="11">
        <v>1400</v>
      </c>
      <c r="X101" s="11">
        <v>1400</v>
      </c>
      <c r="Y101" s="11">
        <v>1400</v>
      </c>
      <c r="Z101" s="11">
        <v>1400</v>
      </c>
      <c r="AA101" s="11">
        <v>1400</v>
      </c>
      <c r="AB101" s="11">
        <f>1400+1508</f>
        <v>2908</v>
      </c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>
        <f t="shared" si="14"/>
        <v>15508</v>
      </c>
      <c r="AU101" s="2">
        <f t="shared" si="16"/>
        <v>0</v>
      </c>
      <c r="IS101" s="3"/>
    </row>
    <row r="102" spans="1:253">
      <c r="B102" s="2" t="s">
        <v>294</v>
      </c>
      <c r="C102" s="11">
        <f t="shared" si="15"/>
        <v>1537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>
        <f>1537/2</f>
        <v>768.5</v>
      </c>
      <c r="AB102" s="11">
        <f>1537/2</f>
        <v>768.5</v>
      </c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>
        <f t="shared" si="14"/>
        <v>1537</v>
      </c>
      <c r="AU102" s="2">
        <f t="shared" si="16"/>
        <v>0</v>
      </c>
      <c r="IS102" s="3"/>
    </row>
    <row r="103" spans="1:253">
      <c r="B103" s="2" t="s">
        <v>45</v>
      </c>
      <c r="C103" s="11">
        <f t="shared" si="15"/>
        <v>8000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>
        <v>1000</v>
      </c>
      <c r="V103" s="11">
        <v>1000</v>
      </c>
      <c r="W103" s="11">
        <v>1000</v>
      </c>
      <c r="X103" s="11">
        <v>1000</v>
      </c>
      <c r="Y103" s="11">
        <v>1000</v>
      </c>
      <c r="Z103" s="11">
        <v>1000</v>
      </c>
      <c r="AA103" s="11">
        <v>1000</v>
      </c>
      <c r="AB103" s="11">
        <v>1000</v>
      </c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>
        <f t="shared" si="14"/>
        <v>8000</v>
      </c>
      <c r="AU103" s="2">
        <f t="shared" si="16"/>
        <v>0</v>
      </c>
      <c r="IS103" s="3"/>
    </row>
    <row r="104" spans="1:253">
      <c r="B104" s="2" t="s">
        <v>46</v>
      </c>
      <c r="C104" s="11">
        <f t="shared" si="15"/>
        <v>1104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>
        <f t="shared" ref="U104:AB104" si="21">1104/8</f>
        <v>138</v>
      </c>
      <c r="V104" s="11">
        <f t="shared" si="21"/>
        <v>138</v>
      </c>
      <c r="W104" s="11">
        <f t="shared" si="21"/>
        <v>138</v>
      </c>
      <c r="X104" s="11">
        <f t="shared" si="21"/>
        <v>138</v>
      </c>
      <c r="Y104" s="11">
        <f t="shared" si="21"/>
        <v>138</v>
      </c>
      <c r="Z104" s="11">
        <f t="shared" si="21"/>
        <v>138</v>
      </c>
      <c r="AA104" s="11">
        <f t="shared" si="21"/>
        <v>138</v>
      </c>
      <c r="AB104" s="11">
        <f t="shared" si="21"/>
        <v>138</v>
      </c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>
        <f t="shared" si="14"/>
        <v>1104</v>
      </c>
      <c r="AU104" s="2">
        <f t="shared" si="16"/>
        <v>0</v>
      </c>
      <c r="IS104" s="3"/>
    </row>
    <row r="105" spans="1:253">
      <c r="B105" s="2" t="s">
        <v>47</v>
      </c>
      <c r="C105" s="11">
        <f t="shared" si="15"/>
        <v>3640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>
        <v>700</v>
      </c>
      <c r="Y105" s="11">
        <v>700</v>
      </c>
      <c r="Z105" s="11">
        <v>700</v>
      </c>
      <c r="AA105" s="11">
        <v>700</v>
      </c>
      <c r="AB105" s="11">
        <v>700</v>
      </c>
      <c r="AC105" s="11">
        <v>140</v>
      </c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>
        <f t="shared" si="14"/>
        <v>3640</v>
      </c>
      <c r="AU105" s="2">
        <f t="shared" si="16"/>
        <v>0</v>
      </c>
      <c r="IS105" s="3"/>
    </row>
    <row r="106" spans="1:253">
      <c r="B106" s="2" t="s">
        <v>48</v>
      </c>
      <c r="C106" s="11">
        <f t="shared" si="15"/>
        <v>502.32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>
        <f>$X$105*13.8/100</f>
        <v>96.6</v>
      </c>
      <c r="Y106" s="11">
        <f>$Y$105*13.8/100</f>
        <v>96.6</v>
      </c>
      <c r="Z106" s="11">
        <f>$Z$105*13.8/100</f>
        <v>96.6</v>
      </c>
      <c r="AA106" s="11">
        <f>$AA$105*13.8/100</f>
        <v>96.6</v>
      </c>
      <c r="AB106" s="11">
        <f>$AB$105*13.8/100</f>
        <v>96.6</v>
      </c>
      <c r="AC106" s="11">
        <f>$AC$105*13.8/100</f>
        <v>19.32</v>
      </c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>
        <f t="shared" si="14"/>
        <v>502.32</v>
      </c>
      <c r="AU106" s="2">
        <f t="shared" si="16"/>
        <v>0</v>
      </c>
      <c r="IS106" s="3"/>
    </row>
    <row r="107" spans="1:253">
      <c r="B107" s="2" t="s">
        <v>295</v>
      </c>
      <c r="C107" s="11">
        <f t="shared" si="15"/>
        <v>538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>
        <f>538-$AB$107</f>
        <v>153.71428571428567</v>
      </c>
      <c r="AB107" s="11">
        <f>538*1/1.4</f>
        <v>384.28571428571433</v>
      </c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>
        <f t="shared" si="14"/>
        <v>538</v>
      </c>
      <c r="AU107" s="2">
        <f t="shared" si="16"/>
        <v>0</v>
      </c>
      <c r="IS107" s="3"/>
    </row>
    <row r="108" spans="1:253">
      <c r="B108" s="2" t="s">
        <v>49</v>
      </c>
      <c r="C108" s="11">
        <f t="shared" si="15"/>
        <v>1900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>
        <v>475</v>
      </c>
      <c r="Z108" s="11">
        <v>475</v>
      </c>
      <c r="AA108" s="11">
        <v>475</v>
      </c>
      <c r="AB108" s="11">
        <v>475</v>
      </c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>
        <f t="shared" si="14"/>
        <v>1900</v>
      </c>
      <c r="AU108" s="2">
        <f t="shared" si="16"/>
        <v>0</v>
      </c>
      <c r="IS108" s="3"/>
    </row>
    <row r="109" spans="1:253">
      <c r="B109" s="2" t="s">
        <v>50</v>
      </c>
      <c r="C109" s="11">
        <f t="shared" si="15"/>
        <v>262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>
        <f>262/4</f>
        <v>65.5</v>
      </c>
      <c r="Z109" s="11">
        <f>262/4</f>
        <v>65.5</v>
      </c>
      <c r="AA109" s="11">
        <f>262/4</f>
        <v>65.5</v>
      </c>
      <c r="AB109" s="11">
        <f>262/4</f>
        <v>65.5</v>
      </c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>
        <f t="shared" si="14"/>
        <v>262</v>
      </c>
      <c r="AU109" s="2">
        <f t="shared" si="16"/>
        <v>0</v>
      </c>
      <c r="IS109" s="3"/>
    </row>
    <row r="110" spans="1:253">
      <c r="B110" s="2" t="s">
        <v>296</v>
      </c>
      <c r="C110" s="11">
        <f t="shared" si="15"/>
        <v>615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>
        <v>615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>
        <f t="shared" si="14"/>
        <v>615</v>
      </c>
      <c r="AU110" s="2">
        <f t="shared" si="16"/>
        <v>0</v>
      </c>
      <c r="IS110" s="3"/>
    </row>
    <row r="111" spans="1:253">
      <c r="B111" s="2" t="s">
        <v>51</v>
      </c>
      <c r="C111" s="11">
        <f t="shared" si="15"/>
        <v>9083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>
        <v>500</v>
      </c>
      <c r="V111" s="11">
        <v>1100</v>
      </c>
      <c r="W111" s="11">
        <v>1100</v>
      </c>
      <c r="X111" s="11">
        <v>1100</v>
      </c>
      <c r="Y111" s="11">
        <v>1100</v>
      </c>
      <c r="Z111" s="11">
        <v>1100</v>
      </c>
      <c r="AA111" s="11">
        <v>1100</v>
      </c>
      <c r="AB111" s="11">
        <f>1100+883</f>
        <v>1983</v>
      </c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>
        <f t="shared" si="14"/>
        <v>9083</v>
      </c>
      <c r="AU111" s="2">
        <f t="shared" si="16"/>
        <v>0</v>
      </c>
      <c r="IS111" s="3"/>
    </row>
    <row r="112" spans="1:253" ht="15.75">
      <c r="A112" s="7">
        <v>11</v>
      </c>
      <c r="B112" s="7" t="s">
        <v>52</v>
      </c>
      <c r="C112" s="11">
        <f t="shared" si="15"/>
        <v>0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>
        <f t="shared" si="14"/>
        <v>0</v>
      </c>
      <c r="AU112" s="2">
        <f t="shared" si="16"/>
        <v>0</v>
      </c>
      <c r="IS112" s="3"/>
    </row>
    <row r="113" spans="1:253">
      <c r="B113" s="2" t="s">
        <v>53</v>
      </c>
      <c r="C113" s="11">
        <f t="shared" si="15"/>
        <v>23000</v>
      </c>
      <c r="D113" s="11" t="s">
        <v>379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>
        <v>2500</v>
      </c>
      <c r="V113" s="11">
        <v>2500</v>
      </c>
      <c r="W113" s="11">
        <v>2500</v>
      </c>
      <c r="X113" s="11">
        <v>2500</v>
      </c>
      <c r="Y113" s="11">
        <v>2500</v>
      </c>
      <c r="Z113" s="11">
        <v>2500</v>
      </c>
      <c r="AA113" s="11">
        <v>2500</v>
      </c>
      <c r="AB113" s="11">
        <v>2500</v>
      </c>
      <c r="AC113" s="11"/>
      <c r="AD113" s="11"/>
      <c r="AE113" s="11"/>
      <c r="AF113" s="11"/>
      <c r="AG113" s="11"/>
      <c r="AH113" s="11"/>
      <c r="AI113" s="11"/>
      <c r="AJ113" s="11"/>
      <c r="AK113" s="11">
        <v>3000</v>
      </c>
      <c r="AL113" s="11"/>
      <c r="AM113" s="11"/>
      <c r="AN113" s="11"/>
      <c r="AO113" s="11"/>
      <c r="AP113" s="11"/>
      <c r="AQ113" s="11"/>
      <c r="AR113" s="11"/>
      <c r="AS113" s="11"/>
      <c r="AT113" s="11">
        <f t="shared" si="14"/>
        <v>23000</v>
      </c>
      <c r="AU113" s="2">
        <f t="shared" si="16"/>
        <v>0</v>
      </c>
      <c r="IS113" s="3"/>
    </row>
    <row r="114" spans="1:253">
      <c r="B114" s="2" t="s">
        <v>362</v>
      </c>
      <c r="C114" s="11">
        <f t="shared" si="15"/>
        <v>1059</v>
      </c>
      <c r="D114" s="11"/>
      <c r="E114" s="11"/>
      <c r="F114" s="11"/>
      <c r="G114" s="11"/>
      <c r="H114" s="11">
        <v>1059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>
        <f t="shared" si="14"/>
        <v>1059</v>
      </c>
      <c r="AU114" s="2">
        <f t="shared" si="16"/>
        <v>0</v>
      </c>
      <c r="IS114" s="3"/>
    </row>
    <row r="115" spans="1:253">
      <c r="B115" s="2" t="s">
        <v>54</v>
      </c>
      <c r="C115" s="11">
        <f t="shared" si="15"/>
        <v>8241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>
        <v>1200</v>
      </c>
      <c r="X115" s="11">
        <v>1200</v>
      </c>
      <c r="Y115" s="11">
        <v>1200</v>
      </c>
      <c r="Z115" s="11">
        <v>1200</v>
      </c>
      <c r="AA115" s="11">
        <v>1200</v>
      </c>
      <c r="AB115" s="11">
        <v>1200</v>
      </c>
      <c r="AC115" s="11">
        <f>240+801</f>
        <v>1041</v>
      </c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>
        <f t="shared" si="14"/>
        <v>8241</v>
      </c>
      <c r="AU115" s="2">
        <f t="shared" si="16"/>
        <v>0</v>
      </c>
      <c r="IS115" s="3"/>
    </row>
    <row r="116" spans="1:253">
      <c r="B116" s="2" t="s">
        <v>55</v>
      </c>
      <c r="C116" s="11">
        <f t="shared" si="15"/>
        <v>1026.72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>
        <f>$W$115*13.8/100</f>
        <v>165.6</v>
      </c>
      <c r="X116" s="11">
        <f>$X$115*13.8/100</f>
        <v>165.6</v>
      </c>
      <c r="Y116" s="11">
        <f>$Y$115*13.8/100</f>
        <v>165.6</v>
      </c>
      <c r="Z116" s="11">
        <f>$Z$115*13.8/100</f>
        <v>165.6</v>
      </c>
      <c r="AA116" s="11">
        <f>$AA$115*13.8/100</f>
        <v>165.6</v>
      </c>
      <c r="AB116" s="11">
        <f>$AB$115*13.8/100</f>
        <v>165.6</v>
      </c>
      <c r="AC116" s="11">
        <f>240*13.8/100</f>
        <v>33.119999999999997</v>
      </c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>
        <f t="shared" si="14"/>
        <v>1026.72</v>
      </c>
      <c r="AU116" s="2">
        <f t="shared" si="16"/>
        <v>0</v>
      </c>
      <c r="IS116" s="3"/>
    </row>
    <row r="117" spans="1:253">
      <c r="B117" s="2" t="s">
        <v>56</v>
      </c>
      <c r="C117" s="11">
        <f t="shared" si="15"/>
        <v>5530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>
        <v>950</v>
      </c>
      <c r="Y117" s="11">
        <v>950</v>
      </c>
      <c r="Z117" s="11">
        <v>950</v>
      </c>
      <c r="AA117" s="11">
        <v>950</v>
      </c>
      <c r="AB117" s="11">
        <v>950</v>
      </c>
      <c r="AC117" s="11">
        <f>190+590</f>
        <v>780</v>
      </c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>
        <f t="shared" si="14"/>
        <v>5530</v>
      </c>
      <c r="AU117" s="2">
        <f t="shared" si="16"/>
        <v>0</v>
      </c>
      <c r="IS117" s="3"/>
    </row>
    <row r="118" spans="1:253">
      <c r="B118" s="2" t="s">
        <v>297</v>
      </c>
      <c r="C118" s="11">
        <f t="shared" si="15"/>
        <v>538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>
        <v>538</v>
      </c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>
        <f t="shared" si="14"/>
        <v>538</v>
      </c>
      <c r="AU118" s="2">
        <f t="shared" si="16"/>
        <v>0</v>
      </c>
      <c r="IS118" s="3"/>
    </row>
    <row r="119" spans="1:253">
      <c r="B119" s="2" t="s">
        <v>57</v>
      </c>
      <c r="C119" s="11">
        <f t="shared" si="15"/>
        <v>755.96400000000006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>
        <f>($X$117+$X$118)*13.8/100</f>
        <v>131.1</v>
      </c>
      <c r="Y119" s="11">
        <f>($Y$117+$Y$118)*13.8/100</f>
        <v>131.1</v>
      </c>
      <c r="Z119" s="11">
        <f>($Z$117+$Z$118)*13.8/100</f>
        <v>131.1</v>
      </c>
      <c r="AA119" s="11">
        <f>($AA$117+$AA$118)*13.8/100</f>
        <v>131.1</v>
      </c>
      <c r="AB119" s="11">
        <f>($AB$117+$AB$118)*13.8/100</f>
        <v>205.34400000000002</v>
      </c>
      <c r="AC119" s="11">
        <f>190*13.8/100</f>
        <v>26.22</v>
      </c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>
        <f t="shared" si="14"/>
        <v>755.96400000000006</v>
      </c>
      <c r="AU119" s="2">
        <f t="shared" si="16"/>
        <v>0</v>
      </c>
      <c r="IS119" s="3"/>
    </row>
    <row r="120" spans="1:253">
      <c r="B120" s="2" t="s">
        <v>58</v>
      </c>
      <c r="C120" s="11">
        <f t="shared" si="15"/>
        <v>5649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>
        <v>850</v>
      </c>
      <c r="X120" s="11">
        <v>850</v>
      </c>
      <c r="Y120" s="11">
        <v>850</v>
      </c>
      <c r="Z120" s="11">
        <v>850</v>
      </c>
      <c r="AA120" s="11">
        <v>850</v>
      </c>
      <c r="AB120" s="11">
        <f>850+549</f>
        <v>1399</v>
      </c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>
        <f t="shared" si="14"/>
        <v>5649</v>
      </c>
      <c r="AU120" s="2">
        <f t="shared" si="16"/>
        <v>0</v>
      </c>
      <c r="IS120" s="3"/>
    </row>
    <row r="121" spans="1:253">
      <c r="B121" s="2" t="s">
        <v>59</v>
      </c>
      <c r="C121" s="11">
        <f t="shared" si="15"/>
        <v>705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>
        <f>704/6</f>
        <v>117.33333333333333</v>
      </c>
      <c r="X121" s="11">
        <f>704/6</f>
        <v>117.33333333333333</v>
      </c>
      <c r="Y121" s="11">
        <f>704/6</f>
        <v>117.33333333333333</v>
      </c>
      <c r="Z121" s="11">
        <f>704/6</f>
        <v>117.33333333333333</v>
      </c>
      <c r="AA121" s="11">
        <f>704/6</f>
        <v>117.33333333333333</v>
      </c>
      <c r="AB121" s="11">
        <f>704/6+1</f>
        <v>118.33333333333333</v>
      </c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>
        <f t="shared" si="14"/>
        <v>705</v>
      </c>
      <c r="AU121" s="2">
        <f t="shared" si="16"/>
        <v>0</v>
      </c>
      <c r="IS121" s="3"/>
    </row>
    <row r="122" spans="1:253">
      <c r="B122" s="2" t="s">
        <v>60</v>
      </c>
      <c r="C122" s="11">
        <f t="shared" si="15"/>
        <v>7689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>
        <v>1100</v>
      </c>
      <c r="X122" s="11">
        <v>1100</v>
      </c>
      <c r="Y122" s="11">
        <v>1100</v>
      </c>
      <c r="Z122" s="11">
        <v>1100</v>
      </c>
      <c r="AA122" s="11">
        <v>1100</v>
      </c>
      <c r="AB122" s="11">
        <v>1100</v>
      </c>
      <c r="AC122" s="11">
        <f>220+869</f>
        <v>1089</v>
      </c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>
        <f t="shared" si="14"/>
        <v>7689</v>
      </c>
      <c r="AU122" s="2">
        <f t="shared" si="16"/>
        <v>0</v>
      </c>
      <c r="IS122" s="3"/>
    </row>
    <row r="123" spans="1:253">
      <c r="B123" s="2" t="s">
        <v>61</v>
      </c>
      <c r="C123" s="11">
        <f t="shared" si="15"/>
        <v>1250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>
        <f>1250/5</f>
        <v>250</v>
      </c>
      <c r="Y123" s="11">
        <f>1250/5</f>
        <v>250</v>
      </c>
      <c r="Z123" s="11">
        <f>1250/5</f>
        <v>250</v>
      </c>
      <c r="AA123" s="11">
        <f>1250/5</f>
        <v>250</v>
      </c>
      <c r="AB123" s="11">
        <f>1250/5</f>
        <v>250</v>
      </c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>
        <f t="shared" si="14"/>
        <v>1250</v>
      </c>
      <c r="AU123" s="2">
        <f t="shared" si="16"/>
        <v>0</v>
      </c>
      <c r="IS123" s="3"/>
    </row>
    <row r="124" spans="1:253">
      <c r="B124" s="2" t="s">
        <v>298</v>
      </c>
      <c r="C124" s="11">
        <f t="shared" si="15"/>
        <v>384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>
        <v>384</v>
      </c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>
        <f t="shared" si="14"/>
        <v>384</v>
      </c>
      <c r="AU124" s="2">
        <f t="shared" si="16"/>
        <v>0</v>
      </c>
      <c r="IS124" s="3"/>
    </row>
    <row r="125" spans="1:253">
      <c r="B125" s="2" t="s">
        <v>299</v>
      </c>
      <c r="C125" s="11">
        <f t="shared" si="15"/>
        <v>307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>
        <v>307</v>
      </c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>
        <f t="shared" si="14"/>
        <v>307</v>
      </c>
      <c r="AU125" s="2">
        <f t="shared" si="16"/>
        <v>0</v>
      </c>
      <c r="IS125" s="3"/>
    </row>
    <row r="126" spans="1:253">
      <c r="B126" s="2" t="s">
        <v>300</v>
      </c>
      <c r="C126" s="11">
        <f t="shared" si="15"/>
        <v>461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>
        <v>154</v>
      </c>
      <c r="AB126" s="11">
        <v>307</v>
      </c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>
        <f t="shared" si="14"/>
        <v>461</v>
      </c>
      <c r="AU126" s="2">
        <f t="shared" si="16"/>
        <v>0</v>
      </c>
      <c r="IS126" s="3"/>
    </row>
    <row r="127" spans="1:253">
      <c r="B127" s="2" t="s">
        <v>62</v>
      </c>
      <c r="C127" s="11">
        <f t="shared" si="15"/>
        <v>6876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>
        <f>6876/5</f>
        <v>1375.2</v>
      </c>
      <c r="Y127" s="11">
        <f>6876/5</f>
        <v>1375.2</v>
      </c>
      <c r="Z127" s="11">
        <f>6876/5</f>
        <v>1375.2</v>
      </c>
      <c r="AA127" s="11">
        <f>6876/5</f>
        <v>1375.2</v>
      </c>
      <c r="AB127" s="11">
        <f>6876/5</f>
        <v>1375.2</v>
      </c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>
        <f t="shared" si="14"/>
        <v>6876</v>
      </c>
      <c r="AU127" s="2">
        <f t="shared" si="16"/>
        <v>0</v>
      </c>
      <c r="IS127" s="3"/>
    </row>
    <row r="128" spans="1:253" ht="15.75">
      <c r="A128" s="7">
        <v>12</v>
      </c>
      <c r="B128" s="7" t="s">
        <v>63</v>
      </c>
      <c r="C128" s="11">
        <f t="shared" si="15"/>
        <v>0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>
        <f t="shared" si="14"/>
        <v>0</v>
      </c>
      <c r="AU128" s="2">
        <f t="shared" si="16"/>
        <v>0</v>
      </c>
      <c r="IS128" s="3"/>
    </row>
    <row r="129" spans="1:253">
      <c r="B129" s="2" t="s">
        <v>64</v>
      </c>
      <c r="C129" s="11">
        <f t="shared" si="15"/>
        <v>9216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>
        <f>1300*0.4</f>
        <v>520</v>
      </c>
      <c r="W129" s="11">
        <v>1300</v>
      </c>
      <c r="X129" s="11">
        <v>1300</v>
      </c>
      <c r="Y129" s="11">
        <v>1300</v>
      </c>
      <c r="Z129" s="11">
        <v>1300</v>
      </c>
      <c r="AA129" s="11">
        <v>1300</v>
      </c>
      <c r="AB129" s="11">
        <f>1300+896</f>
        <v>2196</v>
      </c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>
        <f t="shared" si="14"/>
        <v>9216</v>
      </c>
      <c r="AU129" s="2">
        <f t="shared" si="16"/>
        <v>0</v>
      </c>
      <c r="IS129" s="3"/>
    </row>
    <row r="130" spans="1:253">
      <c r="B130" s="2" t="s">
        <v>363</v>
      </c>
      <c r="C130" s="11">
        <f t="shared" si="15"/>
        <v>144</v>
      </c>
      <c r="D130" s="11"/>
      <c r="E130" s="11"/>
      <c r="F130" s="11"/>
      <c r="G130" s="11"/>
      <c r="H130" s="11">
        <v>144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>
        <f t="shared" si="14"/>
        <v>144</v>
      </c>
      <c r="AU130" s="2">
        <f t="shared" si="16"/>
        <v>0</v>
      </c>
      <c r="IS130" s="3"/>
    </row>
    <row r="131" spans="1:253">
      <c r="B131" s="2" t="s">
        <v>65</v>
      </c>
      <c r="C131" s="11">
        <f t="shared" si="15"/>
        <v>5982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400</v>
      </c>
      <c r="X131" s="11">
        <v>1000</v>
      </c>
      <c r="Y131" s="11">
        <v>1000</v>
      </c>
      <c r="Z131" s="11">
        <v>1000</v>
      </c>
      <c r="AA131" s="11">
        <v>1000</v>
      </c>
      <c r="AB131" s="11">
        <f>1000+582</f>
        <v>1582</v>
      </c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>
        <f t="shared" si="14"/>
        <v>5982</v>
      </c>
      <c r="AU131" s="2">
        <f t="shared" si="16"/>
        <v>0</v>
      </c>
      <c r="IS131" s="3"/>
    </row>
    <row r="132" spans="1:253">
      <c r="B132" s="2" t="s">
        <v>66</v>
      </c>
      <c r="C132" s="11">
        <f t="shared" si="15"/>
        <v>745.2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>
        <f>$W$131*13.8/100</f>
        <v>55.2</v>
      </c>
      <c r="X132" s="11">
        <f>$X$131*13.8/100</f>
        <v>138</v>
      </c>
      <c r="Y132" s="11">
        <f>$Y$131*13.8/100</f>
        <v>138</v>
      </c>
      <c r="Z132" s="11">
        <f>$Z$131*13.8/100</f>
        <v>138</v>
      </c>
      <c r="AA132" s="11">
        <f>$AA$131*13.8/100</f>
        <v>138</v>
      </c>
      <c r="AB132" s="11">
        <f>1000*13.8/100</f>
        <v>138</v>
      </c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>
        <f t="shared" si="14"/>
        <v>745.2</v>
      </c>
      <c r="AU132" s="2">
        <f t="shared" si="16"/>
        <v>0</v>
      </c>
      <c r="IS132" s="3"/>
    </row>
    <row r="133" spans="1:253">
      <c r="B133" s="2" t="s">
        <v>67</v>
      </c>
      <c r="C133" s="11">
        <f t="shared" si="15"/>
        <v>2215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>
        <v>500</v>
      </c>
      <c r="Y133" s="11">
        <v>500</v>
      </c>
      <c r="Z133" s="11">
        <v>500</v>
      </c>
      <c r="AA133" s="11">
        <f>500+215</f>
        <v>715</v>
      </c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>
        <f t="shared" si="14"/>
        <v>2215</v>
      </c>
      <c r="AU133" s="2">
        <f t="shared" si="16"/>
        <v>0</v>
      </c>
      <c r="IS133" s="3"/>
    </row>
    <row r="134" spans="1:253">
      <c r="B134" s="2" t="s">
        <v>68</v>
      </c>
      <c r="C134" s="11">
        <f t="shared" si="15"/>
        <v>278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>
        <f>$X$133*13.8/100</f>
        <v>69</v>
      </c>
      <c r="Y134" s="11">
        <f>$Y$133*13.8/100</f>
        <v>69</v>
      </c>
      <c r="Z134" s="11">
        <f>$Z$133*13.8/100</f>
        <v>69</v>
      </c>
      <c r="AA134" s="11">
        <f>500*13.8/100+2</f>
        <v>71</v>
      </c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>
        <f t="shared" si="14"/>
        <v>278</v>
      </c>
      <c r="AU134" s="2">
        <f t="shared" si="16"/>
        <v>0</v>
      </c>
      <c r="IS134" s="3"/>
    </row>
    <row r="135" spans="1:253">
      <c r="B135" s="2" t="s">
        <v>301</v>
      </c>
      <c r="C135" s="11">
        <f t="shared" si="15"/>
        <v>403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>
        <v>403</v>
      </c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>
        <f t="shared" si="14"/>
        <v>403</v>
      </c>
      <c r="AU135" s="2">
        <f t="shared" si="16"/>
        <v>0</v>
      </c>
      <c r="IS135" s="3"/>
    </row>
    <row r="136" spans="1:253" ht="15.75">
      <c r="A136" s="7">
        <v>13</v>
      </c>
      <c r="B136" s="7" t="s">
        <v>69</v>
      </c>
      <c r="C136" s="11">
        <f t="shared" si="15"/>
        <v>0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>
        <f t="shared" si="14"/>
        <v>0</v>
      </c>
      <c r="AU136" s="2">
        <f t="shared" si="16"/>
        <v>0</v>
      </c>
      <c r="IS136" s="3"/>
    </row>
    <row r="137" spans="1:253" ht="15.75">
      <c r="A137" s="7"/>
      <c r="B137" s="2" t="s">
        <v>70</v>
      </c>
      <c r="C137" s="11">
        <f t="shared" si="15"/>
        <v>8928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>
        <v>1300</v>
      </c>
      <c r="W137" s="11">
        <v>1300</v>
      </c>
      <c r="X137" s="11">
        <v>1300</v>
      </c>
      <c r="Y137" s="11">
        <v>1300</v>
      </c>
      <c r="Z137" s="11">
        <v>1300</v>
      </c>
      <c r="AA137" s="11">
        <v>1300</v>
      </c>
      <c r="AB137" s="11">
        <f>260+868</f>
        <v>1128</v>
      </c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>
        <f t="shared" ref="AT137:AT200" si="22">SUM(E137:AS137)</f>
        <v>8928</v>
      </c>
      <c r="AU137" s="2">
        <f t="shared" si="16"/>
        <v>0</v>
      </c>
      <c r="IS137" s="3"/>
    </row>
    <row r="138" spans="1:253">
      <c r="B138" s="2" t="s">
        <v>302</v>
      </c>
      <c r="C138" s="11">
        <f t="shared" ref="C138:C201" si="23">SUM(E138:AS138)</f>
        <v>1076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>
        <v>538</v>
      </c>
      <c r="AB138" s="11">
        <v>538</v>
      </c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>
        <f t="shared" si="22"/>
        <v>1076</v>
      </c>
      <c r="AU138" s="2">
        <f t="shared" ref="AU138:AU201" si="24">C138-AT138</f>
        <v>0</v>
      </c>
      <c r="IS138" s="3"/>
    </row>
    <row r="139" spans="1:253">
      <c r="B139" s="2" t="s">
        <v>71</v>
      </c>
      <c r="C139" s="11">
        <f t="shared" si="23"/>
        <v>10697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>
        <f>1200*1.2</f>
        <v>1440</v>
      </c>
      <c r="W139" s="11">
        <f>1200*1.2</f>
        <v>1440</v>
      </c>
      <c r="X139" s="11">
        <f>(1200+500/4)*1.2</f>
        <v>1590</v>
      </c>
      <c r="Y139" s="11">
        <f>(1200+500/4)*1.2</f>
        <v>1590</v>
      </c>
      <c r="Z139" s="11">
        <f>(1200+500/4)*1.2</f>
        <v>1590</v>
      </c>
      <c r="AA139" s="11">
        <f>(1200+500/4)*1.2</f>
        <v>1590</v>
      </c>
      <c r="AB139" s="11">
        <f>480*1.2+881</f>
        <v>1457</v>
      </c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>
        <f t="shared" si="22"/>
        <v>10697</v>
      </c>
      <c r="AU139" s="2">
        <f t="shared" si="24"/>
        <v>0</v>
      </c>
      <c r="IS139" s="3"/>
    </row>
    <row r="140" spans="1:253">
      <c r="B140" s="2" t="s">
        <v>303</v>
      </c>
      <c r="C140" s="11">
        <f t="shared" si="23"/>
        <v>1076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>
        <v>538</v>
      </c>
      <c r="AB140" s="11">
        <v>538</v>
      </c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>
        <f t="shared" si="22"/>
        <v>1076</v>
      </c>
      <c r="AU140" s="2">
        <f t="shared" si="24"/>
        <v>0</v>
      </c>
      <c r="IS140" s="3"/>
    </row>
    <row r="141" spans="1:253">
      <c r="B141" s="2" t="s">
        <v>72</v>
      </c>
      <c r="C141" s="11">
        <f t="shared" si="23"/>
        <v>14664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>
        <f>1540*1.2-$W$141</f>
        <v>528</v>
      </c>
      <c r="W141" s="11">
        <f>1100*1.2</f>
        <v>1320</v>
      </c>
      <c r="X141" s="11">
        <f>(1100*2+1000/4)*1.2</f>
        <v>2940</v>
      </c>
      <c r="Y141" s="11">
        <f>(1100*2+1000/4)*1.2</f>
        <v>2940</v>
      </c>
      <c r="Z141" s="11">
        <f>(1100*2+1000/4)*1.2</f>
        <v>2940</v>
      </c>
      <c r="AA141" s="11">
        <f>(1100*2+1000/4)*1.2</f>
        <v>2940</v>
      </c>
      <c r="AB141" s="11">
        <f>880*1.2</f>
        <v>1056</v>
      </c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>
        <f t="shared" si="22"/>
        <v>14664</v>
      </c>
      <c r="AU141" s="2">
        <f t="shared" si="24"/>
        <v>0</v>
      </c>
      <c r="IS141" s="3"/>
    </row>
    <row r="142" spans="1:253">
      <c r="B142" s="2" t="s">
        <v>304</v>
      </c>
      <c r="C142" s="11">
        <f t="shared" si="23"/>
        <v>1153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>
        <f>1153*1/3</f>
        <v>384.33333333333331</v>
      </c>
      <c r="AB142" s="11">
        <f>1153*2/3</f>
        <v>768.66666666666663</v>
      </c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>
        <f t="shared" si="22"/>
        <v>1153</v>
      </c>
      <c r="AU142" s="2">
        <f t="shared" si="24"/>
        <v>0</v>
      </c>
      <c r="IS142" s="3"/>
    </row>
    <row r="143" spans="1:253">
      <c r="B143" s="2" t="s">
        <v>73</v>
      </c>
      <c r="C143" s="11">
        <f t="shared" si="23"/>
        <v>6456</v>
      </c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>
        <f>440*1.2</f>
        <v>528</v>
      </c>
      <c r="X143" s="11">
        <f>(1100+100/4)*1.2</f>
        <v>1350</v>
      </c>
      <c r="Y143" s="11">
        <f>(1100+100/4)*1.2</f>
        <v>1350</v>
      </c>
      <c r="Z143" s="11">
        <f>(1100+100/4)*1.2</f>
        <v>1350</v>
      </c>
      <c r="AA143" s="11">
        <f>(1100+100/4)*1.2</f>
        <v>1350</v>
      </c>
      <c r="AB143" s="11">
        <f>440*1.2</f>
        <v>528</v>
      </c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>
        <f t="shared" si="22"/>
        <v>6456</v>
      </c>
      <c r="AU143" s="2">
        <f t="shared" si="24"/>
        <v>0</v>
      </c>
      <c r="IS143" s="3"/>
    </row>
    <row r="144" spans="1:253">
      <c r="B144" s="2" t="s">
        <v>305</v>
      </c>
      <c r="C144" s="11">
        <f t="shared" si="23"/>
        <v>576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>
        <f>576/3*1</f>
        <v>192</v>
      </c>
      <c r="AB144" s="11">
        <f>576/3*2</f>
        <v>384</v>
      </c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>
        <f t="shared" si="22"/>
        <v>576</v>
      </c>
      <c r="AU144" s="2">
        <f t="shared" si="24"/>
        <v>0</v>
      </c>
      <c r="IS144" s="3"/>
    </row>
    <row r="145" spans="1:253">
      <c r="B145" s="2" t="s">
        <v>74</v>
      </c>
      <c r="C145" s="11">
        <f t="shared" si="23"/>
        <v>9282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>
        <f>9282/4</f>
        <v>2320.5</v>
      </c>
      <c r="Y145" s="11">
        <f>9282/4</f>
        <v>2320.5</v>
      </c>
      <c r="Z145" s="11">
        <f>9282/4</f>
        <v>2320.5</v>
      </c>
      <c r="AA145" s="11">
        <f>9282/4</f>
        <v>2320.5</v>
      </c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>
        <f t="shared" si="22"/>
        <v>9282</v>
      </c>
      <c r="AU145" s="2">
        <f t="shared" si="24"/>
        <v>0</v>
      </c>
      <c r="IS145" s="3"/>
    </row>
    <row r="146" spans="1:253" ht="15.75">
      <c r="A146" s="7">
        <v>14</v>
      </c>
      <c r="B146" s="7" t="s">
        <v>75</v>
      </c>
      <c r="C146" s="11">
        <f t="shared" si="23"/>
        <v>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>
        <f t="shared" si="22"/>
        <v>0</v>
      </c>
      <c r="AU146" s="2">
        <f t="shared" si="24"/>
        <v>0</v>
      </c>
      <c r="IS146" s="3"/>
    </row>
    <row r="147" spans="1:253">
      <c r="B147" s="2" t="s">
        <v>76</v>
      </c>
      <c r="C147" s="11">
        <f t="shared" si="23"/>
        <v>22320</v>
      </c>
      <c r="D147" s="11" t="s">
        <v>379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>
        <v>1550</v>
      </c>
      <c r="R147" s="11">
        <v>1550</v>
      </c>
      <c r="S147" s="11">
        <v>1550</v>
      </c>
      <c r="T147" s="11">
        <v>1550</v>
      </c>
      <c r="U147" s="11">
        <v>1550</v>
      </c>
      <c r="V147" s="11">
        <v>1550</v>
      </c>
      <c r="W147" s="11">
        <v>1550</v>
      </c>
      <c r="X147" s="11">
        <v>1550</v>
      </c>
      <c r="Y147" s="11">
        <v>1550</v>
      </c>
      <c r="Z147" s="11">
        <v>1550</v>
      </c>
      <c r="AA147" s="11">
        <v>1550</v>
      </c>
      <c r="AB147" s="11">
        <v>1550</v>
      </c>
      <c r="AC147" s="11">
        <f>1550+2170</f>
        <v>3720</v>
      </c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>
        <f t="shared" si="22"/>
        <v>22320</v>
      </c>
      <c r="AU147" s="2">
        <f t="shared" si="24"/>
        <v>0</v>
      </c>
      <c r="IS147" s="3"/>
    </row>
    <row r="148" spans="1:253">
      <c r="B148" s="2" t="s">
        <v>77</v>
      </c>
      <c r="C148" s="11">
        <f t="shared" si="23"/>
        <v>13403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>
        <v>1100</v>
      </c>
      <c r="T148" s="11">
        <v>1100</v>
      </c>
      <c r="U148" s="11">
        <v>1100</v>
      </c>
      <c r="V148" s="11">
        <v>1100</v>
      </c>
      <c r="W148" s="11">
        <v>1100</v>
      </c>
      <c r="X148" s="11">
        <v>1100</v>
      </c>
      <c r="Y148" s="11">
        <v>1100</v>
      </c>
      <c r="Z148" s="11">
        <v>1100</v>
      </c>
      <c r="AA148" s="11">
        <v>1100</v>
      </c>
      <c r="AB148" s="11">
        <v>1100</v>
      </c>
      <c r="AC148" s="11">
        <f>1100+1303</f>
        <v>2403</v>
      </c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>
        <f t="shared" si="22"/>
        <v>13403</v>
      </c>
      <c r="AU148" s="2">
        <f t="shared" si="24"/>
        <v>0</v>
      </c>
      <c r="IS148" s="3"/>
    </row>
    <row r="149" spans="1:253">
      <c r="B149" s="2" t="s">
        <v>78</v>
      </c>
      <c r="C149" s="11">
        <f t="shared" si="23"/>
        <v>6979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>
        <v>900</v>
      </c>
      <c r="W149" s="11">
        <v>900</v>
      </c>
      <c r="X149" s="11">
        <v>900</v>
      </c>
      <c r="Y149" s="11">
        <v>900</v>
      </c>
      <c r="Z149" s="11">
        <v>900</v>
      </c>
      <c r="AA149" s="11">
        <v>900</v>
      </c>
      <c r="AB149" s="11">
        <f>900+679</f>
        <v>1579</v>
      </c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>
        <f t="shared" si="22"/>
        <v>6979</v>
      </c>
      <c r="AU149" s="2">
        <f t="shared" si="24"/>
        <v>0</v>
      </c>
      <c r="IS149" s="3"/>
    </row>
    <row r="150" spans="1:253">
      <c r="B150" s="2" t="s">
        <v>79</v>
      </c>
      <c r="C150" s="11">
        <f t="shared" si="23"/>
        <v>869.40000000000009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>
        <f>$V$149*13.8/100</f>
        <v>124.2</v>
      </c>
      <c r="W150" s="11">
        <f>$W$149*13.8/100</f>
        <v>124.2</v>
      </c>
      <c r="X150" s="11">
        <f>$X$149*13.8/100</f>
        <v>124.2</v>
      </c>
      <c r="Y150" s="11">
        <f>$Y$149*13.8/100</f>
        <v>124.2</v>
      </c>
      <c r="Z150" s="11">
        <f>$Z$149*13.8/100</f>
        <v>124.2</v>
      </c>
      <c r="AA150" s="11">
        <f>$AA$149*13.8/100</f>
        <v>124.2</v>
      </c>
      <c r="AB150" s="11">
        <f>900*13.8/100</f>
        <v>124.2</v>
      </c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>
        <f t="shared" si="22"/>
        <v>869.40000000000009</v>
      </c>
      <c r="AU150" s="2">
        <f t="shared" si="24"/>
        <v>0</v>
      </c>
      <c r="IS150" s="3"/>
    </row>
    <row r="151" spans="1:253">
      <c r="B151" s="2" t="s">
        <v>80</v>
      </c>
      <c r="C151" s="11">
        <f t="shared" si="23"/>
        <v>9922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>
        <v>1100</v>
      </c>
      <c r="V151" s="11">
        <v>1100</v>
      </c>
      <c r="W151" s="11">
        <v>1100</v>
      </c>
      <c r="X151" s="11">
        <v>1100</v>
      </c>
      <c r="Y151" s="11">
        <v>1100</v>
      </c>
      <c r="Z151" s="11">
        <v>1100</v>
      </c>
      <c r="AA151" s="11">
        <v>1100</v>
      </c>
      <c r="AB151" s="11">
        <f>1100+1122</f>
        <v>2222</v>
      </c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>
        <f t="shared" si="22"/>
        <v>9922</v>
      </c>
      <c r="AU151" s="2">
        <f t="shared" si="24"/>
        <v>0</v>
      </c>
      <c r="IS151" s="3"/>
    </row>
    <row r="152" spans="1:253">
      <c r="B152" s="2" t="s">
        <v>306</v>
      </c>
      <c r="C152" s="11">
        <f t="shared" si="23"/>
        <v>1614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>
        <f>1614/3</f>
        <v>538</v>
      </c>
      <c r="AA152" s="11">
        <f>1614/3</f>
        <v>538</v>
      </c>
      <c r="AB152" s="11">
        <f>1614/3</f>
        <v>538</v>
      </c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>
        <f t="shared" si="22"/>
        <v>1614</v>
      </c>
      <c r="AU152" s="2">
        <f t="shared" si="24"/>
        <v>0</v>
      </c>
      <c r="IS152" s="3"/>
    </row>
    <row r="153" spans="1:253">
      <c r="B153" s="2" t="s">
        <v>81</v>
      </c>
      <c r="C153" s="11">
        <f t="shared" si="23"/>
        <v>12185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>
        <v>1100</v>
      </c>
      <c r="T153" s="11">
        <v>1100</v>
      </c>
      <c r="U153" s="11">
        <v>1100</v>
      </c>
      <c r="V153" s="11">
        <v>1100</v>
      </c>
      <c r="W153" s="11">
        <v>1100</v>
      </c>
      <c r="X153" s="11">
        <v>1100</v>
      </c>
      <c r="Y153" s="11">
        <v>1100</v>
      </c>
      <c r="Z153" s="11">
        <v>1100</v>
      </c>
      <c r="AA153" s="11">
        <v>1100</v>
      </c>
      <c r="AB153" s="11">
        <f>1100+1185</f>
        <v>2285</v>
      </c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>
        <f t="shared" si="22"/>
        <v>12185</v>
      </c>
      <c r="AU153" s="2">
        <f t="shared" si="24"/>
        <v>0</v>
      </c>
      <c r="IS153" s="3"/>
    </row>
    <row r="154" spans="1:253">
      <c r="B154" s="2" t="s">
        <v>82</v>
      </c>
      <c r="C154" s="11">
        <f t="shared" si="23"/>
        <v>1517.9999999999998</v>
      </c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>
        <f>$S$153*13.8/100</f>
        <v>151.80000000000001</v>
      </c>
      <c r="T154" s="11">
        <f>$T$153*13.8/100</f>
        <v>151.80000000000001</v>
      </c>
      <c r="U154" s="11">
        <f>$U$153*13.8/100</f>
        <v>151.80000000000001</v>
      </c>
      <c r="V154" s="11">
        <f>$V$153*13.8/100</f>
        <v>151.80000000000001</v>
      </c>
      <c r="W154" s="11">
        <f>$W$153*13.8/100</f>
        <v>151.80000000000001</v>
      </c>
      <c r="X154" s="11">
        <f>$X$153*13.8/100</f>
        <v>151.80000000000001</v>
      </c>
      <c r="Y154" s="11">
        <f>$Y$153*13.8/100</f>
        <v>151.80000000000001</v>
      </c>
      <c r="Z154" s="11">
        <f>$Z$153*13.8/100</f>
        <v>151.80000000000001</v>
      </c>
      <c r="AA154" s="11">
        <f>$AA$153*13.8/100</f>
        <v>151.80000000000001</v>
      </c>
      <c r="AB154" s="11">
        <f>1100*13.8/100</f>
        <v>151.80000000000001</v>
      </c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>
        <f t="shared" si="22"/>
        <v>1517.9999999999998</v>
      </c>
      <c r="AU154" s="2">
        <f t="shared" si="24"/>
        <v>0</v>
      </c>
      <c r="IS154" s="3"/>
    </row>
    <row r="155" spans="1:253">
      <c r="B155" s="2" t="s">
        <v>307</v>
      </c>
      <c r="C155" s="11">
        <f t="shared" si="23"/>
        <v>1076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>
        <f>1076/2</f>
        <v>538</v>
      </c>
      <c r="AB155" s="11">
        <f>1076/2</f>
        <v>538</v>
      </c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>
        <f t="shared" si="22"/>
        <v>1076</v>
      </c>
      <c r="AU155" s="2">
        <f t="shared" si="24"/>
        <v>0</v>
      </c>
      <c r="IS155" s="3"/>
    </row>
    <row r="156" spans="1:253">
      <c r="B156" s="2" t="s">
        <v>83</v>
      </c>
      <c r="C156" s="11">
        <f t="shared" si="23"/>
        <v>8773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>
        <v>720</v>
      </c>
      <c r="X156" s="11">
        <f>900*2</f>
        <v>1800</v>
      </c>
      <c r="Y156" s="11">
        <f>900*2</f>
        <v>1800</v>
      </c>
      <c r="Z156" s="11">
        <f>900*2</f>
        <v>1800</v>
      </c>
      <c r="AA156" s="11">
        <f>900*2+853</f>
        <v>2653</v>
      </c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>
        <f t="shared" si="22"/>
        <v>8773</v>
      </c>
      <c r="AU156" s="2">
        <f t="shared" si="24"/>
        <v>0</v>
      </c>
      <c r="IS156" s="3"/>
    </row>
    <row r="157" spans="1:253">
      <c r="B157" s="2" t="s">
        <v>84</v>
      </c>
      <c r="C157" s="11">
        <f t="shared" si="23"/>
        <v>1092.96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>
        <f>$W$156*13.8/100</f>
        <v>99.36</v>
      </c>
      <c r="X157" s="11">
        <f>$X$156*13.8/100</f>
        <v>248.4</v>
      </c>
      <c r="Y157" s="11">
        <f>$Y$156*13.8/100</f>
        <v>248.4</v>
      </c>
      <c r="Z157" s="11">
        <f>$Z$156*13.8/100</f>
        <v>248.4</v>
      </c>
      <c r="AA157" s="11">
        <f>1800*13.8/100</f>
        <v>248.4</v>
      </c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>
        <f t="shared" si="22"/>
        <v>1092.96</v>
      </c>
      <c r="AU157" s="2">
        <f t="shared" si="24"/>
        <v>0</v>
      </c>
      <c r="IS157" s="3"/>
    </row>
    <row r="158" spans="1:253">
      <c r="B158" s="2" t="s">
        <v>308</v>
      </c>
      <c r="C158" s="11">
        <f t="shared" si="23"/>
        <v>384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>
        <v>384</v>
      </c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>
        <f t="shared" si="22"/>
        <v>384</v>
      </c>
      <c r="AU158" s="2">
        <f t="shared" si="24"/>
        <v>0</v>
      </c>
      <c r="IS158" s="3"/>
    </row>
    <row r="159" spans="1:253">
      <c r="B159" s="2" t="s">
        <v>85</v>
      </c>
      <c r="C159" s="11">
        <f t="shared" si="23"/>
        <v>6181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>
        <v>900</v>
      </c>
      <c r="X159" s="11">
        <v>900</v>
      </c>
      <c r="Y159" s="11">
        <v>900</v>
      </c>
      <c r="Z159" s="11">
        <v>900</v>
      </c>
      <c r="AA159" s="11">
        <v>900</v>
      </c>
      <c r="AB159" s="11">
        <f>900+601</f>
        <v>1501</v>
      </c>
      <c r="AC159" s="11">
        <v>180</v>
      </c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>
        <f t="shared" si="22"/>
        <v>6181</v>
      </c>
      <c r="AU159" s="2">
        <f t="shared" si="24"/>
        <v>0</v>
      </c>
      <c r="IS159" s="3"/>
    </row>
    <row r="160" spans="1:253">
      <c r="B160" s="2" t="s">
        <v>86</v>
      </c>
      <c r="C160" s="11">
        <f t="shared" si="23"/>
        <v>770.04000000000008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>
        <f>$W$159*13.8/100</f>
        <v>124.2</v>
      </c>
      <c r="X160" s="11">
        <f>$X$159*13.8/100</f>
        <v>124.2</v>
      </c>
      <c r="Y160" s="11">
        <f>$Y$159*13.8/100</f>
        <v>124.2</v>
      </c>
      <c r="Z160" s="11">
        <f>$Z$159*13.8/100</f>
        <v>124.2</v>
      </c>
      <c r="AA160" s="11">
        <f>$AA$159*13.8/100</f>
        <v>124.2</v>
      </c>
      <c r="AB160" s="11">
        <f>900*13.8/100</f>
        <v>124.2</v>
      </c>
      <c r="AC160" s="11">
        <f>$AC$159*13.8/100</f>
        <v>24.84</v>
      </c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>
        <f t="shared" si="22"/>
        <v>770.04000000000008</v>
      </c>
      <c r="AU160" s="2">
        <f t="shared" si="24"/>
        <v>0</v>
      </c>
      <c r="IS160" s="3"/>
    </row>
    <row r="161" spans="1:253">
      <c r="B161" s="2" t="s">
        <v>309</v>
      </c>
      <c r="C161" s="11">
        <f t="shared" si="23"/>
        <v>384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>
        <v>384</v>
      </c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>
        <f t="shared" si="22"/>
        <v>384</v>
      </c>
      <c r="AU161" s="2">
        <f t="shared" si="24"/>
        <v>0</v>
      </c>
      <c r="IS161" s="3"/>
    </row>
    <row r="162" spans="1:253">
      <c r="B162" s="2" t="s">
        <v>87</v>
      </c>
      <c r="C162" s="11">
        <f t="shared" si="23"/>
        <v>3323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>
        <v>500</v>
      </c>
      <c r="W162" s="11">
        <v>500</v>
      </c>
      <c r="X162" s="11">
        <v>500</v>
      </c>
      <c r="Y162" s="11">
        <v>500</v>
      </c>
      <c r="Z162" s="11">
        <v>500</v>
      </c>
      <c r="AA162" s="11">
        <f>500+323</f>
        <v>823</v>
      </c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>
        <f t="shared" si="22"/>
        <v>3323</v>
      </c>
      <c r="AU162" s="2">
        <f t="shared" si="24"/>
        <v>0</v>
      </c>
      <c r="IS162" s="3"/>
    </row>
    <row r="163" spans="1:253">
      <c r="B163" s="2" t="s">
        <v>88</v>
      </c>
      <c r="C163" s="11">
        <f t="shared" si="23"/>
        <v>413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>
        <f>$V$162*13.8/100</f>
        <v>69</v>
      </c>
      <c r="W163" s="11">
        <f>$W$162*13.8/100</f>
        <v>69</v>
      </c>
      <c r="X163" s="11">
        <f>$X$162*13.8/100</f>
        <v>69</v>
      </c>
      <c r="Y163" s="11">
        <f>$Y$162*13.8/100</f>
        <v>69</v>
      </c>
      <c r="Z163" s="11">
        <f>$Z$162*13.8/100</f>
        <v>69</v>
      </c>
      <c r="AA163" s="11">
        <f>500*13.8/100-1</f>
        <v>68</v>
      </c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>
        <f t="shared" si="22"/>
        <v>413</v>
      </c>
      <c r="AU163" s="2">
        <f t="shared" si="24"/>
        <v>0</v>
      </c>
      <c r="IS163" s="3"/>
    </row>
    <row r="164" spans="1:253">
      <c r="B164" s="2" t="s">
        <v>310</v>
      </c>
      <c r="C164" s="11">
        <f t="shared" si="23"/>
        <v>538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>
        <f>538/2</f>
        <v>269</v>
      </c>
      <c r="AB164" s="11">
        <f>538/2</f>
        <v>269</v>
      </c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>
        <f t="shared" si="22"/>
        <v>538</v>
      </c>
      <c r="AU164" s="2">
        <f t="shared" si="24"/>
        <v>0</v>
      </c>
      <c r="IS164" s="3"/>
    </row>
    <row r="165" spans="1:253" ht="15.75">
      <c r="A165" s="7">
        <v>15</v>
      </c>
      <c r="B165" s="7" t="s">
        <v>89</v>
      </c>
      <c r="C165" s="11">
        <f t="shared" si="23"/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>
        <f t="shared" si="22"/>
        <v>0</v>
      </c>
      <c r="AU165" s="2">
        <f t="shared" si="24"/>
        <v>0</v>
      </c>
      <c r="IS165" s="3"/>
    </row>
    <row r="166" spans="1:253">
      <c r="B166" s="2" t="s">
        <v>90</v>
      </c>
      <c r="C166" s="11">
        <f t="shared" si="23"/>
        <v>14976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>
        <v>1300</v>
      </c>
      <c r="T166" s="11">
        <v>1300</v>
      </c>
      <c r="U166" s="11">
        <v>1300</v>
      </c>
      <c r="V166" s="11">
        <v>1300</v>
      </c>
      <c r="W166" s="11">
        <v>1300</v>
      </c>
      <c r="X166" s="11">
        <v>1300</v>
      </c>
      <c r="Y166" s="11">
        <v>1300</v>
      </c>
      <c r="Z166" s="11">
        <v>1300</v>
      </c>
      <c r="AA166" s="11">
        <v>1300</v>
      </c>
      <c r="AB166" s="11">
        <v>1300</v>
      </c>
      <c r="AC166" s="11">
        <f>520+1456</f>
        <v>1976</v>
      </c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>
        <f t="shared" si="22"/>
        <v>14976</v>
      </c>
      <c r="AU166" s="2">
        <f t="shared" si="24"/>
        <v>0</v>
      </c>
      <c r="IS166" s="3"/>
    </row>
    <row r="167" spans="1:253">
      <c r="B167" s="2" t="s">
        <v>91</v>
      </c>
      <c r="C167" s="11">
        <f t="shared" si="23"/>
        <v>8862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>
        <v>1000</v>
      </c>
      <c r="W167" s="11">
        <v>1000</v>
      </c>
      <c r="X167" s="11">
        <v>1000</v>
      </c>
      <c r="Y167" s="11">
        <v>1000</v>
      </c>
      <c r="Z167" s="11">
        <v>1000</v>
      </c>
      <c r="AA167" s="11">
        <v>1000</v>
      </c>
      <c r="AB167" s="11">
        <v>1000</v>
      </c>
      <c r="AC167" s="11">
        <f>1000+862</f>
        <v>1862</v>
      </c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>
        <f t="shared" si="22"/>
        <v>8862</v>
      </c>
      <c r="AU167" s="2">
        <f t="shared" si="24"/>
        <v>0</v>
      </c>
      <c r="IS167" s="3"/>
    </row>
    <row r="168" spans="1:253">
      <c r="B168" s="2" t="s">
        <v>311</v>
      </c>
      <c r="C168" s="11">
        <f t="shared" si="23"/>
        <v>1076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>
        <f>1076/2</f>
        <v>538</v>
      </c>
      <c r="AB168" s="11">
        <f>1076/2</f>
        <v>538</v>
      </c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>
        <f t="shared" si="22"/>
        <v>1076</v>
      </c>
      <c r="AU168" s="2">
        <f t="shared" si="24"/>
        <v>0</v>
      </c>
      <c r="IS168" s="3"/>
    </row>
    <row r="169" spans="1:253">
      <c r="B169" s="2" t="s">
        <v>92</v>
      </c>
      <c r="C169" s="11">
        <f t="shared" si="23"/>
        <v>4810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>
        <v>450</v>
      </c>
      <c r="X169" s="11">
        <v>900</v>
      </c>
      <c r="Y169" s="11">
        <v>900</v>
      </c>
      <c r="Z169" s="11">
        <v>900</v>
      </c>
      <c r="AA169" s="11">
        <v>900</v>
      </c>
      <c r="AB169" s="11">
        <f>180+580</f>
        <v>760</v>
      </c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>
        <f t="shared" si="22"/>
        <v>4810</v>
      </c>
      <c r="AU169" s="2">
        <f t="shared" si="24"/>
        <v>0</v>
      </c>
      <c r="IS169" s="3"/>
    </row>
    <row r="170" spans="1:253">
      <c r="B170" s="2" t="s">
        <v>93</v>
      </c>
      <c r="C170" s="11">
        <f t="shared" si="23"/>
        <v>742.78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>
        <f>$W$169*13.8/100</f>
        <v>62.1</v>
      </c>
      <c r="X170" s="11">
        <f>$X$169*13.8/100</f>
        <v>124.2</v>
      </c>
      <c r="Y170" s="11">
        <f>$Y$169*13.8/100</f>
        <v>124.2</v>
      </c>
      <c r="Z170" s="11">
        <f>$Z$169*13.8/100</f>
        <v>124.2</v>
      </c>
      <c r="AA170" s="11">
        <f>$AA$169*13.8/100</f>
        <v>124.2</v>
      </c>
      <c r="AB170" s="11">
        <f>$AB$169*13.8/100+79</f>
        <v>183.88</v>
      </c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>
        <f t="shared" si="22"/>
        <v>742.78</v>
      </c>
      <c r="AU170" s="2">
        <f t="shared" si="24"/>
        <v>0</v>
      </c>
      <c r="IS170" s="3"/>
    </row>
    <row r="171" spans="1:253">
      <c r="B171" s="2" t="s">
        <v>312</v>
      </c>
      <c r="C171" s="11">
        <f t="shared" si="23"/>
        <v>1153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>
        <f>1153/3*1</f>
        <v>384.33333333333331</v>
      </c>
      <c r="AB171" s="11">
        <f>1153/3*2</f>
        <v>768.66666666666663</v>
      </c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>
        <f t="shared" si="22"/>
        <v>1153</v>
      </c>
      <c r="AU171" s="2">
        <f t="shared" si="24"/>
        <v>0</v>
      </c>
      <c r="IS171" s="3"/>
    </row>
    <row r="172" spans="1:253">
      <c r="B172" s="2" t="s">
        <v>94</v>
      </c>
      <c r="C172" s="11">
        <f t="shared" si="23"/>
        <v>4431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>
        <f>4000/4</f>
        <v>1000</v>
      </c>
      <c r="Y172" s="11">
        <f>4000/4</f>
        <v>1000</v>
      </c>
      <c r="Z172" s="11">
        <f>4000/4</f>
        <v>1000</v>
      </c>
      <c r="AA172" s="11">
        <f>4000/4+431</f>
        <v>1431</v>
      </c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>
        <f t="shared" si="22"/>
        <v>4431</v>
      </c>
      <c r="AU172" s="2">
        <f t="shared" si="24"/>
        <v>0</v>
      </c>
      <c r="IS172" s="3"/>
    </row>
    <row r="173" spans="1:253">
      <c r="B173" s="2" t="s">
        <v>95</v>
      </c>
      <c r="C173" s="11">
        <f t="shared" si="23"/>
        <v>552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>
        <f>$X$172*13.8/100</f>
        <v>138</v>
      </c>
      <c r="Y173" s="11">
        <f>$Y$172*13.8/100</f>
        <v>138</v>
      </c>
      <c r="Z173" s="11">
        <f>$Z$172*13.8/100</f>
        <v>138</v>
      </c>
      <c r="AA173" s="11">
        <f>1000*13.8/100</f>
        <v>138</v>
      </c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>
        <f t="shared" si="22"/>
        <v>552</v>
      </c>
      <c r="AU173" s="2">
        <f t="shared" si="24"/>
        <v>0</v>
      </c>
      <c r="IS173" s="3"/>
    </row>
    <row r="174" spans="1:253">
      <c r="B174" s="2" t="s">
        <v>313</v>
      </c>
      <c r="C174" s="11">
        <f t="shared" si="23"/>
        <v>515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>
        <v>515</v>
      </c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>
        <f t="shared" si="22"/>
        <v>515</v>
      </c>
      <c r="AU174" s="2">
        <f t="shared" si="24"/>
        <v>0</v>
      </c>
      <c r="IS174" s="3"/>
    </row>
    <row r="175" spans="1:253">
      <c r="B175" s="2" t="s">
        <v>96</v>
      </c>
      <c r="C175" s="11">
        <f t="shared" si="23"/>
        <v>10368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>
        <v>1300</v>
      </c>
      <c r="W175" s="11">
        <v>1300</v>
      </c>
      <c r="X175" s="11">
        <v>1300</v>
      </c>
      <c r="Y175" s="11">
        <v>1300</v>
      </c>
      <c r="Z175" s="11">
        <v>1300</v>
      </c>
      <c r="AA175" s="11">
        <v>1300</v>
      </c>
      <c r="AB175" s="11">
        <v>1300</v>
      </c>
      <c r="AC175" s="11">
        <f>260+1008</f>
        <v>1268</v>
      </c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>
        <f t="shared" si="22"/>
        <v>10368</v>
      </c>
      <c r="AU175" s="2">
        <f t="shared" si="24"/>
        <v>0</v>
      </c>
      <c r="IS175" s="3"/>
    </row>
    <row r="176" spans="1:253">
      <c r="B176" s="2" t="s">
        <v>97</v>
      </c>
      <c r="C176" s="11">
        <f t="shared" si="23"/>
        <v>5701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>
        <v>1000</v>
      </c>
      <c r="X176" s="11">
        <v>1000</v>
      </c>
      <c r="Y176" s="11">
        <v>1000</v>
      </c>
      <c r="Z176" s="11">
        <v>1000</v>
      </c>
      <c r="AA176" s="11">
        <f>1000+701</f>
        <v>1701</v>
      </c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>
        <f t="shared" si="22"/>
        <v>5701</v>
      </c>
      <c r="AU176" s="2">
        <f t="shared" si="24"/>
        <v>0</v>
      </c>
      <c r="IS176" s="3"/>
    </row>
    <row r="177" spans="1:253">
      <c r="B177" s="2" t="s">
        <v>98</v>
      </c>
      <c r="C177" s="11">
        <f t="shared" si="23"/>
        <v>898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>
        <f>$W$176*13.8/100</f>
        <v>138</v>
      </c>
      <c r="X177" s="11">
        <f>$X$176*13.8/100</f>
        <v>138</v>
      </c>
      <c r="Y177" s="11">
        <f>$Y$176*13.8/100</f>
        <v>138</v>
      </c>
      <c r="Z177" s="11">
        <f>$Z$176*13.8/100</f>
        <v>138</v>
      </c>
      <c r="AA177" s="11">
        <f>1000*13.8/100+208</f>
        <v>346</v>
      </c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>
        <f t="shared" si="22"/>
        <v>898</v>
      </c>
      <c r="AU177" s="2">
        <f t="shared" si="24"/>
        <v>0</v>
      </c>
      <c r="IS177" s="3"/>
    </row>
    <row r="178" spans="1:253">
      <c r="B178" s="2" t="s">
        <v>314</v>
      </c>
      <c r="C178" s="11">
        <f t="shared" si="23"/>
        <v>1506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>
        <f>1506/1.4*0.4</f>
        <v>430.28571428571433</v>
      </c>
      <c r="AB178" s="11">
        <f>1506/1.4</f>
        <v>1075.7142857142858</v>
      </c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>
        <f t="shared" si="22"/>
        <v>1506</v>
      </c>
      <c r="AU178" s="2">
        <f t="shared" si="24"/>
        <v>0</v>
      </c>
      <c r="IS178" s="3"/>
    </row>
    <row r="179" spans="1:253">
      <c r="B179" s="2" t="s">
        <v>99</v>
      </c>
      <c r="C179" s="11">
        <f t="shared" si="23"/>
        <v>4000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>
        <f>4000/4</f>
        <v>1000</v>
      </c>
      <c r="Y179" s="11">
        <f>4000/4</f>
        <v>1000</v>
      </c>
      <c r="Z179" s="11">
        <f>4000/4</f>
        <v>1000</v>
      </c>
      <c r="AA179" s="11">
        <f>4000/4</f>
        <v>1000</v>
      </c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>
        <f t="shared" si="22"/>
        <v>4000</v>
      </c>
      <c r="AU179" s="2">
        <f t="shared" si="24"/>
        <v>0</v>
      </c>
      <c r="IS179" s="3"/>
    </row>
    <row r="180" spans="1:253">
      <c r="B180" s="2" t="s">
        <v>100</v>
      </c>
      <c r="C180" s="11">
        <f t="shared" si="23"/>
        <v>551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>
        <f>$X$179*13.8/100</f>
        <v>138</v>
      </c>
      <c r="Y180" s="11">
        <f>$Y$179*13.8/100</f>
        <v>138</v>
      </c>
      <c r="Z180" s="11">
        <f>$Z$179*13.8/100</f>
        <v>138</v>
      </c>
      <c r="AA180" s="11">
        <f>1000*13.8/100-1</f>
        <v>137</v>
      </c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>
        <f t="shared" si="22"/>
        <v>551</v>
      </c>
      <c r="AU180" s="2">
        <f t="shared" si="24"/>
        <v>0</v>
      </c>
      <c r="IS180" s="3"/>
    </row>
    <row r="181" spans="1:253">
      <c r="B181" s="2" t="s">
        <v>315</v>
      </c>
      <c r="C181" s="11">
        <f t="shared" si="23"/>
        <v>384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>
        <v>384</v>
      </c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>
        <f t="shared" si="22"/>
        <v>384</v>
      </c>
      <c r="AU181" s="2">
        <f t="shared" si="24"/>
        <v>0</v>
      </c>
      <c r="IS181" s="3"/>
    </row>
    <row r="182" spans="1:253" ht="15.75">
      <c r="A182" s="7">
        <v>16</v>
      </c>
      <c r="B182" s="7" t="s">
        <v>101</v>
      </c>
      <c r="C182" s="11">
        <f t="shared" si="23"/>
        <v>0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>
        <f t="shared" si="22"/>
        <v>0</v>
      </c>
      <c r="AU182" s="2">
        <f t="shared" si="24"/>
        <v>0</v>
      </c>
      <c r="IS182" s="3"/>
    </row>
    <row r="183" spans="1:253">
      <c r="B183" s="2" t="s">
        <v>102</v>
      </c>
      <c r="C183" s="11">
        <f t="shared" si="23"/>
        <v>23926</v>
      </c>
      <c r="D183" s="11" t="s">
        <v>379</v>
      </c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>
        <v>1500</v>
      </c>
      <c r="Y183" s="11">
        <v>1500</v>
      </c>
      <c r="Z183" s="11">
        <v>1500</v>
      </c>
      <c r="AA183" s="11">
        <v>1500</v>
      </c>
      <c r="AB183" s="11">
        <v>1500</v>
      </c>
      <c r="AC183" s="11">
        <v>1500</v>
      </c>
      <c r="AD183" s="11">
        <v>1500</v>
      </c>
      <c r="AE183" s="11">
        <v>1500</v>
      </c>
      <c r="AF183" s="11">
        <v>1500</v>
      </c>
      <c r="AG183" s="11">
        <v>1500</v>
      </c>
      <c r="AH183" s="11">
        <v>1500</v>
      </c>
      <c r="AI183" s="11">
        <v>1500</v>
      </c>
      <c r="AJ183" s="11">
        <v>1500</v>
      </c>
      <c r="AK183" s="11">
        <v>300</v>
      </c>
      <c r="AL183" s="11">
        <v>300</v>
      </c>
      <c r="AM183" s="11">
        <v>300</v>
      </c>
      <c r="AN183" s="11">
        <v>300</v>
      </c>
      <c r="AO183" s="11">
        <v>300</v>
      </c>
      <c r="AP183" s="11">
        <v>300</v>
      </c>
      <c r="AQ183" s="11">
        <f>300+2326</f>
        <v>2626</v>
      </c>
      <c r="AR183" s="11"/>
      <c r="AS183" s="11"/>
      <c r="AT183" s="11">
        <f t="shared" si="22"/>
        <v>23926</v>
      </c>
      <c r="AU183" s="2">
        <f t="shared" si="24"/>
        <v>0</v>
      </c>
      <c r="IS183" s="3"/>
    </row>
    <row r="184" spans="1:253">
      <c r="B184" s="2" t="s">
        <v>103</v>
      </c>
      <c r="C184" s="11">
        <f t="shared" si="23"/>
        <v>11520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>
        <v>800</v>
      </c>
      <c r="Y184" s="11">
        <v>800</v>
      </c>
      <c r="Z184" s="11">
        <v>800</v>
      </c>
      <c r="AA184" s="11">
        <v>800</v>
      </c>
      <c r="AB184" s="11">
        <v>800</v>
      </c>
      <c r="AC184" s="11">
        <v>800</v>
      </c>
      <c r="AD184" s="11">
        <v>800</v>
      </c>
      <c r="AE184" s="11">
        <v>800</v>
      </c>
      <c r="AF184" s="11">
        <v>800</v>
      </c>
      <c r="AG184" s="11">
        <v>800</v>
      </c>
      <c r="AH184" s="11">
        <v>800</v>
      </c>
      <c r="AI184" s="11">
        <v>800</v>
      </c>
      <c r="AJ184" s="11">
        <f>800+1120</f>
        <v>1920</v>
      </c>
      <c r="AK184" s="11"/>
      <c r="AL184" s="11"/>
      <c r="AM184" s="11"/>
      <c r="AN184" s="11"/>
      <c r="AO184" s="11"/>
      <c r="AP184" s="11"/>
      <c r="AQ184" s="11"/>
      <c r="AR184" s="11"/>
      <c r="AS184" s="11"/>
      <c r="AT184" s="11">
        <f t="shared" si="22"/>
        <v>11520</v>
      </c>
      <c r="AU184" s="2">
        <f t="shared" si="24"/>
        <v>0</v>
      </c>
      <c r="IS184" s="3"/>
    </row>
    <row r="185" spans="1:253">
      <c r="B185" s="2" t="s">
        <v>104</v>
      </c>
      <c r="C185" s="11">
        <f t="shared" si="23"/>
        <v>1435.2000000000003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>
        <f>$X$184*13.8/100</f>
        <v>110.4</v>
      </c>
      <c r="Y185" s="11">
        <f>$Y$184*13.8/100</f>
        <v>110.4</v>
      </c>
      <c r="Z185" s="11">
        <f>$Z$184*13.8/100</f>
        <v>110.4</v>
      </c>
      <c r="AA185" s="11">
        <f>$AA$184*13.8/100</f>
        <v>110.4</v>
      </c>
      <c r="AB185" s="11">
        <f>$AB$184*13.8/100</f>
        <v>110.4</v>
      </c>
      <c r="AC185" s="11">
        <f>$AC$184*13.8/100</f>
        <v>110.4</v>
      </c>
      <c r="AD185" s="11">
        <f>$AD$184*13.8/100</f>
        <v>110.4</v>
      </c>
      <c r="AE185" s="11">
        <f>$AE$184*13.8/100</f>
        <v>110.4</v>
      </c>
      <c r="AF185" s="11">
        <f>$AF$184*13.8/100</f>
        <v>110.4</v>
      </c>
      <c r="AG185" s="11">
        <f>$AG$184*13.8/100</f>
        <v>110.4</v>
      </c>
      <c r="AH185" s="11">
        <f>$AH$184*13.8/100</f>
        <v>110.4</v>
      </c>
      <c r="AI185" s="11">
        <f>$AI$184*13.8/100</f>
        <v>110.4</v>
      </c>
      <c r="AJ185" s="11">
        <f>800*13.8/100</f>
        <v>110.4</v>
      </c>
      <c r="AK185" s="11"/>
      <c r="AL185" s="11"/>
      <c r="AM185" s="11"/>
      <c r="AN185" s="11"/>
      <c r="AO185" s="11"/>
      <c r="AP185" s="11"/>
      <c r="AQ185" s="11"/>
      <c r="AR185" s="11"/>
      <c r="AS185" s="11"/>
      <c r="AT185" s="11">
        <f t="shared" si="22"/>
        <v>1435.2000000000003</v>
      </c>
      <c r="AU185" s="2">
        <f t="shared" si="24"/>
        <v>0</v>
      </c>
      <c r="IS185" s="3"/>
    </row>
    <row r="186" spans="1:253">
      <c r="B186" s="2" t="s">
        <v>105</v>
      </c>
      <c r="C186" s="11">
        <f t="shared" si="23"/>
        <v>10000</v>
      </c>
      <c r="D186" s="11" t="s">
        <v>379</v>
      </c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>
        <f t="shared" ref="X186:AQ186" si="25">10000/20</f>
        <v>500</v>
      </c>
      <c r="Y186" s="11">
        <f t="shared" si="25"/>
        <v>500</v>
      </c>
      <c r="Z186" s="11">
        <f t="shared" si="25"/>
        <v>500</v>
      </c>
      <c r="AA186" s="11">
        <f t="shared" si="25"/>
        <v>500</v>
      </c>
      <c r="AB186" s="11">
        <f t="shared" si="25"/>
        <v>500</v>
      </c>
      <c r="AC186" s="11">
        <f t="shared" si="25"/>
        <v>500</v>
      </c>
      <c r="AD186" s="11">
        <f t="shared" si="25"/>
        <v>500</v>
      </c>
      <c r="AE186" s="11">
        <f t="shared" si="25"/>
        <v>500</v>
      </c>
      <c r="AF186" s="11">
        <f t="shared" si="25"/>
        <v>500</v>
      </c>
      <c r="AG186" s="11">
        <f t="shared" si="25"/>
        <v>500</v>
      </c>
      <c r="AH186" s="11">
        <f t="shared" si="25"/>
        <v>500</v>
      </c>
      <c r="AI186" s="11">
        <f t="shared" si="25"/>
        <v>500</v>
      </c>
      <c r="AJ186" s="11">
        <f t="shared" si="25"/>
        <v>500</v>
      </c>
      <c r="AK186" s="11">
        <f t="shared" si="25"/>
        <v>500</v>
      </c>
      <c r="AL186" s="11">
        <f t="shared" si="25"/>
        <v>500</v>
      </c>
      <c r="AM186" s="11">
        <f t="shared" si="25"/>
        <v>500</v>
      </c>
      <c r="AN186" s="11">
        <f t="shared" si="25"/>
        <v>500</v>
      </c>
      <c r="AO186" s="11">
        <f t="shared" si="25"/>
        <v>500</v>
      </c>
      <c r="AP186" s="11">
        <f t="shared" si="25"/>
        <v>500</v>
      </c>
      <c r="AQ186" s="11">
        <f t="shared" si="25"/>
        <v>500</v>
      </c>
      <c r="AR186" s="11"/>
      <c r="AS186" s="11"/>
      <c r="AT186" s="11">
        <f t="shared" si="22"/>
        <v>10000</v>
      </c>
      <c r="AU186" s="2">
        <f t="shared" si="24"/>
        <v>0</v>
      </c>
      <c r="IS186" s="3"/>
    </row>
    <row r="187" spans="1:253" ht="15.75">
      <c r="A187" s="7">
        <v>17</v>
      </c>
      <c r="B187" s="7" t="s">
        <v>106</v>
      </c>
      <c r="C187" s="11">
        <f t="shared" si="23"/>
        <v>0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>
        <f t="shared" si="22"/>
        <v>0</v>
      </c>
      <c r="AU187" s="2">
        <f t="shared" si="24"/>
        <v>0</v>
      </c>
      <c r="IS187" s="3"/>
    </row>
    <row r="188" spans="1:253">
      <c r="B188" s="2" t="s">
        <v>22</v>
      </c>
      <c r="C188" s="11">
        <f t="shared" si="23"/>
        <v>3000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>
        <f>3000/4</f>
        <v>750</v>
      </c>
      <c r="Y188" s="11">
        <f>3000/4</f>
        <v>750</v>
      </c>
      <c r="Z188" s="11">
        <f>3000/4</f>
        <v>750</v>
      </c>
      <c r="AA188" s="11">
        <f>3000/4</f>
        <v>750</v>
      </c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>
        <f t="shared" si="22"/>
        <v>3000</v>
      </c>
      <c r="AU188" s="2">
        <f t="shared" si="24"/>
        <v>0</v>
      </c>
      <c r="IS188" s="3"/>
    </row>
    <row r="189" spans="1:253">
      <c r="B189" s="2" t="s">
        <v>316</v>
      </c>
      <c r="C189" s="11">
        <f t="shared" si="23"/>
        <v>1537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>
        <v>1537</v>
      </c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>
        <f t="shared" si="22"/>
        <v>1537</v>
      </c>
      <c r="AU189" s="2">
        <f t="shared" si="24"/>
        <v>0</v>
      </c>
      <c r="IS189" s="3"/>
    </row>
    <row r="190" spans="1:253" ht="15.75">
      <c r="A190" s="7">
        <v>19</v>
      </c>
      <c r="B190" s="7" t="s">
        <v>107</v>
      </c>
      <c r="C190" s="11">
        <f t="shared" si="23"/>
        <v>0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>
        <f t="shared" si="22"/>
        <v>0</v>
      </c>
      <c r="AU190" s="2">
        <f t="shared" si="24"/>
        <v>0</v>
      </c>
      <c r="IS190" s="3"/>
    </row>
    <row r="191" spans="1:253">
      <c r="B191" s="2" t="s">
        <v>108</v>
      </c>
      <c r="C191" s="11">
        <f t="shared" si="23"/>
        <v>15000</v>
      </c>
      <c r="D191" s="11" t="s">
        <v>379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>
        <v>5000</v>
      </c>
      <c r="R191" s="11"/>
      <c r="S191" s="11"/>
      <c r="T191" s="11"/>
      <c r="U191" s="11">
        <v>5000</v>
      </c>
      <c r="V191" s="11"/>
      <c r="W191" s="11"/>
      <c r="X191" s="11">
        <v>5000</v>
      </c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>
        <f t="shared" si="22"/>
        <v>15000</v>
      </c>
      <c r="AU191" s="2">
        <f t="shared" si="24"/>
        <v>0</v>
      </c>
      <c r="IS191" s="3"/>
    </row>
    <row r="192" spans="1:253">
      <c r="B192" s="2" t="s">
        <v>109</v>
      </c>
      <c r="C192" s="11">
        <f t="shared" si="23"/>
        <v>40000</v>
      </c>
      <c r="D192" s="11" t="s">
        <v>379</v>
      </c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>
        <v>20000</v>
      </c>
      <c r="V192" s="11"/>
      <c r="W192" s="11"/>
      <c r="X192" s="11">
        <v>20000</v>
      </c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>
        <f t="shared" si="22"/>
        <v>40000</v>
      </c>
      <c r="AU192" s="2">
        <f t="shared" si="24"/>
        <v>0</v>
      </c>
      <c r="IS192" s="3"/>
    </row>
    <row r="193" spans="1:253">
      <c r="B193" s="2" t="s">
        <v>317</v>
      </c>
      <c r="C193" s="11">
        <f t="shared" si="23"/>
        <v>5764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>
        <v>5764</v>
      </c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>
        <f t="shared" si="22"/>
        <v>5764</v>
      </c>
      <c r="AU193" s="2">
        <f t="shared" si="24"/>
        <v>0</v>
      </c>
      <c r="IS193" s="3"/>
    </row>
    <row r="194" spans="1:253">
      <c r="B194" s="2" t="s">
        <v>110</v>
      </c>
      <c r="C194" s="11">
        <f t="shared" si="23"/>
        <v>5000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>
        <v>2500</v>
      </c>
      <c r="V194" s="11"/>
      <c r="W194" s="11"/>
      <c r="X194" s="11">
        <v>2500</v>
      </c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>
        <f t="shared" si="22"/>
        <v>5000</v>
      </c>
      <c r="AU194" s="2">
        <f t="shared" si="24"/>
        <v>0</v>
      </c>
      <c r="IS194" s="3"/>
    </row>
    <row r="195" spans="1:253">
      <c r="B195" s="2" t="s">
        <v>111</v>
      </c>
      <c r="C195" s="11">
        <f t="shared" si="23"/>
        <v>2800</v>
      </c>
      <c r="D195" s="11" t="s">
        <v>379</v>
      </c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>
        <f>2800/4</f>
        <v>700</v>
      </c>
      <c r="Y195" s="11">
        <f>2800/4</f>
        <v>700</v>
      </c>
      <c r="Z195" s="11">
        <f>2800/4</f>
        <v>700</v>
      </c>
      <c r="AA195" s="11">
        <f>2800/4</f>
        <v>700</v>
      </c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>
        <f t="shared" si="22"/>
        <v>2800</v>
      </c>
      <c r="AU195" s="2">
        <f t="shared" si="24"/>
        <v>0</v>
      </c>
      <c r="IS195" s="3"/>
    </row>
    <row r="196" spans="1:253">
      <c r="B196" s="2" t="s">
        <v>318</v>
      </c>
      <c r="C196" s="11">
        <f t="shared" si="23"/>
        <v>4211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>
        <f>7011-2800</f>
        <v>4211</v>
      </c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>
        <f t="shared" si="22"/>
        <v>4211</v>
      </c>
      <c r="AU196" s="2">
        <f t="shared" si="24"/>
        <v>0</v>
      </c>
      <c r="IS196" s="3"/>
    </row>
    <row r="197" spans="1:253">
      <c r="B197" s="2" t="s">
        <v>112</v>
      </c>
      <c r="C197" s="11">
        <f t="shared" si="23"/>
        <v>10000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>
        <v>10000</v>
      </c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>
        <f t="shared" si="22"/>
        <v>10000</v>
      </c>
      <c r="AU197" s="2">
        <f t="shared" si="24"/>
        <v>0</v>
      </c>
      <c r="IS197" s="3"/>
    </row>
    <row r="198" spans="1:253">
      <c r="B198" s="2" t="s">
        <v>319</v>
      </c>
      <c r="C198" s="11">
        <f t="shared" si="23"/>
        <v>1153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>
        <v>1153</v>
      </c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>
        <f t="shared" si="22"/>
        <v>1153</v>
      </c>
      <c r="AU198" s="2">
        <f t="shared" si="24"/>
        <v>0</v>
      </c>
      <c r="IS198" s="3"/>
    </row>
    <row r="199" spans="1:253">
      <c r="B199" s="2" t="s">
        <v>113</v>
      </c>
      <c r="C199" s="11">
        <f t="shared" si="23"/>
        <v>2500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>
        <f>2500/4</f>
        <v>625</v>
      </c>
      <c r="Y199" s="11">
        <f>2500/4</f>
        <v>625</v>
      </c>
      <c r="Z199" s="11">
        <f>2500/4</f>
        <v>625</v>
      </c>
      <c r="AA199" s="11">
        <f>2500/4</f>
        <v>625</v>
      </c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>
        <f t="shared" si="22"/>
        <v>2500</v>
      </c>
      <c r="AU199" s="2">
        <f t="shared" si="24"/>
        <v>0</v>
      </c>
      <c r="IS199" s="3"/>
    </row>
    <row r="200" spans="1:253">
      <c r="B200" s="2" t="s">
        <v>114</v>
      </c>
      <c r="C200" s="11">
        <f t="shared" si="23"/>
        <v>3000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>
        <f>3000/4</f>
        <v>750</v>
      </c>
      <c r="Y200" s="11">
        <f>3000/4</f>
        <v>750</v>
      </c>
      <c r="Z200" s="11">
        <f>3000/4</f>
        <v>750</v>
      </c>
      <c r="AA200" s="11">
        <f>3000/4</f>
        <v>750</v>
      </c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>
        <f t="shared" si="22"/>
        <v>3000</v>
      </c>
      <c r="AU200" s="2">
        <f t="shared" si="24"/>
        <v>0</v>
      </c>
      <c r="IS200" s="3"/>
    </row>
    <row r="201" spans="1:253">
      <c r="B201" s="2" t="s">
        <v>320</v>
      </c>
      <c r="C201" s="11">
        <f t="shared" si="23"/>
        <v>615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>
        <v>615</v>
      </c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>
        <f t="shared" ref="AT201:AT264" si="26">SUM(E201:AS201)</f>
        <v>615</v>
      </c>
      <c r="AU201" s="2">
        <f t="shared" si="24"/>
        <v>0</v>
      </c>
      <c r="IS201" s="3"/>
    </row>
    <row r="202" spans="1:253">
      <c r="B202" s="2" t="s">
        <v>115</v>
      </c>
      <c r="C202" s="11">
        <f t="shared" ref="C202:C265" si="27">SUM(E202:AS202)</f>
        <v>1500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>
        <v>1500</v>
      </c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>
        <f t="shared" si="26"/>
        <v>1500</v>
      </c>
      <c r="AU202" s="2">
        <f t="shared" ref="AU202:AU265" si="28">C202-AT202</f>
        <v>0</v>
      </c>
      <c r="IS202" s="3"/>
    </row>
    <row r="203" spans="1:253" ht="15.75">
      <c r="A203" s="7">
        <v>20</v>
      </c>
      <c r="B203" s="7" t="s">
        <v>116</v>
      </c>
      <c r="C203" s="11">
        <f t="shared" si="27"/>
        <v>0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>
        <f t="shared" si="26"/>
        <v>0</v>
      </c>
      <c r="AU203" s="2">
        <f t="shared" si="28"/>
        <v>0</v>
      </c>
      <c r="IS203" s="3"/>
    </row>
    <row r="204" spans="1:253" ht="15.75">
      <c r="A204" s="7"/>
      <c r="B204" s="2" t="s">
        <v>117</v>
      </c>
      <c r="C204" s="11">
        <f t="shared" si="27"/>
        <v>6000</v>
      </c>
      <c r="D204" s="11" t="s">
        <v>379</v>
      </c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>
        <f>6000/4</f>
        <v>1500</v>
      </c>
      <c r="Y204" s="11">
        <f>6000/4</f>
        <v>1500</v>
      </c>
      <c r="Z204" s="11">
        <f>6000/4</f>
        <v>1500</v>
      </c>
      <c r="AA204" s="11">
        <f>6000/4</f>
        <v>1500</v>
      </c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>
        <f t="shared" si="26"/>
        <v>6000</v>
      </c>
      <c r="AU204" s="2">
        <f t="shared" si="28"/>
        <v>0</v>
      </c>
      <c r="IS204" s="3"/>
    </row>
    <row r="205" spans="1:253" ht="15.75">
      <c r="A205" s="7"/>
      <c r="B205" s="2" t="s">
        <v>321</v>
      </c>
      <c r="C205" s="11">
        <f t="shared" si="27"/>
        <v>2306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>
        <v>2306</v>
      </c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>
        <f t="shared" si="26"/>
        <v>2306</v>
      </c>
      <c r="AU205" s="2">
        <f t="shared" si="28"/>
        <v>0</v>
      </c>
      <c r="IS205" s="3"/>
    </row>
    <row r="206" spans="1:253" ht="15.75">
      <c r="A206" s="7"/>
      <c r="B206" s="2" t="s">
        <v>118</v>
      </c>
      <c r="C206" s="11">
        <f t="shared" si="27"/>
        <v>20000</v>
      </c>
      <c r="D206" s="11" t="s">
        <v>379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>
        <v>10000</v>
      </c>
      <c r="T206" s="11"/>
      <c r="U206" s="11"/>
      <c r="V206" s="11">
        <v>5000</v>
      </c>
      <c r="W206" s="11"/>
      <c r="X206" s="11">
        <v>5000</v>
      </c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>
        <f t="shared" si="26"/>
        <v>20000</v>
      </c>
      <c r="AU206" s="2">
        <f t="shared" si="28"/>
        <v>0</v>
      </c>
      <c r="IS206" s="3"/>
    </row>
    <row r="207" spans="1:253" ht="15.75">
      <c r="A207" s="7"/>
      <c r="B207" s="2" t="s">
        <v>322</v>
      </c>
      <c r="C207" s="11">
        <f t="shared" si="27"/>
        <v>2306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>
        <v>2306</v>
      </c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>
        <f t="shared" si="26"/>
        <v>2306</v>
      </c>
      <c r="AU207" s="2">
        <f t="shared" si="28"/>
        <v>0</v>
      </c>
      <c r="IS207" s="3"/>
    </row>
    <row r="208" spans="1:253" ht="15.75">
      <c r="A208" s="7"/>
      <c r="B208" s="2" t="s">
        <v>119</v>
      </c>
      <c r="C208" s="11">
        <f t="shared" si="27"/>
        <v>600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>
        <f>600/4</f>
        <v>150</v>
      </c>
      <c r="Y208" s="11">
        <f>600/4</f>
        <v>150</v>
      </c>
      <c r="Z208" s="11">
        <f>600/4</f>
        <v>150</v>
      </c>
      <c r="AA208" s="11">
        <f>600/4</f>
        <v>150</v>
      </c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>
        <f t="shared" si="26"/>
        <v>600</v>
      </c>
      <c r="AU208" s="2">
        <f t="shared" si="28"/>
        <v>0</v>
      </c>
      <c r="IS208" s="3"/>
    </row>
    <row r="209" spans="1:253" ht="15.75">
      <c r="A209" s="7"/>
      <c r="B209" s="2" t="s">
        <v>120</v>
      </c>
      <c r="C209" s="11">
        <f t="shared" si="27"/>
        <v>5000</v>
      </c>
      <c r="D209" s="11" t="s">
        <v>379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>
        <v>5000</v>
      </c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>
        <f t="shared" si="26"/>
        <v>5000</v>
      </c>
      <c r="AU209" s="2">
        <f t="shared" si="28"/>
        <v>0</v>
      </c>
      <c r="IS209" s="3"/>
    </row>
    <row r="210" spans="1:253" ht="15.75">
      <c r="A210" s="7"/>
      <c r="B210" s="2" t="s">
        <v>323</v>
      </c>
      <c r="C210" s="11">
        <f t="shared" si="27"/>
        <v>769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>
        <v>769</v>
      </c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>
        <f t="shared" si="26"/>
        <v>769</v>
      </c>
      <c r="AU210" s="2">
        <f t="shared" si="28"/>
        <v>0</v>
      </c>
      <c r="IS210" s="3"/>
    </row>
    <row r="211" spans="1:253" ht="15.75">
      <c r="A211" s="7"/>
      <c r="B211" s="2" t="s">
        <v>119</v>
      </c>
      <c r="C211" s="11">
        <f t="shared" si="27"/>
        <v>750</v>
      </c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>
        <f>750/5</f>
        <v>150</v>
      </c>
      <c r="Y211" s="11">
        <f>750/5</f>
        <v>150</v>
      </c>
      <c r="Z211" s="11">
        <f>750/5</f>
        <v>150</v>
      </c>
      <c r="AA211" s="11">
        <f>750/5</f>
        <v>150</v>
      </c>
      <c r="AB211" s="11">
        <f>750/5</f>
        <v>150</v>
      </c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>
        <f t="shared" si="26"/>
        <v>750</v>
      </c>
      <c r="AU211" s="2">
        <f t="shared" si="28"/>
        <v>0</v>
      </c>
      <c r="IS211" s="3"/>
    </row>
    <row r="212" spans="1:253" ht="15.75">
      <c r="A212" s="7">
        <v>21</v>
      </c>
      <c r="B212" s="7" t="s">
        <v>121</v>
      </c>
      <c r="C212" s="11">
        <f t="shared" si="27"/>
        <v>0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>
        <f t="shared" si="26"/>
        <v>0</v>
      </c>
      <c r="AU212" s="2">
        <f t="shared" si="28"/>
        <v>0</v>
      </c>
      <c r="IS212" s="3"/>
    </row>
    <row r="213" spans="1:253" ht="15.75">
      <c r="A213" s="7"/>
      <c r="B213" s="2" t="s">
        <v>122</v>
      </c>
      <c r="C213" s="11">
        <f t="shared" si="27"/>
        <v>38925</v>
      </c>
      <c r="D213" s="11" t="s">
        <v>379</v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>
        <f>38925/5</f>
        <v>7785</v>
      </c>
      <c r="Y213" s="11">
        <f>38925/5</f>
        <v>7785</v>
      </c>
      <c r="Z213" s="11">
        <f>38925/5</f>
        <v>7785</v>
      </c>
      <c r="AA213" s="11">
        <f>38925/5</f>
        <v>7785</v>
      </c>
      <c r="AB213" s="11">
        <f>38925/5</f>
        <v>7785</v>
      </c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>
        <f t="shared" si="26"/>
        <v>38925</v>
      </c>
      <c r="AU213" s="2">
        <f t="shared" si="28"/>
        <v>0</v>
      </c>
      <c r="IS213" s="3"/>
    </row>
    <row r="214" spans="1:253" ht="15.75">
      <c r="A214" s="7"/>
      <c r="B214" s="2" t="s">
        <v>123</v>
      </c>
      <c r="C214" s="11">
        <f t="shared" si="27"/>
        <v>1200</v>
      </c>
      <c r="D214" s="11" t="s">
        <v>379</v>
      </c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>
        <f>1200/5</f>
        <v>240</v>
      </c>
      <c r="Y214" s="11">
        <f>1200/5</f>
        <v>240</v>
      </c>
      <c r="Z214" s="11">
        <f>1200/5</f>
        <v>240</v>
      </c>
      <c r="AA214" s="11">
        <f>1200/5</f>
        <v>240</v>
      </c>
      <c r="AB214" s="11">
        <f>1200/5</f>
        <v>240</v>
      </c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>
        <f t="shared" si="26"/>
        <v>1200</v>
      </c>
      <c r="AU214" s="2">
        <f t="shared" si="28"/>
        <v>0</v>
      </c>
      <c r="IS214" s="3"/>
    </row>
    <row r="215" spans="1:253" ht="15.75">
      <c r="A215" s="7"/>
      <c r="B215" s="2" t="s">
        <v>364</v>
      </c>
      <c r="C215" s="11">
        <f t="shared" si="27"/>
        <v>50</v>
      </c>
      <c r="D215" s="11"/>
      <c r="E215" s="11"/>
      <c r="F215" s="11"/>
      <c r="G215" s="11"/>
      <c r="H215" s="11">
        <v>50</v>
      </c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>
        <f t="shared" si="26"/>
        <v>50</v>
      </c>
      <c r="AU215" s="2">
        <f t="shared" si="28"/>
        <v>0</v>
      </c>
      <c r="IS215" s="3"/>
    </row>
    <row r="216" spans="1:253" ht="15.75">
      <c r="A216" s="7"/>
      <c r="B216" s="2" t="s">
        <v>124</v>
      </c>
      <c r="C216" s="11">
        <f t="shared" si="27"/>
        <v>10700</v>
      </c>
      <c r="D216" s="11" t="s">
        <v>379</v>
      </c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>
        <f>10700/4</f>
        <v>2675</v>
      </c>
      <c r="Y216" s="11">
        <f>10700/4</f>
        <v>2675</v>
      </c>
      <c r="Z216" s="11">
        <f>10700/4</f>
        <v>2675</v>
      </c>
      <c r="AA216" s="11">
        <f>10700/4</f>
        <v>2675</v>
      </c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>
        <f t="shared" si="26"/>
        <v>10700</v>
      </c>
      <c r="AU216" s="2">
        <f t="shared" si="28"/>
        <v>0</v>
      </c>
      <c r="IS216" s="3"/>
    </row>
    <row r="217" spans="1:253" ht="15.75">
      <c r="A217" s="7"/>
      <c r="B217" s="2" t="s">
        <v>365</v>
      </c>
      <c r="C217" s="11">
        <f t="shared" si="27"/>
        <v>1537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>
        <v>1537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>
        <f t="shared" si="26"/>
        <v>1537</v>
      </c>
      <c r="AU217" s="2">
        <f t="shared" si="28"/>
        <v>0</v>
      </c>
      <c r="IS217" s="3"/>
    </row>
    <row r="218" spans="1:253" ht="15.75">
      <c r="A218" s="7"/>
      <c r="B218" s="2" t="s">
        <v>125</v>
      </c>
      <c r="C218" s="11">
        <f t="shared" si="27"/>
        <v>4800</v>
      </c>
      <c r="D218" s="11" t="s">
        <v>379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>
        <v>1200</v>
      </c>
      <c r="Y218" s="11">
        <v>1200</v>
      </c>
      <c r="Z218" s="11">
        <v>1200</v>
      </c>
      <c r="AA218" s="11">
        <v>1200</v>
      </c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>
        <f t="shared" si="26"/>
        <v>4800</v>
      </c>
      <c r="AU218" s="2">
        <f t="shared" si="28"/>
        <v>0</v>
      </c>
      <c r="IS218" s="3"/>
    </row>
    <row r="219" spans="1:253" ht="15.75">
      <c r="A219" s="7"/>
      <c r="B219" s="2" t="s">
        <v>324</v>
      </c>
      <c r="C219" s="11">
        <f t="shared" si="27"/>
        <v>900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>
        <v>900</v>
      </c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>
        <f t="shared" si="26"/>
        <v>900</v>
      </c>
      <c r="AU219" s="2">
        <f t="shared" si="28"/>
        <v>0</v>
      </c>
      <c r="IS219" s="3"/>
    </row>
    <row r="220" spans="1:253" ht="15.75">
      <c r="A220" s="7"/>
      <c r="B220" s="2" t="s">
        <v>366</v>
      </c>
      <c r="C220" s="11">
        <f t="shared" si="27"/>
        <v>337</v>
      </c>
      <c r="D220" s="11"/>
      <c r="E220" s="11"/>
      <c r="F220" s="11"/>
      <c r="G220" s="11"/>
      <c r="H220" s="11">
        <v>337</v>
      </c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>
        <f t="shared" si="26"/>
        <v>337</v>
      </c>
      <c r="AU220" s="2">
        <f t="shared" si="28"/>
        <v>0</v>
      </c>
      <c r="IS220" s="3"/>
    </row>
    <row r="221" spans="1:253" ht="15.75">
      <c r="A221" s="7"/>
      <c r="B221" s="2" t="s">
        <v>126</v>
      </c>
      <c r="C221" s="11">
        <f t="shared" si="27"/>
        <v>600</v>
      </c>
      <c r="D221" s="11" t="s">
        <v>379</v>
      </c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>
        <v>150</v>
      </c>
      <c r="Y221" s="11">
        <v>150</v>
      </c>
      <c r="Z221" s="11">
        <v>150</v>
      </c>
      <c r="AA221" s="11">
        <v>150</v>
      </c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>
        <f t="shared" si="26"/>
        <v>600</v>
      </c>
      <c r="AU221" s="2">
        <f t="shared" si="28"/>
        <v>0</v>
      </c>
      <c r="IS221" s="3"/>
    </row>
    <row r="222" spans="1:253" ht="15.75">
      <c r="A222" s="7"/>
      <c r="B222" s="2" t="s">
        <v>367</v>
      </c>
      <c r="C222" s="11">
        <f t="shared" si="27"/>
        <v>50</v>
      </c>
      <c r="D222" s="11"/>
      <c r="E222" s="11"/>
      <c r="F222" s="11"/>
      <c r="G222" s="11"/>
      <c r="H222" s="11">
        <v>50</v>
      </c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>
        <f t="shared" si="26"/>
        <v>50</v>
      </c>
      <c r="AU222" s="2">
        <f t="shared" si="28"/>
        <v>0</v>
      </c>
      <c r="IS222" s="3"/>
    </row>
    <row r="223" spans="1:253" ht="15.75">
      <c r="A223" s="7"/>
      <c r="B223" s="2" t="s">
        <v>127</v>
      </c>
      <c r="C223" s="11">
        <f t="shared" si="27"/>
        <v>26000</v>
      </c>
      <c r="D223" s="11" t="s">
        <v>379</v>
      </c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>
        <f>26000/4</f>
        <v>6500</v>
      </c>
      <c r="Y223" s="11">
        <f>26000/4</f>
        <v>6500</v>
      </c>
      <c r="Z223" s="11">
        <f>26000/4</f>
        <v>6500</v>
      </c>
      <c r="AA223" s="11">
        <f>26000/4</f>
        <v>6500</v>
      </c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>
        <f t="shared" si="26"/>
        <v>26000</v>
      </c>
      <c r="AU223" s="2">
        <f t="shared" si="28"/>
        <v>0</v>
      </c>
      <c r="IS223" s="3"/>
    </row>
    <row r="224" spans="1:253" ht="15.75">
      <c r="A224" s="7"/>
      <c r="B224" s="2" t="s">
        <v>325</v>
      </c>
      <c r="C224" s="11">
        <f t="shared" si="27"/>
        <v>9914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>
        <f>35914-26000</f>
        <v>9914</v>
      </c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>
        <f t="shared" si="26"/>
        <v>9914</v>
      </c>
      <c r="AU224" s="2">
        <f t="shared" si="28"/>
        <v>0</v>
      </c>
      <c r="IS224" s="3"/>
    </row>
    <row r="225" spans="1:253" ht="15.75">
      <c r="A225" s="7"/>
      <c r="B225" s="2" t="s">
        <v>128</v>
      </c>
      <c r="C225" s="11">
        <f t="shared" si="27"/>
        <v>2000</v>
      </c>
      <c r="D225" s="11" t="s">
        <v>379</v>
      </c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>
        <v>500</v>
      </c>
      <c r="Y225" s="11">
        <v>500</v>
      </c>
      <c r="Z225" s="11">
        <v>500</v>
      </c>
      <c r="AA225" s="11">
        <v>500</v>
      </c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>
        <f t="shared" si="26"/>
        <v>2000</v>
      </c>
      <c r="AU225" s="2">
        <f t="shared" si="28"/>
        <v>0</v>
      </c>
      <c r="IS225" s="3"/>
    </row>
    <row r="226" spans="1:253" ht="15.75">
      <c r="A226" s="7"/>
      <c r="B226" s="2" t="s">
        <v>368</v>
      </c>
      <c r="C226" s="11">
        <f t="shared" si="27"/>
        <v>615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>
        <v>615</v>
      </c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>
        <f t="shared" si="26"/>
        <v>615</v>
      </c>
      <c r="AU226" s="2">
        <f t="shared" si="28"/>
        <v>0</v>
      </c>
      <c r="IS226" s="3"/>
    </row>
    <row r="227" spans="1:253" ht="15.75">
      <c r="A227" s="7"/>
      <c r="B227" s="2" t="s">
        <v>129</v>
      </c>
      <c r="C227" s="11">
        <f t="shared" si="27"/>
        <v>1000</v>
      </c>
      <c r="D227" s="11" t="s">
        <v>379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>
        <f>800/4</f>
        <v>200</v>
      </c>
      <c r="Y227" s="11">
        <f>800/4</f>
        <v>200</v>
      </c>
      <c r="Z227" s="11">
        <f>800/4</f>
        <v>200</v>
      </c>
      <c r="AA227" s="11">
        <f>800/4</f>
        <v>200</v>
      </c>
      <c r="AB227" s="11">
        <v>200</v>
      </c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>
        <f t="shared" si="26"/>
        <v>1000</v>
      </c>
      <c r="AU227" s="2">
        <f t="shared" si="28"/>
        <v>0</v>
      </c>
      <c r="IS227" s="3"/>
    </row>
    <row r="228" spans="1:253" ht="15.75">
      <c r="A228" s="7"/>
      <c r="B228" s="2" t="s">
        <v>326</v>
      </c>
      <c r="C228" s="11">
        <f t="shared" si="27"/>
        <v>700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>
        <v>700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>
        <f t="shared" si="26"/>
        <v>700</v>
      </c>
      <c r="AU228" s="2">
        <f t="shared" si="28"/>
        <v>0</v>
      </c>
      <c r="IS228" s="3"/>
    </row>
    <row r="229" spans="1:253" ht="15.75">
      <c r="A229" s="7">
        <v>24</v>
      </c>
      <c r="B229" s="7" t="s">
        <v>130</v>
      </c>
      <c r="C229" s="11">
        <f t="shared" si="27"/>
        <v>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>
        <f t="shared" si="26"/>
        <v>0</v>
      </c>
      <c r="AU229" s="2">
        <f t="shared" si="28"/>
        <v>0</v>
      </c>
      <c r="IS229" s="3"/>
    </row>
    <row r="230" spans="1:253">
      <c r="B230" s="2" t="s">
        <v>131</v>
      </c>
      <c r="C230" s="11">
        <f t="shared" si="27"/>
        <v>600</v>
      </c>
      <c r="D230" s="11" t="s">
        <v>379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>
        <v>200</v>
      </c>
      <c r="V230" s="11">
        <v>200</v>
      </c>
      <c r="W230" s="11">
        <v>200</v>
      </c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>
        <f t="shared" si="26"/>
        <v>600</v>
      </c>
      <c r="AU230" s="2">
        <f t="shared" si="28"/>
        <v>0</v>
      </c>
      <c r="IS230" s="3"/>
    </row>
    <row r="231" spans="1:253">
      <c r="B231" s="2" t="s">
        <v>132</v>
      </c>
      <c r="C231" s="11">
        <f t="shared" si="27"/>
        <v>11700</v>
      </c>
      <c r="D231" s="11" t="s">
        <v>379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>
        <v>900</v>
      </c>
      <c r="S231" s="11">
        <v>900</v>
      </c>
      <c r="T231" s="11">
        <v>900</v>
      </c>
      <c r="U231" s="11">
        <v>900</v>
      </c>
      <c r="V231" s="11">
        <v>900</v>
      </c>
      <c r="W231" s="11">
        <v>900</v>
      </c>
      <c r="X231" s="11">
        <v>900</v>
      </c>
      <c r="Y231" s="11">
        <v>900</v>
      </c>
      <c r="Z231" s="11">
        <v>900</v>
      </c>
      <c r="AA231" s="11">
        <v>900</v>
      </c>
      <c r="AB231" s="11">
        <v>900</v>
      </c>
      <c r="AC231" s="11">
        <v>900</v>
      </c>
      <c r="AD231" s="11">
        <v>900</v>
      </c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>
        <f t="shared" si="26"/>
        <v>11700</v>
      </c>
      <c r="AU231" s="2">
        <f t="shared" si="28"/>
        <v>0</v>
      </c>
      <c r="IS231" s="3"/>
    </row>
    <row r="232" spans="1:253">
      <c r="B232" s="2" t="s">
        <v>133</v>
      </c>
      <c r="C232" s="11">
        <f t="shared" si="27"/>
        <v>1300</v>
      </c>
      <c r="D232" s="11" t="s">
        <v>379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>
        <v>100</v>
      </c>
      <c r="S232" s="11">
        <v>100</v>
      </c>
      <c r="T232" s="11">
        <v>100</v>
      </c>
      <c r="U232" s="11">
        <v>100</v>
      </c>
      <c r="V232" s="11">
        <v>100</v>
      </c>
      <c r="W232" s="11">
        <v>100</v>
      </c>
      <c r="X232" s="11">
        <v>100</v>
      </c>
      <c r="Y232" s="11">
        <v>100</v>
      </c>
      <c r="Z232" s="11">
        <v>100</v>
      </c>
      <c r="AA232" s="11">
        <v>100</v>
      </c>
      <c r="AB232" s="11">
        <v>100</v>
      </c>
      <c r="AC232" s="11">
        <v>100</v>
      </c>
      <c r="AD232" s="11">
        <v>100</v>
      </c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>
        <f t="shared" si="26"/>
        <v>1300</v>
      </c>
      <c r="AU232" s="2">
        <f t="shared" si="28"/>
        <v>0</v>
      </c>
      <c r="IS232" s="3"/>
    </row>
    <row r="233" spans="1:253">
      <c r="B233" s="2" t="s">
        <v>134</v>
      </c>
      <c r="C233" s="11">
        <f t="shared" si="27"/>
        <v>1560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>
        <v>120</v>
      </c>
      <c r="S233" s="11">
        <v>120</v>
      </c>
      <c r="T233" s="11">
        <v>120</v>
      </c>
      <c r="U233" s="11">
        <v>120</v>
      </c>
      <c r="V233" s="11">
        <v>120</v>
      </c>
      <c r="W233" s="11">
        <v>120</v>
      </c>
      <c r="X233" s="11">
        <v>120</v>
      </c>
      <c r="Y233" s="11">
        <v>120</v>
      </c>
      <c r="Z233" s="11">
        <v>120</v>
      </c>
      <c r="AA233" s="11">
        <v>120</v>
      </c>
      <c r="AB233" s="11">
        <v>120</v>
      </c>
      <c r="AC233" s="11">
        <v>120</v>
      </c>
      <c r="AD233" s="11">
        <v>120</v>
      </c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>
        <f t="shared" si="26"/>
        <v>1560</v>
      </c>
      <c r="AU233" s="2">
        <f t="shared" si="28"/>
        <v>0</v>
      </c>
      <c r="IS233" s="3"/>
    </row>
    <row r="234" spans="1:253">
      <c r="B234" s="2" t="s">
        <v>135</v>
      </c>
      <c r="C234" s="11">
        <f t="shared" si="27"/>
        <v>6000</v>
      </c>
      <c r="D234" s="11" t="s">
        <v>379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>
        <v>500</v>
      </c>
      <c r="S234" s="11">
        <v>500</v>
      </c>
      <c r="T234" s="11">
        <v>500</v>
      </c>
      <c r="U234" s="11">
        <v>500</v>
      </c>
      <c r="V234" s="11">
        <v>500</v>
      </c>
      <c r="W234" s="11">
        <v>500</v>
      </c>
      <c r="X234" s="11">
        <v>500</v>
      </c>
      <c r="Y234" s="11">
        <v>500</v>
      </c>
      <c r="Z234" s="11">
        <v>500</v>
      </c>
      <c r="AA234" s="11">
        <v>500</v>
      </c>
      <c r="AB234" s="11">
        <v>500</v>
      </c>
      <c r="AC234" s="11">
        <v>500</v>
      </c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>
        <f t="shared" si="26"/>
        <v>6000</v>
      </c>
      <c r="AU234" s="2">
        <f t="shared" si="28"/>
        <v>0</v>
      </c>
      <c r="IS234" s="3"/>
    </row>
    <row r="235" spans="1:253">
      <c r="B235" s="2" t="s">
        <v>136</v>
      </c>
      <c r="C235" s="11">
        <f t="shared" si="27"/>
        <v>3500</v>
      </c>
      <c r="D235" s="11" t="s">
        <v>379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>
        <v>500</v>
      </c>
      <c r="X235" s="11">
        <v>500</v>
      </c>
      <c r="Y235" s="11">
        <v>500</v>
      </c>
      <c r="Z235" s="11">
        <v>500</v>
      </c>
      <c r="AA235" s="11">
        <v>500</v>
      </c>
      <c r="AB235" s="11">
        <v>500</v>
      </c>
      <c r="AC235" s="11">
        <v>500</v>
      </c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>
        <f t="shared" si="26"/>
        <v>3500</v>
      </c>
      <c r="AU235" s="2">
        <f t="shared" si="28"/>
        <v>0</v>
      </c>
      <c r="IS235" s="3"/>
    </row>
    <row r="236" spans="1:253">
      <c r="B236" s="2" t="s">
        <v>327</v>
      </c>
      <c r="C236" s="11">
        <f t="shared" si="27"/>
        <v>1614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>
        <f>1614/3</f>
        <v>538</v>
      </c>
      <c r="AA236" s="11">
        <f>1614/3</f>
        <v>538</v>
      </c>
      <c r="AB236" s="11">
        <f>1614/3</f>
        <v>538</v>
      </c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>
        <f t="shared" si="26"/>
        <v>1614</v>
      </c>
      <c r="AU236" s="2">
        <f t="shared" si="28"/>
        <v>0</v>
      </c>
      <c r="IS236" s="3"/>
    </row>
    <row r="237" spans="1:253">
      <c r="B237" s="2" t="s">
        <v>328</v>
      </c>
      <c r="C237" s="11">
        <f t="shared" si="27"/>
        <v>1153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>
        <f>1153/2</f>
        <v>576.5</v>
      </c>
      <c r="AB237" s="11">
        <f>1153/2</f>
        <v>576.5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>
        <f t="shared" si="26"/>
        <v>1153</v>
      </c>
      <c r="AU237" s="2">
        <f t="shared" si="28"/>
        <v>0</v>
      </c>
      <c r="IS237" s="3"/>
    </row>
    <row r="238" spans="1:253">
      <c r="B238" s="2" t="s">
        <v>329</v>
      </c>
      <c r="C238" s="11">
        <f t="shared" si="27"/>
        <v>922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>
        <f>922/3</f>
        <v>307.33333333333331</v>
      </c>
      <c r="AA238" s="11">
        <f>922/3</f>
        <v>307.33333333333331</v>
      </c>
      <c r="AB238" s="11">
        <f>922/3</f>
        <v>307.33333333333331</v>
      </c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>
        <f t="shared" si="26"/>
        <v>922</v>
      </c>
      <c r="AU238" s="2">
        <f t="shared" si="28"/>
        <v>0</v>
      </c>
      <c r="IS238" s="3"/>
    </row>
    <row r="239" spans="1:253">
      <c r="B239" s="2" t="s">
        <v>137</v>
      </c>
      <c r="C239" s="11">
        <f t="shared" si="27"/>
        <v>60000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>
        <f t="shared" ref="T239:AA239" si="29">60000/8</f>
        <v>7500</v>
      </c>
      <c r="U239" s="11">
        <f t="shared" si="29"/>
        <v>7500</v>
      </c>
      <c r="V239" s="11">
        <f t="shared" si="29"/>
        <v>7500</v>
      </c>
      <c r="W239" s="11">
        <f t="shared" si="29"/>
        <v>7500</v>
      </c>
      <c r="X239" s="11">
        <f t="shared" si="29"/>
        <v>7500</v>
      </c>
      <c r="Y239" s="11">
        <f t="shared" si="29"/>
        <v>7500</v>
      </c>
      <c r="Z239" s="11">
        <f t="shared" si="29"/>
        <v>7500</v>
      </c>
      <c r="AA239" s="11">
        <f t="shared" si="29"/>
        <v>7500</v>
      </c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>
        <f t="shared" si="26"/>
        <v>60000</v>
      </c>
      <c r="AU239" s="2">
        <f t="shared" si="28"/>
        <v>0</v>
      </c>
      <c r="IS239" s="3"/>
    </row>
    <row r="240" spans="1:253">
      <c r="B240" s="2" t="s">
        <v>138</v>
      </c>
      <c r="C240" s="11">
        <f t="shared" si="27"/>
        <v>14400</v>
      </c>
      <c r="D240" s="11" t="s">
        <v>379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>
        <f>14400/4</f>
        <v>3600</v>
      </c>
      <c r="Y240" s="11">
        <f>14400/4</f>
        <v>3600</v>
      </c>
      <c r="Z240" s="11">
        <f>14400/4</f>
        <v>3600</v>
      </c>
      <c r="AA240" s="11">
        <f>14400/4</f>
        <v>3600</v>
      </c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>
        <f t="shared" si="26"/>
        <v>14400</v>
      </c>
      <c r="AU240" s="2">
        <f t="shared" si="28"/>
        <v>0</v>
      </c>
      <c r="IS240" s="3"/>
    </row>
    <row r="241" spans="1:253">
      <c r="B241" s="2" t="s">
        <v>330</v>
      </c>
      <c r="C241" s="11">
        <f t="shared" si="27"/>
        <v>11500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>
        <f>11500/4</f>
        <v>2875</v>
      </c>
      <c r="Y241" s="11">
        <f>11500/4</f>
        <v>2875</v>
      </c>
      <c r="Z241" s="11">
        <f>11500/4</f>
        <v>2875</v>
      </c>
      <c r="AA241" s="11">
        <f>11500/4</f>
        <v>2875</v>
      </c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>
        <f t="shared" si="26"/>
        <v>11500</v>
      </c>
      <c r="AU241" s="2">
        <f t="shared" si="28"/>
        <v>0</v>
      </c>
      <c r="IS241" s="3"/>
    </row>
    <row r="242" spans="1:253">
      <c r="B242" s="2" t="s">
        <v>13</v>
      </c>
      <c r="C242" s="11">
        <f t="shared" si="27"/>
        <v>500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>
        <f>500/4</f>
        <v>125</v>
      </c>
      <c r="Y242" s="11">
        <f>500/4</f>
        <v>125</v>
      </c>
      <c r="Z242" s="11">
        <f>500/4</f>
        <v>125</v>
      </c>
      <c r="AA242" s="11">
        <f>500/4</f>
        <v>125</v>
      </c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>
        <f t="shared" si="26"/>
        <v>500</v>
      </c>
      <c r="AU242" s="2">
        <f t="shared" si="28"/>
        <v>0</v>
      </c>
      <c r="IS242" s="3"/>
    </row>
    <row r="243" spans="1:253">
      <c r="B243" s="2" t="s">
        <v>353</v>
      </c>
      <c r="C243" s="11">
        <f t="shared" si="27"/>
        <v>193</v>
      </c>
      <c r="D243" s="11"/>
      <c r="E243" s="11"/>
      <c r="F243" s="11"/>
      <c r="G243" s="11"/>
      <c r="H243" s="11">
        <v>193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>
        <f t="shared" si="26"/>
        <v>193</v>
      </c>
      <c r="AU243" s="2">
        <f t="shared" si="28"/>
        <v>0</v>
      </c>
      <c r="IS243" s="3"/>
    </row>
    <row r="244" spans="1:253">
      <c r="B244" s="2" t="s">
        <v>139</v>
      </c>
      <c r="C244" s="11">
        <f t="shared" si="27"/>
        <v>15600</v>
      </c>
      <c r="D244" s="11" t="s">
        <v>379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>
        <f>15600/4</f>
        <v>3900</v>
      </c>
      <c r="Y244" s="11">
        <f>15600/4</f>
        <v>3900</v>
      </c>
      <c r="Z244" s="11">
        <f>15600/4</f>
        <v>3900</v>
      </c>
      <c r="AA244" s="11">
        <f>15600/4</f>
        <v>3900</v>
      </c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>
        <f t="shared" si="26"/>
        <v>15600</v>
      </c>
      <c r="AU244" s="2">
        <f t="shared" si="28"/>
        <v>0</v>
      </c>
      <c r="IS244" s="3"/>
    </row>
    <row r="245" spans="1:253">
      <c r="B245" s="2" t="s">
        <v>140</v>
      </c>
      <c r="C245" s="11">
        <f t="shared" si="27"/>
        <v>3000</v>
      </c>
      <c r="D245" s="11" t="s">
        <v>379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>
        <f>3000/4</f>
        <v>750</v>
      </c>
      <c r="Y245" s="11">
        <f>3000/4</f>
        <v>750</v>
      </c>
      <c r="Z245" s="11">
        <f>3000/4</f>
        <v>750</v>
      </c>
      <c r="AA245" s="11">
        <f>3000/4</f>
        <v>750</v>
      </c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>
        <f t="shared" si="26"/>
        <v>3000</v>
      </c>
      <c r="AU245" s="2">
        <f t="shared" si="28"/>
        <v>0</v>
      </c>
      <c r="IS245" s="3"/>
    </row>
    <row r="246" spans="1:253">
      <c r="B246" s="2" t="s">
        <v>141</v>
      </c>
      <c r="C246" s="11">
        <f t="shared" si="27"/>
        <v>3500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>
        <f t="shared" ref="R246:W246" si="30">3500/4/6</f>
        <v>145.83333333333334</v>
      </c>
      <c r="S246" s="11">
        <f t="shared" si="30"/>
        <v>145.83333333333334</v>
      </c>
      <c r="T246" s="11">
        <f t="shared" si="30"/>
        <v>145.83333333333334</v>
      </c>
      <c r="U246" s="11">
        <f t="shared" si="30"/>
        <v>145.83333333333334</v>
      </c>
      <c r="V246" s="11">
        <f t="shared" si="30"/>
        <v>145.83333333333334</v>
      </c>
      <c r="W246" s="11">
        <f t="shared" si="30"/>
        <v>145.83333333333334</v>
      </c>
      <c r="X246" s="11">
        <f>3500*0.75/4</f>
        <v>656.25</v>
      </c>
      <c r="Y246" s="11">
        <f>3500*0.75/4</f>
        <v>656.25</v>
      </c>
      <c r="Z246" s="11">
        <f>3500*0.75/4</f>
        <v>656.25</v>
      </c>
      <c r="AA246" s="11">
        <f>3500*0.75/4</f>
        <v>656.25</v>
      </c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>
        <f t="shared" si="26"/>
        <v>3500</v>
      </c>
      <c r="AU246" s="2">
        <f t="shared" si="28"/>
        <v>0</v>
      </c>
      <c r="IS246" s="3"/>
    </row>
    <row r="247" spans="1:253">
      <c r="B247" s="2" t="s">
        <v>331</v>
      </c>
      <c r="C247" s="11">
        <f t="shared" si="27"/>
        <v>1000</v>
      </c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>
        <v>1000</v>
      </c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>
        <f t="shared" si="26"/>
        <v>1000</v>
      </c>
      <c r="AU247" s="2">
        <f t="shared" si="28"/>
        <v>0</v>
      </c>
      <c r="IS247" s="3"/>
    </row>
    <row r="248" spans="1:253">
      <c r="B248" s="2" t="s">
        <v>142</v>
      </c>
      <c r="C248" s="11">
        <f t="shared" si="27"/>
        <v>500</v>
      </c>
      <c r="D248" s="11" t="s">
        <v>379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>
        <f>500/4</f>
        <v>125</v>
      </c>
      <c r="U248" s="11">
        <f>500/4</f>
        <v>125</v>
      </c>
      <c r="V248" s="11">
        <f>500/4</f>
        <v>125</v>
      </c>
      <c r="W248" s="11">
        <f>500/4</f>
        <v>125</v>
      </c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>
        <f t="shared" si="26"/>
        <v>500</v>
      </c>
      <c r="AU248" s="2">
        <f t="shared" si="28"/>
        <v>0</v>
      </c>
      <c r="IS248" s="3"/>
    </row>
    <row r="249" spans="1:253">
      <c r="B249" s="2" t="s">
        <v>369</v>
      </c>
      <c r="C249" s="11">
        <f t="shared" si="27"/>
        <v>128</v>
      </c>
      <c r="D249" s="11"/>
      <c r="E249" s="11"/>
      <c r="F249" s="11"/>
      <c r="G249" s="11"/>
      <c r="H249" s="11">
        <v>128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>
        <f t="shared" si="26"/>
        <v>128</v>
      </c>
      <c r="AU249" s="2">
        <f t="shared" si="28"/>
        <v>0</v>
      </c>
      <c r="IS249" s="3"/>
    </row>
    <row r="250" spans="1:253">
      <c r="B250" s="2" t="s">
        <v>143</v>
      </c>
      <c r="C250" s="11">
        <f t="shared" si="27"/>
        <v>1500</v>
      </c>
      <c r="D250" s="11" t="s">
        <v>379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>
        <v>1500</v>
      </c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>
        <f t="shared" si="26"/>
        <v>1500</v>
      </c>
      <c r="AU250" s="2">
        <f t="shared" si="28"/>
        <v>0</v>
      </c>
      <c r="IS250" s="3"/>
    </row>
    <row r="251" spans="1:253">
      <c r="B251" s="2" t="s">
        <v>144</v>
      </c>
      <c r="C251" s="11">
        <f t="shared" si="27"/>
        <v>950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>
        <f>950/4</f>
        <v>237.5</v>
      </c>
      <c r="Y251" s="11">
        <f>950/4</f>
        <v>237.5</v>
      </c>
      <c r="Z251" s="11">
        <f>950/4</f>
        <v>237.5</v>
      </c>
      <c r="AA251" s="11">
        <f>950/4</f>
        <v>237.5</v>
      </c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>
        <f t="shared" si="26"/>
        <v>950</v>
      </c>
      <c r="AU251" s="2">
        <f t="shared" si="28"/>
        <v>0</v>
      </c>
      <c r="IS251" s="3"/>
    </row>
    <row r="252" spans="1:253">
      <c r="B252" s="2" t="s">
        <v>332</v>
      </c>
      <c r="C252" s="11">
        <f t="shared" si="27"/>
        <v>769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>
        <v>769</v>
      </c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>
        <f t="shared" si="26"/>
        <v>769</v>
      </c>
      <c r="AU252" s="2">
        <f t="shared" si="28"/>
        <v>0</v>
      </c>
      <c r="IS252" s="3"/>
    </row>
    <row r="253" spans="1:253">
      <c r="B253" s="2" t="s">
        <v>145</v>
      </c>
      <c r="C253" s="11">
        <f t="shared" si="27"/>
        <v>150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>
        <v>150</v>
      </c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>
        <f t="shared" si="26"/>
        <v>150</v>
      </c>
      <c r="AU253" s="2">
        <f t="shared" si="28"/>
        <v>0</v>
      </c>
      <c r="IS253" s="3"/>
    </row>
    <row r="254" spans="1:253">
      <c r="B254" s="2" t="s">
        <v>146</v>
      </c>
      <c r="C254" s="11">
        <f t="shared" si="27"/>
        <v>307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>
        <v>307</v>
      </c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>
        <f t="shared" si="26"/>
        <v>307</v>
      </c>
      <c r="AU254" s="2">
        <f t="shared" si="28"/>
        <v>0</v>
      </c>
      <c r="IS254" s="3"/>
    </row>
    <row r="255" spans="1:253">
      <c r="B255" s="2" t="s">
        <v>333</v>
      </c>
      <c r="C255" s="11">
        <f t="shared" si="27"/>
        <v>538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>
        <v>538</v>
      </c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>
        <f t="shared" si="26"/>
        <v>538</v>
      </c>
      <c r="AU255" s="2">
        <f t="shared" si="28"/>
        <v>0</v>
      </c>
      <c r="IS255" s="3"/>
    </row>
    <row r="256" spans="1:253" ht="15.75">
      <c r="A256" s="7">
        <v>25</v>
      </c>
      <c r="B256" s="7" t="s">
        <v>147</v>
      </c>
      <c r="C256" s="11">
        <f t="shared" si="27"/>
        <v>0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>
        <f t="shared" si="26"/>
        <v>0</v>
      </c>
      <c r="AU256" s="2">
        <f t="shared" si="28"/>
        <v>0</v>
      </c>
      <c r="IS256" s="3"/>
    </row>
    <row r="257" spans="1:253">
      <c r="B257" s="2" t="s">
        <v>370</v>
      </c>
      <c r="C257" s="11">
        <f t="shared" si="27"/>
        <v>250</v>
      </c>
      <c r="D257" s="11"/>
      <c r="E257" s="11"/>
      <c r="F257" s="11"/>
      <c r="G257" s="11"/>
      <c r="H257" s="11">
        <v>250</v>
      </c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>
        <f t="shared" si="26"/>
        <v>250</v>
      </c>
      <c r="AU257" s="2">
        <f t="shared" si="28"/>
        <v>0</v>
      </c>
      <c r="IS257" s="3"/>
    </row>
    <row r="258" spans="1:253">
      <c r="B258" s="2" t="s">
        <v>148</v>
      </c>
      <c r="C258" s="11">
        <f t="shared" si="27"/>
        <v>100</v>
      </c>
      <c r="D258" s="11" t="s">
        <v>379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>
        <v>100</v>
      </c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>
        <f t="shared" si="26"/>
        <v>100</v>
      </c>
      <c r="AU258" s="2">
        <f t="shared" si="28"/>
        <v>0</v>
      </c>
      <c r="IS258" s="3"/>
    </row>
    <row r="259" spans="1:253">
      <c r="B259" s="2" t="s">
        <v>149</v>
      </c>
      <c r="C259" s="11">
        <f t="shared" si="27"/>
        <v>500</v>
      </c>
      <c r="D259" s="11" t="s">
        <v>379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>
        <v>500</v>
      </c>
      <c r="AL259" s="11"/>
      <c r="AM259" s="11"/>
      <c r="AN259" s="11"/>
      <c r="AO259" s="11"/>
      <c r="AP259" s="11"/>
      <c r="AQ259" s="11"/>
      <c r="AR259" s="11"/>
      <c r="AS259" s="11"/>
      <c r="AT259" s="11">
        <f t="shared" si="26"/>
        <v>500</v>
      </c>
      <c r="AU259" s="2">
        <f t="shared" si="28"/>
        <v>0</v>
      </c>
      <c r="IS259" s="3"/>
    </row>
    <row r="260" spans="1:253">
      <c r="B260" s="2" t="s">
        <v>150</v>
      </c>
      <c r="C260" s="11">
        <f t="shared" si="27"/>
        <v>300</v>
      </c>
      <c r="D260" s="11" t="s">
        <v>379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>
        <v>300</v>
      </c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>
        <f t="shared" si="26"/>
        <v>300</v>
      </c>
      <c r="AU260" s="2">
        <f t="shared" si="28"/>
        <v>0</v>
      </c>
      <c r="IS260" s="3"/>
    </row>
    <row r="261" spans="1:253">
      <c r="B261" s="2" t="s">
        <v>151</v>
      </c>
      <c r="C261" s="11">
        <f t="shared" si="27"/>
        <v>1080</v>
      </c>
      <c r="D261" s="11" t="s">
        <v>379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>
        <v>1080</v>
      </c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>
        <f t="shared" si="26"/>
        <v>1080</v>
      </c>
      <c r="AU261" s="2">
        <f t="shared" si="28"/>
        <v>0</v>
      </c>
      <c r="IS261" s="3"/>
    </row>
    <row r="262" spans="1:253">
      <c r="B262" s="2" t="s">
        <v>152</v>
      </c>
      <c r="C262" s="11">
        <f t="shared" si="27"/>
        <v>400</v>
      </c>
      <c r="D262" s="11" t="s">
        <v>379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>
        <v>400</v>
      </c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>
        <f t="shared" si="26"/>
        <v>400</v>
      </c>
      <c r="AU262" s="2">
        <f t="shared" si="28"/>
        <v>0</v>
      </c>
      <c r="IS262" s="3"/>
    </row>
    <row r="263" spans="1:253">
      <c r="B263" s="2" t="s">
        <v>153</v>
      </c>
      <c r="C263" s="11">
        <f t="shared" si="27"/>
        <v>400</v>
      </c>
      <c r="D263" s="11" t="s">
        <v>379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>
        <v>400</v>
      </c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>
        <f t="shared" si="26"/>
        <v>400</v>
      </c>
      <c r="AU263" s="2">
        <f t="shared" si="28"/>
        <v>0</v>
      </c>
      <c r="IS263" s="3"/>
    </row>
    <row r="264" spans="1:253">
      <c r="B264" s="2" t="s">
        <v>154</v>
      </c>
      <c r="C264" s="11">
        <f t="shared" si="27"/>
        <v>800</v>
      </c>
      <c r="D264" s="11" t="s">
        <v>379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>
        <v>800</v>
      </c>
      <c r="AS264" s="11"/>
      <c r="AT264" s="11">
        <f t="shared" si="26"/>
        <v>800</v>
      </c>
      <c r="AU264" s="2">
        <f t="shared" si="28"/>
        <v>0</v>
      </c>
      <c r="IS264" s="3"/>
    </row>
    <row r="265" spans="1:253">
      <c r="B265" s="2" t="s">
        <v>155</v>
      </c>
      <c r="C265" s="11">
        <f t="shared" si="27"/>
        <v>500</v>
      </c>
      <c r="D265" s="11" t="s">
        <v>379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>
        <v>500</v>
      </c>
      <c r="AS265" s="11"/>
      <c r="AT265" s="11">
        <f t="shared" ref="AT265:AT328" si="31">SUM(E265:AS265)</f>
        <v>500</v>
      </c>
      <c r="AU265" s="2">
        <f t="shared" si="28"/>
        <v>0</v>
      </c>
      <c r="IS265" s="3"/>
    </row>
    <row r="266" spans="1:253">
      <c r="B266" s="2" t="s">
        <v>156</v>
      </c>
      <c r="C266" s="11">
        <f t="shared" ref="C266:C329" si="32">SUM(E266:AS266)</f>
        <v>3000</v>
      </c>
      <c r="D266" s="11" t="s">
        <v>379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>
        <v>3000</v>
      </c>
      <c r="AS266" s="11"/>
      <c r="AT266" s="11">
        <f t="shared" si="31"/>
        <v>3000</v>
      </c>
      <c r="AU266" s="2">
        <f t="shared" ref="AU266:AU329" si="33">C266-AT266</f>
        <v>0</v>
      </c>
      <c r="IS266" s="3"/>
    </row>
    <row r="267" spans="1:253" ht="15.75">
      <c r="A267" s="7">
        <v>27</v>
      </c>
      <c r="B267" s="7" t="s">
        <v>157</v>
      </c>
      <c r="C267" s="11">
        <f t="shared" si="32"/>
        <v>0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>
        <f t="shared" si="31"/>
        <v>0</v>
      </c>
      <c r="AU267" s="2">
        <f t="shared" si="33"/>
        <v>0</v>
      </c>
      <c r="IS267" s="3"/>
    </row>
    <row r="268" spans="1:253">
      <c r="B268" s="2" t="s">
        <v>158</v>
      </c>
      <c r="C268" s="11">
        <f t="shared" si="32"/>
        <v>12600</v>
      </c>
      <c r="D268" s="11" t="s">
        <v>379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>
        <f>700*2</f>
        <v>1400</v>
      </c>
      <c r="Y268" s="11">
        <f>700*2</f>
        <v>1400</v>
      </c>
      <c r="Z268" s="11">
        <f>700*2</f>
        <v>1400</v>
      </c>
      <c r="AA268" s="11">
        <f>700*2</f>
        <v>1400</v>
      </c>
      <c r="AB268" s="11">
        <f>700*2</f>
        <v>1400</v>
      </c>
      <c r="AC268" s="11">
        <v>700</v>
      </c>
      <c r="AD268" s="11">
        <v>700</v>
      </c>
      <c r="AE268" s="11">
        <v>700</v>
      </c>
      <c r="AF268" s="11">
        <v>700</v>
      </c>
      <c r="AG268" s="11">
        <v>700</v>
      </c>
      <c r="AH268" s="11">
        <v>700</v>
      </c>
      <c r="AI268" s="11">
        <v>700</v>
      </c>
      <c r="AJ268" s="11">
        <v>700</v>
      </c>
      <c r="AK268" s="11"/>
      <c r="AL268" s="11"/>
      <c r="AM268" s="11"/>
      <c r="AN268" s="11"/>
      <c r="AO268" s="11"/>
      <c r="AP268" s="11"/>
      <c r="AQ268" s="11"/>
      <c r="AR268" s="11"/>
      <c r="AS268" s="11"/>
      <c r="AT268" s="11">
        <f t="shared" si="31"/>
        <v>12600</v>
      </c>
      <c r="AU268" s="2">
        <f t="shared" si="33"/>
        <v>0</v>
      </c>
      <c r="IS268" s="3"/>
    </row>
    <row r="269" spans="1:253">
      <c r="B269" s="2" t="s">
        <v>159</v>
      </c>
      <c r="C269" s="11">
        <f t="shared" si="32"/>
        <v>3200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>
        <v>400</v>
      </c>
      <c r="AD269" s="11">
        <v>400</v>
      </c>
      <c r="AE269" s="11">
        <v>400</v>
      </c>
      <c r="AF269" s="11">
        <v>400</v>
      </c>
      <c r="AG269" s="11">
        <v>400</v>
      </c>
      <c r="AH269" s="11">
        <v>400</v>
      </c>
      <c r="AI269" s="11">
        <v>400</v>
      </c>
      <c r="AJ269" s="11">
        <v>400</v>
      </c>
      <c r="AK269" s="11"/>
      <c r="AL269" s="11"/>
      <c r="AM269" s="11"/>
      <c r="AN269" s="11"/>
      <c r="AO269" s="11"/>
      <c r="AP269" s="11"/>
      <c r="AQ269" s="11"/>
      <c r="AR269" s="11"/>
      <c r="AS269" s="11"/>
      <c r="AT269" s="11">
        <f t="shared" si="31"/>
        <v>3200</v>
      </c>
      <c r="AU269" s="2">
        <f t="shared" si="33"/>
        <v>0</v>
      </c>
      <c r="IS269" s="3"/>
    </row>
    <row r="270" spans="1:253">
      <c r="B270" s="2" t="s">
        <v>371</v>
      </c>
      <c r="C270" s="11">
        <f t="shared" si="32"/>
        <v>500</v>
      </c>
      <c r="D270" s="11"/>
      <c r="E270" s="11"/>
      <c r="F270" s="11"/>
      <c r="G270" s="11"/>
      <c r="H270" s="11"/>
      <c r="I270" s="11">
        <v>500</v>
      </c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>
        <f t="shared" si="31"/>
        <v>500</v>
      </c>
      <c r="AU270" s="2">
        <f t="shared" si="33"/>
        <v>0</v>
      </c>
      <c r="IS270" s="3"/>
    </row>
    <row r="271" spans="1:253">
      <c r="B271" s="2" t="s">
        <v>160</v>
      </c>
      <c r="C271" s="11">
        <f t="shared" si="32"/>
        <v>26208</v>
      </c>
      <c r="D271" s="11" t="s">
        <v>379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>
        <f t="shared" ref="AK271:AR271" si="34">26208/8</f>
        <v>3276</v>
      </c>
      <c r="AL271" s="11">
        <f t="shared" si="34"/>
        <v>3276</v>
      </c>
      <c r="AM271" s="11">
        <f t="shared" si="34"/>
        <v>3276</v>
      </c>
      <c r="AN271" s="11">
        <f t="shared" si="34"/>
        <v>3276</v>
      </c>
      <c r="AO271" s="11">
        <f t="shared" si="34"/>
        <v>3276</v>
      </c>
      <c r="AP271" s="11">
        <f t="shared" si="34"/>
        <v>3276</v>
      </c>
      <c r="AQ271" s="11">
        <f t="shared" si="34"/>
        <v>3276</v>
      </c>
      <c r="AR271" s="11">
        <f t="shared" si="34"/>
        <v>3276</v>
      </c>
      <c r="AS271" s="11"/>
      <c r="AT271" s="11">
        <f t="shared" si="31"/>
        <v>26208</v>
      </c>
      <c r="AU271" s="2">
        <f t="shared" si="33"/>
        <v>0</v>
      </c>
      <c r="IS271" s="3"/>
    </row>
    <row r="272" spans="1:253">
      <c r="B272" s="2" t="s">
        <v>161</v>
      </c>
      <c r="C272" s="11">
        <f t="shared" si="32"/>
        <v>48555</v>
      </c>
      <c r="D272" s="11" t="s">
        <v>379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>
        <f t="shared" ref="AK272:AR272" si="35">48555/8</f>
        <v>6069.375</v>
      </c>
      <c r="AL272" s="11">
        <f t="shared" si="35"/>
        <v>6069.375</v>
      </c>
      <c r="AM272" s="11">
        <f t="shared" si="35"/>
        <v>6069.375</v>
      </c>
      <c r="AN272" s="11">
        <f t="shared" si="35"/>
        <v>6069.375</v>
      </c>
      <c r="AO272" s="11">
        <f t="shared" si="35"/>
        <v>6069.375</v>
      </c>
      <c r="AP272" s="11">
        <f t="shared" si="35"/>
        <v>6069.375</v>
      </c>
      <c r="AQ272" s="11">
        <f t="shared" si="35"/>
        <v>6069.375</v>
      </c>
      <c r="AR272" s="11">
        <f t="shared" si="35"/>
        <v>6069.375</v>
      </c>
      <c r="AS272" s="11"/>
      <c r="AT272" s="11">
        <f t="shared" si="31"/>
        <v>48555</v>
      </c>
      <c r="AU272" s="2">
        <f t="shared" si="33"/>
        <v>0</v>
      </c>
      <c r="IS272" s="3"/>
    </row>
    <row r="273" spans="1:253">
      <c r="B273" s="2" t="s">
        <v>162</v>
      </c>
      <c r="C273" s="11">
        <f t="shared" si="32"/>
        <v>20000</v>
      </c>
      <c r="D273" s="11" t="s">
        <v>379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>
        <v>20000</v>
      </c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>
        <f t="shared" si="31"/>
        <v>20000</v>
      </c>
      <c r="AU273" s="2">
        <f t="shared" si="33"/>
        <v>0</v>
      </c>
      <c r="IS273" s="3"/>
    </row>
    <row r="274" spans="1:253" ht="15.75">
      <c r="A274" s="7">
        <v>28</v>
      </c>
      <c r="B274" s="7" t="s">
        <v>163</v>
      </c>
      <c r="C274" s="11">
        <f t="shared" si="32"/>
        <v>0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>
        <f t="shared" si="31"/>
        <v>0</v>
      </c>
      <c r="AU274" s="2">
        <f t="shared" si="33"/>
        <v>0</v>
      </c>
      <c r="IS274" s="3"/>
    </row>
    <row r="275" spans="1:253">
      <c r="B275" s="2" t="s">
        <v>164</v>
      </c>
      <c r="C275" s="11">
        <f t="shared" si="32"/>
        <v>1000</v>
      </c>
      <c r="D275" s="11" t="s">
        <v>379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>
        <f>1000/5</f>
        <v>200</v>
      </c>
      <c r="AD275" s="11">
        <f>1000/5</f>
        <v>200</v>
      </c>
      <c r="AE275" s="11">
        <f>1000/5</f>
        <v>200</v>
      </c>
      <c r="AF275" s="11">
        <f>1000/5</f>
        <v>200</v>
      </c>
      <c r="AG275" s="11">
        <f>1000/5</f>
        <v>200</v>
      </c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>
        <f t="shared" si="31"/>
        <v>1000</v>
      </c>
      <c r="AU275" s="2">
        <f t="shared" si="33"/>
        <v>0</v>
      </c>
      <c r="IS275" s="3"/>
    </row>
    <row r="276" spans="1:253">
      <c r="B276" s="2" t="s">
        <v>165</v>
      </c>
      <c r="C276" s="11">
        <f t="shared" si="32"/>
        <v>500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>
        <f>500/5</f>
        <v>100</v>
      </c>
      <c r="AD276" s="11">
        <f>500/5</f>
        <v>100</v>
      </c>
      <c r="AE276" s="11">
        <f>500/5</f>
        <v>100</v>
      </c>
      <c r="AF276" s="11">
        <f>500/5</f>
        <v>100</v>
      </c>
      <c r="AG276" s="11">
        <f>500/5</f>
        <v>100</v>
      </c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>
        <f t="shared" si="31"/>
        <v>500</v>
      </c>
      <c r="AU276" s="2">
        <f t="shared" si="33"/>
        <v>0</v>
      </c>
      <c r="IS276" s="3"/>
    </row>
    <row r="277" spans="1:253">
      <c r="B277" s="2" t="s">
        <v>166</v>
      </c>
      <c r="C277" s="11">
        <f t="shared" si="32"/>
        <v>2000</v>
      </c>
      <c r="D277" s="11" t="s">
        <v>379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>
        <f>2000/5</f>
        <v>400</v>
      </c>
      <c r="AD277" s="11">
        <f>2000/5</f>
        <v>400</v>
      </c>
      <c r="AE277" s="11">
        <f>2000/5</f>
        <v>400</v>
      </c>
      <c r="AF277" s="11">
        <f>2000/5</f>
        <v>400</v>
      </c>
      <c r="AG277" s="11">
        <f>2000/5</f>
        <v>400</v>
      </c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>
        <f t="shared" si="31"/>
        <v>2000</v>
      </c>
      <c r="AU277" s="2">
        <f t="shared" si="33"/>
        <v>0</v>
      </c>
      <c r="IS277" s="3"/>
    </row>
    <row r="278" spans="1:253">
      <c r="B278" s="2" t="s">
        <v>167</v>
      </c>
      <c r="C278" s="11">
        <f t="shared" si="32"/>
        <v>9000</v>
      </c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>
        <v>9000</v>
      </c>
      <c r="AS278" s="11"/>
      <c r="AT278" s="11">
        <f t="shared" si="31"/>
        <v>9000</v>
      </c>
      <c r="AU278" s="2">
        <f t="shared" si="33"/>
        <v>0</v>
      </c>
      <c r="IS278" s="3"/>
    </row>
    <row r="279" spans="1:253">
      <c r="B279" s="2" t="s">
        <v>168</v>
      </c>
      <c r="C279" s="11">
        <f t="shared" si="32"/>
        <v>2800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>
        <v>2800</v>
      </c>
      <c r="AS279" s="11"/>
      <c r="AT279" s="11">
        <f t="shared" si="31"/>
        <v>2800</v>
      </c>
      <c r="AU279" s="2">
        <f t="shared" si="33"/>
        <v>0</v>
      </c>
      <c r="IS279" s="3"/>
    </row>
    <row r="280" spans="1:253">
      <c r="B280" s="2" t="s">
        <v>169</v>
      </c>
      <c r="C280" s="11">
        <f t="shared" si="32"/>
        <v>2000</v>
      </c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>
        <v>2000</v>
      </c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>
        <f t="shared" si="31"/>
        <v>2000</v>
      </c>
      <c r="AU280" s="2">
        <f t="shared" si="33"/>
        <v>0</v>
      </c>
      <c r="IS280" s="3"/>
    </row>
    <row r="281" spans="1:253" ht="15.75">
      <c r="A281" s="7">
        <v>30</v>
      </c>
      <c r="B281" s="7" t="s">
        <v>170</v>
      </c>
      <c r="C281" s="11">
        <f t="shared" si="32"/>
        <v>0</v>
      </c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>
        <f t="shared" si="31"/>
        <v>0</v>
      </c>
      <c r="AU281" s="2">
        <f t="shared" si="33"/>
        <v>0</v>
      </c>
      <c r="IS281" s="3"/>
    </row>
    <row r="282" spans="1:253">
      <c r="B282" s="2" t="s">
        <v>171</v>
      </c>
      <c r="C282" s="11">
        <f t="shared" si="32"/>
        <v>35000</v>
      </c>
      <c r="D282" s="11" t="s">
        <v>379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>
        <v>17500</v>
      </c>
      <c r="AE282" s="11"/>
      <c r="AF282" s="11"/>
      <c r="AG282" s="11"/>
      <c r="AH282" s="11"/>
      <c r="AI282" s="11"/>
      <c r="AJ282" s="11"/>
      <c r="AK282" s="11">
        <v>17500</v>
      </c>
      <c r="AL282" s="11"/>
      <c r="AM282" s="11"/>
      <c r="AN282" s="11"/>
      <c r="AO282" s="11"/>
      <c r="AP282" s="11"/>
      <c r="AQ282" s="11"/>
      <c r="AR282" s="11"/>
      <c r="AS282" s="11"/>
      <c r="AT282" s="11">
        <f t="shared" si="31"/>
        <v>35000</v>
      </c>
      <c r="AU282" s="2">
        <f t="shared" si="33"/>
        <v>0</v>
      </c>
      <c r="IS282" s="3"/>
    </row>
    <row r="283" spans="1:253">
      <c r="B283" s="2" t="s">
        <v>172</v>
      </c>
      <c r="C283" s="11">
        <f t="shared" si="32"/>
        <v>9500</v>
      </c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>
        <v>9500</v>
      </c>
      <c r="AS283" s="11"/>
      <c r="AT283" s="11">
        <f t="shared" si="31"/>
        <v>9500</v>
      </c>
      <c r="AU283" s="2">
        <f t="shared" si="33"/>
        <v>0</v>
      </c>
      <c r="IS283" s="3"/>
    </row>
    <row r="284" spans="1:253" ht="15.75">
      <c r="A284" s="7">
        <v>31</v>
      </c>
      <c r="B284" s="7" t="s">
        <v>173</v>
      </c>
      <c r="C284" s="11">
        <f t="shared" si="32"/>
        <v>0</v>
      </c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>
        <f t="shared" si="31"/>
        <v>0</v>
      </c>
      <c r="AU284" s="2">
        <f t="shared" si="33"/>
        <v>0</v>
      </c>
      <c r="IS284" s="3"/>
    </row>
    <row r="285" spans="1:253">
      <c r="B285" s="2" t="s">
        <v>174</v>
      </c>
      <c r="C285" s="11">
        <f t="shared" si="32"/>
        <v>2780</v>
      </c>
      <c r="D285" s="11"/>
      <c r="E285" s="11"/>
      <c r="F285" s="11"/>
      <c r="G285" s="11"/>
      <c r="H285" s="11"/>
      <c r="I285" s="11"/>
      <c r="J285" s="11"/>
      <c r="K285" s="11"/>
      <c r="L285" s="11"/>
      <c r="M285" s="11">
        <f>2780/2</f>
        <v>1390</v>
      </c>
      <c r="N285" s="11">
        <f>2780/2</f>
        <v>1390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>
        <f t="shared" si="31"/>
        <v>2780</v>
      </c>
      <c r="AU285" s="2">
        <f t="shared" si="33"/>
        <v>0</v>
      </c>
      <c r="IS285" s="3"/>
    </row>
    <row r="286" spans="1:253">
      <c r="B286" s="2" t="s">
        <v>372</v>
      </c>
      <c r="C286" s="11">
        <f t="shared" si="32"/>
        <v>400</v>
      </c>
      <c r="D286" s="11"/>
      <c r="E286" s="11"/>
      <c r="F286" s="11"/>
      <c r="G286" s="11"/>
      <c r="H286" s="11">
        <v>400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>
        <f t="shared" si="31"/>
        <v>400</v>
      </c>
      <c r="AU286" s="2">
        <f t="shared" si="33"/>
        <v>0</v>
      </c>
      <c r="IS286" s="3"/>
    </row>
    <row r="287" spans="1:253">
      <c r="B287" s="2" t="s">
        <v>334</v>
      </c>
      <c r="C287" s="11">
        <f t="shared" si="32"/>
        <v>14000</v>
      </c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>
        <v>14000</v>
      </c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>
        <f t="shared" si="31"/>
        <v>14000</v>
      </c>
      <c r="AU287" s="2">
        <f t="shared" si="33"/>
        <v>0</v>
      </c>
      <c r="IS287" s="3"/>
    </row>
    <row r="288" spans="1:253">
      <c r="B288" s="2" t="s">
        <v>335</v>
      </c>
      <c r="C288" s="11">
        <f t="shared" si="32"/>
        <v>2100</v>
      </c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>
        <v>2100</v>
      </c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>
        <f t="shared" si="31"/>
        <v>2100</v>
      </c>
      <c r="AU288" s="2">
        <f t="shared" si="33"/>
        <v>0</v>
      </c>
      <c r="IS288" s="3"/>
    </row>
    <row r="289" spans="2:253">
      <c r="B289" s="2" t="s">
        <v>336</v>
      </c>
      <c r="C289" s="11">
        <f t="shared" si="32"/>
        <v>8665</v>
      </c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>
        <v>8665</v>
      </c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>
        <f t="shared" si="31"/>
        <v>8665</v>
      </c>
      <c r="AU289" s="2">
        <f t="shared" si="33"/>
        <v>0</v>
      </c>
      <c r="IS289" s="3"/>
    </row>
    <row r="290" spans="2:253">
      <c r="B290" s="2" t="s">
        <v>175</v>
      </c>
      <c r="C290" s="11">
        <f t="shared" si="32"/>
        <v>800</v>
      </c>
      <c r="D290" s="11" t="s">
        <v>379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>
        <v>200</v>
      </c>
      <c r="Y290" s="11">
        <v>200</v>
      </c>
      <c r="Z290" s="11">
        <v>200</v>
      </c>
      <c r="AA290" s="11">
        <v>200</v>
      </c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>
        <f t="shared" si="31"/>
        <v>800</v>
      </c>
      <c r="AU290" s="2">
        <f t="shared" si="33"/>
        <v>0</v>
      </c>
      <c r="IS290" s="3"/>
    </row>
    <row r="291" spans="2:253">
      <c r="B291" s="2" t="s">
        <v>176</v>
      </c>
      <c r="C291" s="11">
        <f t="shared" si="32"/>
        <v>1400</v>
      </c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>
        <v>200</v>
      </c>
      <c r="V291" s="11">
        <v>200</v>
      </c>
      <c r="W291" s="11">
        <v>200</v>
      </c>
      <c r="X291" s="11">
        <v>200</v>
      </c>
      <c r="Y291" s="11">
        <v>200</v>
      </c>
      <c r="Z291" s="11">
        <v>200</v>
      </c>
      <c r="AA291" s="11">
        <v>200</v>
      </c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>
        <f t="shared" si="31"/>
        <v>1400</v>
      </c>
      <c r="AU291" s="2">
        <f t="shared" si="33"/>
        <v>0</v>
      </c>
      <c r="IS291" s="3"/>
    </row>
    <row r="292" spans="2:253">
      <c r="B292" s="2" t="s">
        <v>177</v>
      </c>
      <c r="C292" s="11">
        <f t="shared" si="32"/>
        <v>660</v>
      </c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>
        <v>110</v>
      </c>
      <c r="W292" s="11">
        <v>110</v>
      </c>
      <c r="X292" s="11">
        <v>110</v>
      </c>
      <c r="Y292" s="11">
        <v>110</v>
      </c>
      <c r="Z292" s="11">
        <v>110</v>
      </c>
      <c r="AA292" s="11">
        <v>110</v>
      </c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>
        <f t="shared" si="31"/>
        <v>660</v>
      </c>
      <c r="AU292" s="2">
        <f t="shared" si="33"/>
        <v>0</v>
      </c>
      <c r="IS292" s="3"/>
    </row>
    <row r="293" spans="2:253">
      <c r="B293" s="2" t="s">
        <v>178</v>
      </c>
      <c r="C293" s="11">
        <f t="shared" si="32"/>
        <v>400</v>
      </c>
      <c r="D293" s="11" t="s">
        <v>379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>
        <v>100</v>
      </c>
      <c r="Y293" s="11">
        <v>100</v>
      </c>
      <c r="Z293" s="11">
        <v>100</v>
      </c>
      <c r="AA293" s="11">
        <v>100</v>
      </c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>
        <f t="shared" si="31"/>
        <v>400</v>
      </c>
      <c r="AU293" s="2">
        <f t="shared" si="33"/>
        <v>0</v>
      </c>
      <c r="IS293" s="3"/>
    </row>
    <row r="294" spans="2:253">
      <c r="B294" s="2" t="s">
        <v>179</v>
      </c>
      <c r="C294" s="11">
        <f t="shared" si="32"/>
        <v>1650</v>
      </c>
      <c r="D294" s="11"/>
      <c r="E294" s="11"/>
      <c r="F294" s="11"/>
      <c r="G294" s="11"/>
      <c r="H294" s="11"/>
      <c r="I294" s="11"/>
      <c r="J294" s="11"/>
      <c r="K294" s="11"/>
      <c r="L294" s="11"/>
      <c r="M294" s="11">
        <v>110</v>
      </c>
      <c r="N294" s="11">
        <v>110</v>
      </c>
      <c r="O294" s="11">
        <v>110</v>
      </c>
      <c r="P294" s="11">
        <v>110</v>
      </c>
      <c r="Q294" s="11">
        <v>110</v>
      </c>
      <c r="R294" s="11">
        <v>110</v>
      </c>
      <c r="S294" s="11">
        <v>110</v>
      </c>
      <c r="T294" s="11">
        <v>110</v>
      </c>
      <c r="U294" s="11">
        <v>110</v>
      </c>
      <c r="V294" s="11">
        <v>110</v>
      </c>
      <c r="W294" s="11">
        <v>110</v>
      </c>
      <c r="X294" s="11">
        <v>110</v>
      </c>
      <c r="Y294" s="11">
        <v>110</v>
      </c>
      <c r="Z294" s="11">
        <v>110</v>
      </c>
      <c r="AA294" s="11">
        <v>110</v>
      </c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>
        <f t="shared" si="31"/>
        <v>1650</v>
      </c>
      <c r="AU294" s="2">
        <f t="shared" si="33"/>
        <v>0</v>
      </c>
      <c r="IS294" s="3"/>
    </row>
    <row r="295" spans="2:253">
      <c r="B295" s="2" t="s">
        <v>180</v>
      </c>
      <c r="C295" s="11">
        <f t="shared" si="32"/>
        <v>900</v>
      </c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>
        <v>100</v>
      </c>
      <c r="T295" s="11">
        <v>100</v>
      </c>
      <c r="U295" s="11">
        <v>100</v>
      </c>
      <c r="V295" s="11">
        <v>100</v>
      </c>
      <c r="W295" s="11">
        <v>100</v>
      </c>
      <c r="X295" s="11">
        <v>100</v>
      </c>
      <c r="Y295" s="11">
        <v>100</v>
      </c>
      <c r="Z295" s="11">
        <v>100</v>
      </c>
      <c r="AA295" s="11">
        <v>100</v>
      </c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>
        <f t="shared" si="31"/>
        <v>900</v>
      </c>
      <c r="AU295" s="2">
        <f t="shared" si="33"/>
        <v>0</v>
      </c>
      <c r="IS295" s="3"/>
    </row>
    <row r="296" spans="2:253">
      <c r="B296" s="2" t="s">
        <v>181</v>
      </c>
      <c r="C296" s="11">
        <f t="shared" si="32"/>
        <v>1200</v>
      </c>
      <c r="D296" s="11" t="s">
        <v>379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>
        <v>100</v>
      </c>
      <c r="Q296" s="11">
        <v>100</v>
      </c>
      <c r="R296" s="11">
        <v>100</v>
      </c>
      <c r="S296" s="11">
        <v>100</v>
      </c>
      <c r="T296" s="11">
        <v>100</v>
      </c>
      <c r="U296" s="11">
        <v>100</v>
      </c>
      <c r="V296" s="11">
        <v>100</v>
      </c>
      <c r="W296" s="11">
        <v>100</v>
      </c>
      <c r="X296" s="11">
        <v>100</v>
      </c>
      <c r="Y296" s="11">
        <v>100</v>
      </c>
      <c r="Z296" s="11">
        <v>100</v>
      </c>
      <c r="AA296" s="11">
        <v>100</v>
      </c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>
        <f t="shared" si="31"/>
        <v>1200</v>
      </c>
      <c r="AU296" s="2">
        <f t="shared" si="33"/>
        <v>0</v>
      </c>
      <c r="IS296" s="3"/>
    </row>
    <row r="297" spans="2:253">
      <c r="B297" s="2" t="s">
        <v>182</v>
      </c>
      <c r="C297" s="11">
        <f t="shared" si="32"/>
        <v>1000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>
        <v>100</v>
      </c>
      <c r="S297" s="11">
        <v>100</v>
      </c>
      <c r="T297" s="11">
        <v>100</v>
      </c>
      <c r="U297" s="11">
        <v>100</v>
      </c>
      <c r="V297" s="11">
        <v>100</v>
      </c>
      <c r="W297" s="11">
        <v>100</v>
      </c>
      <c r="X297" s="11">
        <v>100</v>
      </c>
      <c r="Y297" s="11">
        <v>100</v>
      </c>
      <c r="Z297" s="11">
        <v>100</v>
      </c>
      <c r="AA297" s="11">
        <v>100</v>
      </c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>
        <f t="shared" si="31"/>
        <v>1000</v>
      </c>
      <c r="AU297" s="2">
        <f t="shared" si="33"/>
        <v>0</v>
      </c>
      <c r="IS297" s="3"/>
    </row>
    <row r="298" spans="2:253">
      <c r="B298" s="2" t="s">
        <v>183</v>
      </c>
      <c r="C298" s="11">
        <f t="shared" si="32"/>
        <v>800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>
        <v>100</v>
      </c>
      <c r="U298" s="11">
        <v>100</v>
      </c>
      <c r="V298" s="11">
        <v>100</v>
      </c>
      <c r="W298" s="11">
        <v>100</v>
      </c>
      <c r="X298" s="11">
        <v>100</v>
      </c>
      <c r="Y298" s="11">
        <v>100</v>
      </c>
      <c r="Z298" s="11">
        <v>100</v>
      </c>
      <c r="AA298" s="11">
        <v>100</v>
      </c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>
        <f t="shared" si="31"/>
        <v>800</v>
      </c>
      <c r="AU298" s="2">
        <f t="shared" si="33"/>
        <v>0</v>
      </c>
      <c r="IS298" s="3"/>
    </row>
    <row r="299" spans="2:253">
      <c r="B299" s="2" t="s">
        <v>184</v>
      </c>
      <c r="C299" s="11">
        <f t="shared" si="32"/>
        <v>700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>
        <v>100</v>
      </c>
      <c r="V299" s="11">
        <v>100</v>
      </c>
      <c r="W299" s="11">
        <v>100</v>
      </c>
      <c r="X299" s="11">
        <v>100</v>
      </c>
      <c r="Y299" s="11">
        <v>100</v>
      </c>
      <c r="Z299" s="11">
        <v>100</v>
      </c>
      <c r="AA299" s="11">
        <v>100</v>
      </c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>
        <f t="shared" si="31"/>
        <v>700</v>
      </c>
      <c r="AU299" s="2">
        <f t="shared" si="33"/>
        <v>0</v>
      </c>
      <c r="IS299" s="3"/>
    </row>
    <row r="300" spans="2:253">
      <c r="B300" s="2" t="s">
        <v>185</v>
      </c>
      <c r="C300" s="11">
        <f t="shared" si="32"/>
        <v>12000</v>
      </c>
      <c r="D300" s="11" t="s">
        <v>379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>
        <f>12000/4</f>
        <v>3000</v>
      </c>
      <c r="Y300" s="11">
        <f>12000/4</f>
        <v>3000</v>
      </c>
      <c r="Z300" s="11">
        <f>12000/4</f>
        <v>3000</v>
      </c>
      <c r="AA300" s="11">
        <f>12000/4</f>
        <v>3000</v>
      </c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>
        <f t="shared" si="31"/>
        <v>12000</v>
      </c>
      <c r="AU300" s="2">
        <f t="shared" si="33"/>
        <v>0</v>
      </c>
      <c r="IS300" s="3"/>
    </row>
    <row r="301" spans="2:253">
      <c r="B301" s="2" t="s">
        <v>373</v>
      </c>
      <c r="C301" s="11">
        <f t="shared" si="32"/>
        <v>462</v>
      </c>
      <c r="D301" s="11"/>
      <c r="E301" s="11"/>
      <c r="F301" s="11"/>
      <c r="G301" s="11"/>
      <c r="H301" s="11">
        <v>462</v>
      </c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>
        <f t="shared" si="31"/>
        <v>462</v>
      </c>
      <c r="AU301" s="2">
        <f t="shared" si="33"/>
        <v>0</v>
      </c>
      <c r="IS301" s="3"/>
    </row>
    <row r="302" spans="2:253">
      <c r="B302" s="2" t="s">
        <v>337</v>
      </c>
      <c r="C302" s="11">
        <f t="shared" si="32"/>
        <v>2000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>
        <v>2000</v>
      </c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>
        <f t="shared" si="31"/>
        <v>2000</v>
      </c>
      <c r="AU302" s="2">
        <f t="shared" si="33"/>
        <v>0</v>
      </c>
      <c r="IS302" s="3"/>
    </row>
    <row r="303" spans="2:253">
      <c r="B303" s="2" t="s">
        <v>186</v>
      </c>
      <c r="C303" s="11">
        <f t="shared" si="32"/>
        <v>600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>
        <v>600</v>
      </c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>
        <f t="shared" si="31"/>
        <v>600</v>
      </c>
      <c r="AU303" s="2">
        <f t="shared" si="33"/>
        <v>0</v>
      </c>
      <c r="IS303" s="3"/>
    </row>
    <row r="304" spans="2:253">
      <c r="B304" s="2" t="s">
        <v>187</v>
      </c>
      <c r="C304" s="11">
        <f t="shared" si="32"/>
        <v>11400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>
        <f>11400/4</f>
        <v>2850</v>
      </c>
      <c r="Y304" s="11">
        <f>11400/4</f>
        <v>2850</v>
      </c>
      <c r="Z304" s="11">
        <f>11400/4</f>
        <v>2850</v>
      </c>
      <c r="AA304" s="11">
        <f>11400/4</f>
        <v>2850</v>
      </c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>
        <f t="shared" si="31"/>
        <v>11400</v>
      </c>
      <c r="AU304" s="2">
        <f t="shared" si="33"/>
        <v>0</v>
      </c>
      <c r="IS304" s="3"/>
    </row>
    <row r="305" spans="2:253">
      <c r="B305" s="2" t="s">
        <v>188</v>
      </c>
      <c r="C305" s="11">
        <f t="shared" si="32"/>
        <v>2800</v>
      </c>
      <c r="D305" s="11" t="s">
        <v>379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>
        <f>2800/4</f>
        <v>700</v>
      </c>
      <c r="Y305" s="11">
        <f>2800/4</f>
        <v>700</v>
      </c>
      <c r="Z305" s="11">
        <f>2800/4</f>
        <v>700</v>
      </c>
      <c r="AA305" s="11">
        <f>2800/4</f>
        <v>700</v>
      </c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>
        <f t="shared" si="31"/>
        <v>2800</v>
      </c>
      <c r="AU305" s="2">
        <f t="shared" si="33"/>
        <v>0</v>
      </c>
      <c r="IS305" s="3"/>
    </row>
    <row r="306" spans="2:253">
      <c r="B306" s="2" t="s">
        <v>338</v>
      </c>
      <c r="C306" s="11">
        <f t="shared" si="32"/>
        <v>692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>
        <v>692</v>
      </c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>
        <f t="shared" si="31"/>
        <v>692</v>
      </c>
      <c r="AU306" s="2">
        <f t="shared" si="33"/>
        <v>0</v>
      </c>
      <c r="IS306" s="3"/>
    </row>
    <row r="307" spans="2:253">
      <c r="B307" s="2" t="s">
        <v>339</v>
      </c>
      <c r="C307" s="11">
        <f t="shared" si="32"/>
        <v>692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>
        <v>692</v>
      </c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>
        <f t="shared" si="31"/>
        <v>692</v>
      </c>
      <c r="AU307" s="2">
        <f t="shared" si="33"/>
        <v>0</v>
      </c>
      <c r="IS307" s="3"/>
    </row>
    <row r="308" spans="2:253">
      <c r="B308" s="2" t="s">
        <v>189</v>
      </c>
      <c r="C308" s="11">
        <f t="shared" si="32"/>
        <v>48480</v>
      </c>
      <c r="D308" s="11" t="s">
        <v>379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>
        <f>48480/4</f>
        <v>12120</v>
      </c>
      <c r="Y308" s="11">
        <f>48480/4</f>
        <v>12120</v>
      </c>
      <c r="Z308" s="11">
        <f>48480/4</f>
        <v>12120</v>
      </c>
      <c r="AA308" s="11">
        <f>48480/4</f>
        <v>12120</v>
      </c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>
        <f t="shared" si="31"/>
        <v>48480</v>
      </c>
      <c r="AU308" s="2">
        <f t="shared" si="33"/>
        <v>0</v>
      </c>
      <c r="IS308" s="3"/>
    </row>
    <row r="309" spans="2:253">
      <c r="B309" s="2" t="s">
        <v>190</v>
      </c>
      <c r="C309" s="11">
        <f t="shared" si="32"/>
        <v>11900</v>
      </c>
      <c r="D309" s="11" t="s">
        <v>379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>
        <f>11900/4</f>
        <v>2975</v>
      </c>
      <c r="Y309" s="11">
        <f>11900/4</f>
        <v>2975</v>
      </c>
      <c r="Z309" s="11">
        <f>11900/4</f>
        <v>2975</v>
      </c>
      <c r="AA309" s="11">
        <f>11900/4</f>
        <v>2975</v>
      </c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>
        <f t="shared" si="31"/>
        <v>11900</v>
      </c>
      <c r="AU309" s="2">
        <f t="shared" si="33"/>
        <v>0</v>
      </c>
      <c r="IS309" s="3"/>
    </row>
    <row r="310" spans="2:253">
      <c r="B310" s="2" t="s">
        <v>340</v>
      </c>
      <c r="C310" s="11">
        <f t="shared" si="32"/>
        <v>19916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>
        <f>80297-$C$309-$C$308-1</f>
        <v>19916</v>
      </c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>
        <f t="shared" si="31"/>
        <v>19916</v>
      </c>
      <c r="AU310" s="2">
        <f t="shared" si="33"/>
        <v>0</v>
      </c>
      <c r="IS310" s="3"/>
    </row>
    <row r="311" spans="2:253">
      <c r="B311" s="2" t="s">
        <v>341</v>
      </c>
      <c r="C311" s="11">
        <f t="shared" si="32"/>
        <v>10000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>
        <v>5000</v>
      </c>
      <c r="AB311" s="11">
        <v>5000</v>
      </c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>
        <f t="shared" si="31"/>
        <v>10000</v>
      </c>
      <c r="AU311" s="2">
        <f t="shared" si="33"/>
        <v>0</v>
      </c>
      <c r="IS311" s="3"/>
    </row>
    <row r="312" spans="2:253">
      <c r="B312" s="2" t="s">
        <v>342</v>
      </c>
      <c r="C312" s="11">
        <f t="shared" si="32"/>
        <v>1153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>
        <v>1153</v>
      </c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>
        <f t="shared" si="31"/>
        <v>1153</v>
      </c>
      <c r="AU312" s="2">
        <f t="shared" si="33"/>
        <v>0</v>
      </c>
      <c r="IS312" s="3"/>
    </row>
    <row r="313" spans="2:253">
      <c r="B313" s="2" t="s">
        <v>191</v>
      </c>
      <c r="C313" s="11">
        <f t="shared" si="32"/>
        <v>1000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>
        <v>1000</v>
      </c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>
        <f t="shared" si="31"/>
        <v>1000</v>
      </c>
      <c r="AU313" s="2">
        <f t="shared" si="33"/>
        <v>0</v>
      </c>
      <c r="IS313" s="3"/>
    </row>
    <row r="314" spans="2:253">
      <c r="B314" s="2" t="s">
        <v>374</v>
      </c>
      <c r="C314" s="11">
        <f t="shared" si="32"/>
        <v>50</v>
      </c>
      <c r="D314" s="11"/>
      <c r="E314" s="11"/>
      <c r="F314" s="11"/>
      <c r="G314" s="11"/>
      <c r="H314" s="11">
        <v>50</v>
      </c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>
        <f t="shared" si="31"/>
        <v>50</v>
      </c>
      <c r="AU314" s="2">
        <f t="shared" si="33"/>
        <v>0</v>
      </c>
      <c r="IS314" s="3"/>
    </row>
    <row r="315" spans="2:253">
      <c r="B315" s="2" t="s">
        <v>192</v>
      </c>
      <c r="C315" s="11">
        <f t="shared" si="32"/>
        <v>20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>
        <v>20</v>
      </c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>
        <f t="shared" si="31"/>
        <v>20</v>
      </c>
      <c r="AU315" s="2">
        <f t="shared" si="33"/>
        <v>0</v>
      </c>
      <c r="IS315" s="3"/>
    </row>
    <row r="316" spans="2:253">
      <c r="B316" s="2" t="s">
        <v>193</v>
      </c>
      <c r="C316" s="11">
        <f t="shared" si="32"/>
        <v>12000</v>
      </c>
      <c r="D316" s="11" t="s">
        <v>379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>
        <f>12000/4</f>
        <v>3000</v>
      </c>
      <c r="Y316" s="11">
        <f>12000/4</f>
        <v>3000</v>
      </c>
      <c r="Z316" s="11">
        <f>12000/4</f>
        <v>3000</v>
      </c>
      <c r="AA316" s="11">
        <f>12000/4</f>
        <v>3000</v>
      </c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>
        <f t="shared" si="31"/>
        <v>12000</v>
      </c>
      <c r="AU316" s="2">
        <f t="shared" si="33"/>
        <v>0</v>
      </c>
      <c r="IS316" s="3"/>
    </row>
    <row r="317" spans="2:253">
      <c r="B317" s="2" t="s">
        <v>375</v>
      </c>
      <c r="C317" s="11">
        <f t="shared" si="32"/>
        <v>128</v>
      </c>
      <c r="D317" s="11"/>
      <c r="E317" s="11"/>
      <c r="F317" s="11"/>
      <c r="G317" s="11"/>
      <c r="H317" s="11">
        <v>128</v>
      </c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>
        <f t="shared" si="31"/>
        <v>128</v>
      </c>
      <c r="AU317" s="2">
        <f t="shared" si="33"/>
        <v>0</v>
      </c>
      <c r="IS317" s="3"/>
    </row>
    <row r="318" spans="2:253">
      <c r="B318" s="2" t="s">
        <v>343</v>
      </c>
      <c r="C318" s="11">
        <f t="shared" si="32"/>
        <v>3000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>
        <v>3000</v>
      </c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>
        <f t="shared" si="31"/>
        <v>3000</v>
      </c>
      <c r="AU318" s="2">
        <f t="shared" si="33"/>
        <v>0</v>
      </c>
      <c r="IS318" s="3"/>
    </row>
    <row r="319" spans="2:253">
      <c r="B319" s="2" t="s">
        <v>194</v>
      </c>
      <c r="C319" s="11">
        <f t="shared" si="32"/>
        <v>4750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>
        <v>200</v>
      </c>
      <c r="R319" s="11">
        <v>200</v>
      </c>
      <c r="S319" s="11">
        <v>200</v>
      </c>
      <c r="T319" s="11">
        <v>200</v>
      </c>
      <c r="U319" s="11">
        <v>200</v>
      </c>
      <c r="V319" s="11">
        <v>200</v>
      </c>
      <c r="W319" s="11">
        <v>200</v>
      </c>
      <c r="X319" s="11">
        <v>200</v>
      </c>
      <c r="Y319" s="11">
        <v>200</v>
      </c>
      <c r="Z319" s="11">
        <v>200</v>
      </c>
      <c r="AA319" s="11">
        <v>200</v>
      </c>
      <c r="AB319" s="11">
        <v>200</v>
      </c>
      <c r="AC319" s="11">
        <v>250</v>
      </c>
      <c r="AD319" s="11">
        <v>250</v>
      </c>
      <c r="AE319" s="11">
        <v>250</v>
      </c>
      <c r="AF319" s="11">
        <v>250</v>
      </c>
      <c r="AG319" s="11">
        <v>250</v>
      </c>
      <c r="AH319" s="11">
        <v>250</v>
      </c>
      <c r="AI319" s="11">
        <v>250</v>
      </c>
      <c r="AJ319" s="11">
        <v>250</v>
      </c>
      <c r="AK319" s="11">
        <v>50</v>
      </c>
      <c r="AL319" s="11">
        <v>50</v>
      </c>
      <c r="AM319" s="11">
        <v>50</v>
      </c>
      <c r="AN319" s="11">
        <v>50</v>
      </c>
      <c r="AO319" s="11">
        <v>50</v>
      </c>
      <c r="AP319" s="11">
        <v>50</v>
      </c>
      <c r="AQ319" s="11">
        <v>50</v>
      </c>
      <c r="AR319" s="11"/>
      <c r="AS319" s="11"/>
      <c r="AT319" s="11">
        <f t="shared" si="31"/>
        <v>4750</v>
      </c>
      <c r="AU319" s="2">
        <f t="shared" si="33"/>
        <v>0</v>
      </c>
      <c r="IS319" s="3"/>
    </row>
    <row r="320" spans="2:253">
      <c r="B320" s="2" t="s">
        <v>195</v>
      </c>
      <c r="C320" s="11">
        <f t="shared" si="32"/>
        <v>2400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>
        <f>2400/4</f>
        <v>600</v>
      </c>
      <c r="Y320" s="11">
        <f>2400/4</f>
        <v>600</v>
      </c>
      <c r="Z320" s="11">
        <f>2400/4</f>
        <v>600</v>
      </c>
      <c r="AA320" s="11">
        <f>2400/4</f>
        <v>600</v>
      </c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>
        <f t="shared" si="31"/>
        <v>2400</v>
      </c>
      <c r="AU320" s="2">
        <f t="shared" si="33"/>
        <v>0</v>
      </c>
      <c r="IS320" s="3"/>
    </row>
    <row r="321" spans="1:253">
      <c r="B321" s="2" t="s">
        <v>196</v>
      </c>
      <c r="C321" s="11">
        <f t="shared" si="32"/>
        <v>2000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>
        <f>2000/4</f>
        <v>500</v>
      </c>
      <c r="Y321" s="11">
        <f>2000/4</f>
        <v>500</v>
      </c>
      <c r="Z321" s="11">
        <f>2000/4</f>
        <v>500</v>
      </c>
      <c r="AA321" s="11">
        <f>2000/4</f>
        <v>500</v>
      </c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>
        <f t="shared" si="31"/>
        <v>2000</v>
      </c>
      <c r="AU321" s="2">
        <f t="shared" si="33"/>
        <v>0</v>
      </c>
      <c r="IS321" s="3"/>
    </row>
    <row r="322" spans="1:253">
      <c r="B322" s="2" t="s">
        <v>197</v>
      </c>
      <c r="C322" s="11">
        <f t="shared" si="32"/>
        <v>3500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>
        <f>3500/4</f>
        <v>875</v>
      </c>
      <c r="Y322" s="11">
        <f>3500/4</f>
        <v>875</v>
      </c>
      <c r="Z322" s="11">
        <f>3500/4</f>
        <v>875</v>
      </c>
      <c r="AA322" s="11">
        <f>3500/4</f>
        <v>875</v>
      </c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>
        <f t="shared" si="31"/>
        <v>3500</v>
      </c>
      <c r="AU322" s="2">
        <f t="shared" si="33"/>
        <v>0</v>
      </c>
      <c r="IS322" s="3"/>
    </row>
    <row r="323" spans="1:253" ht="15.75">
      <c r="A323" s="7">
        <v>32</v>
      </c>
      <c r="B323" s="7" t="s">
        <v>198</v>
      </c>
      <c r="C323" s="11">
        <f t="shared" si="32"/>
        <v>0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>
        <f t="shared" si="31"/>
        <v>0</v>
      </c>
      <c r="AU323" s="2">
        <f t="shared" si="33"/>
        <v>0</v>
      </c>
      <c r="IS323" s="3"/>
    </row>
    <row r="324" spans="1:253">
      <c r="B324" s="2" t="s">
        <v>344</v>
      </c>
      <c r="C324" s="11">
        <f t="shared" si="32"/>
        <v>1024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11">
        <f>1024/2</f>
        <v>512</v>
      </c>
      <c r="N324" s="11">
        <f>1024/2</f>
        <v>512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>
        <f t="shared" si="31"/>
        <v>1024</v>
      </c>
      <c r="AU324" s="2">
        <f t="shared" si="33"/>
        <v>0</v>
      </c>
      <c r="IS324" s="3"/>
    </row>
    <row r="325" spans="1:253">
      <c r="B325" s="2" t="s">
        <v>345</v>
      </c>
      <c r="C325" s="11">
        <f t="shared" si="32"/>
        <v>963</v>
      </c>
      <c r="D325" s="11"/>
      <c r="E325" s="11"/>
      <c r="F325" s="11"/>
      <c r="G325" s="11"/>
      <c r="H325" s="11">
        <v>963</v>
      </c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>
        <f t="shared" si="31"/>
        <v>963</v>
      </c>
      <c r="AU325" s="2">
        <f t="shared" si="33"/>
        <v>0</v>
      </c>
      <c r="IS325" s="3"/>
    </row>
    <row r="326" spans="1:253">
      <c r="B326" s="2" t="s">
        <v>346</v>
      </c>
      <c r="C326" s="11">
        <f t="shared" si="32"/>
        <v>13833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>
        <v>5000</v>
      </c>
      <c r="X326" s="11"/>
      <c r="Y326" s="11"/>
      <c r="Z326" s="11"/>
      <c r="AA326" s="11"/>
      <c r="AB326" s="11">
        <f>13833-$W$326</f>
        <v>8833</v>
      </c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>
        <f t="shared" si="31"/>
        <v>13833</v>
      </c>
      <c r="AU326" s="2">
        <f t="shared" si="33"/>
        <v>0</v>
      </c>
      <c r="IS326" s="3"/>
    </row>
    <row r="327" spans="1:253">
      <c r="B327" s="2" t="s">
        <v>347</v>
      </c>
      <c r="C327" s="11">
        <f t="shared" si="32"/>
        <v>8646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>
        <v>8646</v>
      </c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>
        <f t="shared" si="31"/>
        <v>8646</v>
      </c>
      <c r="AU327" s="2">
        <f t="shared" si="33"/>
        <v>0</v>
      </c>
      <c r="IS327" s="3"/>
    </row>
    <row r="328" spans="1:253">
      <c r="B328" s="2" t="s">
        <v>199</v>
      </c>
      <c r="C328" s="11">
        <f t="shared" si="32"/>
        <v>1800</v>
      </c>
      <c r="D328" s="11" t="s">
        <v>379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>
        <f>1800/4</f>
        <v>450</v>
      </c>
      <c r="Y328" s="11">
        <f>1800/4</f>
        <v>450</v>
      </c>
      <c r="Z328" s="11">
        <f>1800/4</f>
        <v>450</v>
      </c>
      <c r="AA328" s="11">
        <f>1800/4</f>
        <v>450</v>
      </c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>
        <f t="shared" si="31"/>
        <v>1800</v>
      </c>
      <c r="AU328" s="2">
        <f t="shared" si="33"/>
        <v>0</v>
      </c>
      <c r="IS328" s="3"/>
    </row>
    <row r="329" spans="1:253">
      <c r="B329" s="2" t="s">
        <v>348</v>
      </c>
      <c r="C329" s="11">
        <f t="shared" si="32"/>
        <v>2767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>
        <v>2767</v>
      </c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>
        <f t="shared" ref="AT329:AT379" si="36">SUM(E329:AS329)</f>
        <v>2767</v>
      </c>
      <c r="AU329" s="2">
        <f t="shared" si="33"/>
        <v>0</v>
      </c>
      <c r="IS329" s="3"/>
    </row>
    <row r="330" spans="1:253">
      <c r="B330" s="2" t="s">
        <v>200</v>
      </c>
      <c r="C330" s="11">
        <f t="shared" ref="C330:C379" si="37">SUM(E330:AS330)</f>
        <v>48019</v>
      </c>
      <c r="D330" s="11" t="s">
        <v>379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>
        <f>48019/4</f>
        <v>12004.75</v>
      </c>
      <c r="Y330" s="11">
        <f>48019/4</f>
        <v>12004.75</v>
      </c>
      <c r="Z330" s="11">
        <f>48019/4</f>
        <v>12004.75</v>
      </c>
      <c r="AA330" s="11">
        <f>48019/4</f>
        <v>12004.75</v>
      </c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>
        <f t="shared" si="36"/>
        <v>48019</v>
      </c>
      <c r="AU330" s="2">
        <f t="shared" ref="AU330:AU379" si="38">C330-AT330</f>
        <v>0</v>
      </c>
      <c r="IS330" s="3"/>
    </row>
    <row r="331" spans="1:253">
      <c r="B331" s="2" t="s">
        <v>349</v>
      </c>
      <c r="C331" s="11">
        <f t="shared" si="37"/>
        <v>500</v>
      </c>
      <c r="D331" s="11"/>
      <c r="E331" s="11"/>
      <c r="F331" s="11"/>
      <c r="G331" s="11"/>
      <c r="H331" s="11">
        <v>500</v>
      </c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>
        <f t="shared" si="36"/>
        <v>500</v>
      </c>
      <c r="AU331" s="2">
        <f t="shared" si="38"/>
        <v>0</v>
      </c>
      <c r="IS331" s="3"/>
    </row>
    <row r="332" spans="1:253">
      <c r="B332" s="2" t="s">
        <v>350</v>
      </c>
      <c r="C332" s="11">
        <f t="shared" si="37"/>
        <v>12859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>
        <f>61378-$C$331-$C$330</f>
        <v>12859</v>
      </c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>
        <f t="shared" si="36"/>
        <v>12859</v>
      </c>
      <c r="AU332" s="2">
        <f t="shared" si="38"/>
        <v>0</v>
      </c>
      <c r="IS332" s="3"/>
    </row>
    <row r="333" spans="1:253">
      <c r="B333" s="2" t="s">
        <v>201</v>
      </c>
      <c r="C333" s="11">
        <f t="shared" si="37"/>
        <v>400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>
        <f>400/4</f>
        <v>100</v>
      </c>
      <c r="Y333" s="11">
        <f>400/4</f>
        <v>100</v>
      </c>
      <c r="Z333" s="11">
        <f>400/4</f>
        <v>100</v>
      </c>
      <c r="AA333" s="11">
        <f>400/4</f>
        <v>100</v>
      </c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>
        <f t="shared" si="36"/>
        <v>400</v>
      </c>
      <c r="AU333" s="2">
        <f t="shared" si="38"/>
        <v>0</v>
      </c>
      <c r="IS333" s="3"/>
    </row>
    <row r="334" spans="1:253">
      <c r="B334" s="2" t="s">
        <v>351</v>
      </c>
      <c r="C334" s="11">
        <f t="shared" si="37"/>
        <v>100</v>
      </c>
      <c r="D334" s="11"/>
      <c r="E334" s="11"/>
      <c r="F334" s="11"/>
      <c r="G334" s="11"/>
      <c r="H334" s="11">
        <v>100</v>
      </c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>
        <f t="shared" si="36"/>
        <v>100</v>
      </c>
      <c r="AU334" s="2">
        <f t="shared" si="38"/>
        <v>0</v>
      </c>
      <c r="IS334" s="3"/>
    </row>
    <row r="335" spans="1:253">
      <c r="B335" s="2" t="s">
        <v>352</v>
      </c>
      <c r="C335" s="11">
        <f t="shared" si="37"/>
        <v>3600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>
        <f>600+3000</f>
        <v>3600</v>
      </c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>
        <f t="shared" si="36"/>
        <v>3600</v>
      </c>
      <c r="AU335" s="2">
        <f t="shared" si="38"/>
        <v>0</v>
      </c>
      <c r="IS335" s="3"/>
    </row>
    <row r="336" spans="1:253">
      <c r="B336" s="2" t="s">
        <v>202</v>
      </c>
      <c r="C336" s="11">
        <f t="shared" si="37"/>
        <v>5320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>
        <f>5320/4</f>
        <v>1330</v>
      </c>
      <c r="Y336" s="11">
        <f>5320/4</f>
        <v>1330</v>
      </c>
      <c r="Z336" s="11">
        <f>5320/4</f>
        <v>1330</v>
      </c>
      <c r="AA336" s="11">
        <f>5320/4</f>
        <v>1330</v>
      </c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>
        <f t="shared" si="36"/>
        <v>5320</v>
      </c>
      <c r="AU336" s="2">
        <f t="shared" si="38"/>
        <v>0</v>
      </c>
      <c r="IS336" s="3"/>
    </row>
    <row r="337" spans="1:253">
      <c r="B337" s="2" t="s">
        <v>13</v>
      </c>
      <c r="C337" s="11">
        <f t="shared" si="37"/>
        <v>500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>
        <f>500/4</f>
        <v>125</v>
      </c>
      <c r="Y337" s="11">
        <f>500/4</f>
        <v>125</v>
      </c>
      <c r="Z337" s="11">
        <f>500/4</f>
        <v>125</v>
      </c>
      <c r="AA337" s="11">
        <f>500/4</f>
        <v>125</v>
      </c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>
        <f t="shared" si="36"/>
        <v>500</v>
      </c>
      <c r="AU337" s="2">
        <f t="shared" si="38"/>
        <v>0</v>
      </c>
      <c r="IS337" s="3"/>
    </row>
    <row r="338" spans="1:253">
      <c r="B338" s="2" t="s">
        <v>353</v>
      </c>
      <c r="C338" s="11">
        <f t="shared" si="37"/>
        <v>193</v>
      </c>
      <c r="D338" s="11"/>
      <c r="E338" s="11"/>
      <c r="F338" s="11"/>
      <c r="G338" s="11"/>
      <c r="H338" s="11">
        <v>193</v>
      </c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>
        <f t="shared" si="36"/>
        <v>193</v>
      </c>
      <c r="AU338" s="2">
        <f t="shared" si="38"/>
        <v>0</v>
      </c>
      <c r="IS338" s="3"/>
    </row>
    <row r="339" spans="1:253">
      <c r="B339" s="2" t="s">
        <v>354</v>
      </c>
      <c r="C339" s="11">
        <f t="shared" si="37"/>
        <v>384</v>
      </c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>
        <v>384</v>
      </c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>
        <f t="shared" si="36"/>
        <v>384</v>
      </c>
      <c r="AU339" s="2">
        <f t="shared" si="38"/>
        <v>0</v>
      </c>
      <c r="IS339" s="3"/>
    </row>
    <row r="340" spans="1:253">
      <c r="B340" s="2" t="s">
        <v>203</v>
      </c>
      <c r="C340" s="11">
        <f t="shared" si="37"/>
        <v>500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11">
        <v>100</v>
      </c>
      <c r="N340" s="11"/>
      <c r="O340" s="11"/>
      <c r="P340" s="11"/>
      <c r="Q340" s="11">
        <v>100</v>
      </c>
      <c r="R340" s="11"/>
      <c r="S340" s="11"/>
      <c r="T340" s="11"/>
      <c r="U340" s="11"/>
      <c r="V340" s="11">
        <v>100</v>
      </c>
      <c r="W340" s="11"/>
      <c r="X340" s="11"/>
      <c r="Y340" s="11"/>
      <c r="Z340" s="11">
        <v>100</v>
      </c>
      <c r="AA340" s="11"/>
      <c r="AB340" s="11"/>
      <c r="AC340" s="11"/>
      <c r="AD340" s="11"/>
      <c r="AE340" s="11">
        <v>100</v>
      </c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>
        <f t="shared" si="36"/>
        <v>500</v>
      </c>
      <c r="AU340" s="2">
        <f t="shared" si="38"/>
        <v>0</v>
      </c>
      <c r="IS340" s="3"/>
    </row>
    <row r="341" spans="1:253" ht="15.75">
      <c r="A341" s="8"/>
      <c r="B341" s="2" t="s">
        <v>204</v>
      </c>
      <c r="C341" s="11">
        <f t="shared" si="37"/>
        <v>1250</v>
      </c>
      <c r="D341" s="11" t="s">
        <v>379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>
        <v>1250</v>
      </c>
      <c r="AS341" s="11"/>
      <c r="AT341" s="11">
        <f t="shared" si="36"/>
        <v>1250</v>
      </c>
      <c r="AU341" s="2">
        <f t="shared" si="38"/>
        <v>0</v>
      </c>
      <c r="IS341" s="3"/>
    </row>
    <row r="342" spans="1:253">
      <c r="B342" s="2" t="s">
        <v>205</v>
      </c>
      <c r="C342" s="11">
        <f t="shared" si="37"/>
        <v>1000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>
        <f t="shared" ref="N342:W342" si="39">1000/10</f>
        <v>100</v>
      </c>
      <c r="O342" s="11">
        <f t="shared" si="39"/>
        <v>100</v>
      </c>
      <c r="P342" s="11">
        <f t="shared" si="39"/>
        <v>100</v>
      </c>
      <c r="Q342" s="11">
        <f t="shared" si="39"/>
        <v>100</v>
      </c>
      <c r="R342" s="11">
        <f t="shared" si="39"/>
        <v>100</v>
      </c>
      <c r="S342" s="11">
        <f t="shared" si="39"/>
        <v>100</v>
      </c>
      <c r="T342" s="11">
        <f t="shared" si="39"/>
        <v>100</v>
      </c>
      <c r="U342" s="11">
        <f t="shared" si="39"/>
        <v>100</v>
      </c>
      <c r="V342" s="11">
        <f t="shared" si="39"/>
        <v>100</v>
      </c>
      <c r="W342" s="11">
        <f t="shared" si="39"/>
        <v>100</v>
      </c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>
        <f t="shared" si="36"/>
        <v>1000</v>
      </c>
      <c r="AU342" s="2">
        <f t="shared" si="38"/>
        <v>0</v>
      </c>
      <c r="IS342" s="3"/>
    </row>
    <row r="343" spans="1:253" ht="15.75">
      <c r="A343" s="8">
        <v>34</v>
      </c>
      <c r="B343" s="7" t="s">
        <v>206</v>
      </c>
      <c r="C343" s="11">
        <f t="shared" si="37"/>
        <v>0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>
        <f t="shared" si="36"/>
        <v>0</v>
      </c>
      <c r="AU343" s="2">
        <f t="shared" si="38"/>
        <v>0</v>
      </c>
      <c r="IS343" s="3"/>
    </row>
    <row r="344" spans="1:253">
      <c r="B344" s="2" t="s">
        <v>207</v>
      </c>
      <c r="C344" s="11">
        <f t="shared" si="37"/>
        <v>12116</v>
      </c>
      <c r="D344" s="11"/>
      <c r="E344" s="11"/>
      <c r="F344" s="11"/>
      <c r="G344" s="11"/>
      <c r="H344" s="11"/>
      <c r="I344" s="11"/>
      <c r="J344" s="11"/>
      <c r="K344" s="11">
        <f>11534+582</f>
        <v>12116</v>
      </c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>
        <f t="shared" si="36"/>
        <v>12116</v>
      </c>
      <c r="AU344" s="2">
        <f t="shared" si="38"/>
        <v>0</v>
      </c>
      <c r="IS344" s="3"/>
    </row>
    <row r="345" spans="1:253">
      <c r="B345" s="2" t="s">
        <v>355</v>
      </c>
      <c r="C345" s="11">
        <f t="shared" si="37"/>
        <v>105</v>
      </c>
      <c r="D345" s="11"/>
      <c r="E345" s="11"/>
      <c r="F345" s="11"/>
      <c r="G345" s="11"/>
      <c r="H345" s="11">
        <v>105</v>
      </c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>
        <f t="shared" si="36"/>
        <v>105</v>
      </c>
      <c r="AU345" s="2">
        <f t="shared" si="38"/>
        <v>0</v>
      </c>
      <c r="IS345" s="3"/>
    </row>
    <row r="346" spans="1:253">
      <c r="B346" s="2" t="s">
        <v>356</v>
      </c>
      <c r="C346" s="11">
        <f t="shared" si="37"/>
        <v>5994</v>
      </c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>
        <f>3458+1153+1383</f>
        <v>5994</v>
      </c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>
        <f t="shared" si="36"/>
        <v>5994</v>
      </c>
      <c r="AU346" s="2">
        <f t="shared" si="38"/>
        <v>0</v>
      </c>
      <c r="IS346" s="3"/>
    </row>
    <row r="347" spans="1:253">
      <c r="B347" s="2" t="s">
        <v>208</v>
      </c>
      <c r="C347" s="11">
        <f t="shared" si="37"/>
        <v>769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>
        <v>769</v>
      </c>
      <c r="AS347" s="11"/>
      <c r="AT347" s="11">
        <f t="shared" si="36"/>
        <v>769</v>
      </c>
      <c r="AU347" s="2">
        <f t="shared" si="38"/>
        <v>0</v>
      </c>
      <c r="IS347" s="3"/>
    </row>
    <row r="348" spans="1:253">
      <c r="B348" s="2" t="s">
        <v>209</v>
      </c>
      <c r="C348" s="11">
        <f t="shared" si="37"/>
        <v>999.99999999999966</v>
      </c>
      <c r="D348" s="11"/>
      <c r="E348" s="11"/>
      <c r="F348" s="11"/>
      <c r="G348" s="11"/>
      <c r="H348" s="11"/>
      <c r="I348" s="11"/>
      <c r="J348" s="11">
        <f t="shared" ref="J348:AR348" si="40">1000/35</f>
        <v>28.571428571428573</v>
      </c>
      <c r="K348" s="11">
        <f t="shared" si="40"/>
        <v>28.571428571428573</v>
      </c>
      <c r="L348" s="11">
        <f t="shared" si="40"/>
        <v>28.571428571428573</v>
      </c>
      <c r="M348" s="11">
        <f t="shared" si="40"/>
        <v>28.571428571428573</v>
      </c>
      <c r="N348" s="11">
        <f t="shared" si="40"/>
        <v>28.571428571428573</v>
      </c>
      <c r="O348" s="11">
        <f t="shared" si="40"/>
        <v>28.571428571428573</v>
      </c>
      <c r="P348" s="11">
        <f t="shared" si="40"/>
        <v>28.571428571428573</v>
      </c>
      <c r="Q348" s="11">
        <f t="shared" si="40"/>
        <v>28.571428571428573</v>
      </c>
      <c r="R348" s="11">
        <f t="shared" si="40"/>
        <v>28.571428571428573</v>
      </c>
      <c r="S348" s="11">
        <f t="shared" si="40"/>
        <v>28.571428571428573</v>
      </c>
      <c r="T348" s="11">
        <f t="shared" si="40"/>
        <v>28.571428571428573</v>
      </c>
      <c r="U348" s="11">
        <f t="shared" si="40"/>
        <v>28.571428571428573</v>
      </c>
      <c r="V348" s="11">
        <f t="shared" si="40"/>
        <v>28.571428571428573</v>
      </c>
      <c r="W348" s="11">
        <f t="shared" si="40"/>
        <v>28.571428571428573</v>
      </c>
      <c r="X348" s="11">
        <f t="shared" si="40"/>
        <v>28.571428571428573</v>
      </c>
      <c r="Y348" s="11">
        <f t="shared" si="40"/>
        <v>28.571428571428573</v>
      </c>
      <c r="Z348" s="11">
        <f t="shared" si="40"/>
        <v>28.571428571428573</v>
      </c>
      <c r="AA348" s="11">
        <f t="shared" si="40"/>
        <v>28.571428571428573</v>
      </c>
      <c r="AB348" s="11">
        <f t="shared" si="40"/>
        <v>28.571428571428573</v>
      </c>
      <c r="AC348" s="11">
        <f t="shared" si="40"/>
        <v>28.571428571428573</v>
      </c>
      <c r="AD348" s="11">
        <f t="shared" si="40"/>
        <v>28.571428571428573</v>
      </c>
      <c r="AE348" s="11">
        <f t="shared" si="40"/>
        <v>28.571428571428573</v>
      </c>
      <c r="AF348" s="11">
        <f t="shared" si="40"/>
        <v>28.571428571428573</v>
      </c>
      <c r="AG348" s="11">
        <f t="shared" si="40"/>
        <v>28.571428571428573</v>
      </c>
      <c r="AH348" s="11">
        <f t="shared" si="40"/>
        <v>28.571428571428573</v>
      </c>
      <c r="AI348" s="11">
        <f t="shared" si="40"/>
        <v>28.571428571428573</v>
      </c>
      <c r="AJ348" s="11">
        <f t="shared" si="40"/>
        <v>28.571428571428573</v>
      </c>
      <c r="AK348" s="11">
        <f t="shared" si="40"/>
        <v>28.571428571428573</v>
      </c>
      <c r="AL348" s="11">
        <f t="shared" si="40"/>
        <v>28.571428571428573</v>
      </c>
      <c r="AM348" s="11">
        <f t="shared" si="40"/>
        <v>28.571428571428573</v>
      </c>
      <c r="AN348" s="11">
        <f t="shared" si="40"/>
        <v>28.571428571428573</v>
      </c>
      <c r="AO348" s="11">
        <f t="shared" si="40"/>
        <v>28.571428571428573</v>
      </c>
      <c r="AP348" s="11">
        <f t="shared" si="40"/>
        <v>28.571428571428573</v>
      </c>
      <c r="AQ348" s="11">
        <f t="shared" si="40"/>
        <v>28.571428571428573</v>
      </c>
      <c r="AR348" s="11">
        <f t="shared" si="40"/>
        <v>28.571428571428573</v>
      </c>
      <c r="AS348" s="11"/>
      <c r="AT348" s="11">
        <f t="shared" si="36"/>
        <v>999.99999999999966</v>
      </c>
      <c r="AU348" s="2">
        <f t="shared" si="38"/>
        <v>0</v>
      </c>
      <c r="IS348" s="3"/>
    </row>
    <row r="349" spans="1:253">
      <c r="B349" s="2" t="s">
        <v>357</v>
      </c>
      <c r="C349" s="11">
        <f t="shared" si="37"/>
        <v>500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>
        <v>500</v>
      </c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>
        <f t="shared" si="36"/>
        <v>500</v>
      </c>
      <c r="AU349" s="2">
        <f t="shared" si="38"/>
        <v>0</v>
      </c>
      <c r="IS349" s="3"/>
    </row>
    <row r="350" spans="1:253">
      <c r="B350" s="2" t="s">
        <v>210</v>
      </c>
      <c r="C350" s="11">
        <f t="shared" si="37"/>
        <v>750</v>
      </c>
      <c r="D350" s="11" t="s">
        <v>379</v>
      </c>
      <c r="E350" s="11"/>
      <c r="F350" s="11"/>
      <c r="G350" s="11"/>
      <c r="H350" s="11"/>
      <c r="I350" s="11"/>
      <c r="J350" s="11"/>
      <c r="K350" s="11">
        <v>750</v>
      </c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>
        <f t="shared" si="36"/>
        <v>750</v>
      </c>
      <c r="AU350" s="2">
        <f t="shared" si="38"/>
        <v>0</v>
      </c>
      <c r="IS350" s="3"/>
    </row>
    <row r="351" spans="1:253">
      <c r="B351" s="2" t="s">
        <v>211</v>
      </c>
      <c r="C351" s="11">
        <f t="shared" si="37"/>
        <v>25000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>
        <v>25000</v>
      </c>
      <c r="AS351" s="11"/>
      <c r="AT351" s="11">
        <f t="shared" si="36"/>
        <v>25000</v>
      </c>
      <c r="AU351" s="2">
        <f t="shared" si="38"/>
        <v>0</v>
      </c>
      <c r="IS351" s="3"/>
    </row>
    <row r="352" spans="1:253">
      <c r="B352" s="2" t="s">
        <v>212</v>
      </c>
      <c r="C352" s="11">
        <f t="shared" si="37"/>
        <v>14000</v>
      </c>
      <c r="D352" s="11" t="s">
        <v>379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>
        <v>14000</v>
      </c>
      <c r="AS352" s="11"/>
      <c r="AT352" s="11">
        <f t="shared" si="36"/>
        <v>14000</v>
      </c>
      <c r="AU352" s="2">
        <f t="shared" si="38"/>
        <v>0</v>
      </c>
      <c r="IS352" s="3"/>
    </row>
    <row r="353" spans="1:253">
      <c r="B353" s="2" t="s">
        <v>358</v>
      </c>
      <c r="C353" s="11">
        <f t="shared" si="37"/>
        <v>768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>
        <f>769/5</f>
        <v>153.80000000000001</v>
      </c>
      <c r="Y353" s="11">
        <f>769/5</f>
        <v>153.80000000000001</v>
      </c>
      <c r="Z353" s="11">
        <f>769/5</f>
        <v>153.80000000000001</v>
      </c>
      <c r="AA353" s="11">
        <f>769/5</f>
        <v>153.80000000000001</v>
      </c>
      <c r="AB353" s="11">
        <f>769/5-1</f>
        <v>152.80000000000001</v>
      </c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>
        <f t="shared" si="36"/>
        <v>768</v>
      </c>
      <c r="AU353" s="2">
        <f t="shared" si="38"/>
        <v>0</v>
      </c>
      <c r="IS353" s="3"/>
    </row>
    <row r="354" spans="1:253">
      <c r="B354" s="2" t="s">
        <v>15</v>
      </c>
      <c r="C354" s="11">
        <f t="shared" si="37"/>
        <v>40000</v>
      </c>
      <c r="D354" s="11" t="s">
        <v>379</v>
      </c>
      <c r="E354" s="11"/>
      <c r="F354" s="11"/>
      <c r="G354" s="11"/>
      <c r="H354" s="11"/>
      <c r="I354" s="11"/>
      <c r="J354" s="11"/>
      <c r="K354" s="11">
        <v>30000</v>
      </c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>
        <v>5000</v>
      </c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>
        <v>5000</v>
      </c>
      <c r="AS354" s="11"/>
      <c r="AT354" s="11">
        <f t="shared" si="36"/>
        <v>40000</v>
      </c>
      <c r="AU354" s="2">
        <f t="shared" si="38"/>
        <v>0</v>
      </c>
      <c r="IS354" s="3"/>
    </row>
    <row r="355" spans="1:253">
      <c r="B355" s="2" t="s">
        <v>213</v>
      </c>
      <c r="C355" s="11">
        <f t="shared" si="37"/>
        <v>1000</v>
      </c>
      <c r="D355" s="11" t="s">
        <v>379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>
        <v>1000</v>
      </c>
      <c r="AS355" s="11"/>
      <c r="AT355" s="11">
        <f t="shared" si="36"/>
        <v>1000</v>
      </c>
      <c r="AU355" s="2">
        <f t="shared" si="38"/>
        <v>0</v>
      </c>
      <c r="IS355" s="3"/>
    </row>
    <row r="356" spans="1:253">
      <c r="B356" s="2" t="s">
        <v>214</v>
      </c>
      <c r="C356" s="11">
        <f t="shared" si="37"/>
        <v>500</v>
      </c>
      <c r="D356" s="11" t="s">
        <v>379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>
        <v>500</v>
      </c>
      <c r="AS356" s="11"/>
      <c r="AT356" s="11">
        <f t="shared" si="36"/>
        <v>500</v>
      </c>
      <c r="AU356" s="2">
        <f t="shared" si="38"/>
        <v>0</v>
      </c>
      <c r="IS356" s="3"/>
    </row>
    <row r="357" spans="1:253">
      <c r="B357" s="2" t="s">
        <v>215</v>
      </c>
      <c r="C357" s="11">
        <f t="shared" si="37"/>
        <v>500</v>
      </c>
      <c r="D357" s="11" t="s">
        <v>379</v>
      </c>
      <c r="E357" s="11"/>
      <c r="F357" s="11"/>
      <c r="G357" s="11"/>
      <c r="H357" s="11"/>
      <c r="I357" s="11"/>
      <c r="J357" s="11"/>
      <c r="K357" s="11">
        <v>500</v>
      </c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>
        <f t="shared" si="36"/>
        <v>500</v>
      </c>
      <c r="AU357" s="2">
        <f t="shared" si="38"/>
        <v>0</v>
      </c>
      <c r="IS357" s="3"/>
    </row>
    <row r="358" spans="1:253" ht="15.75">
      <c r="A358" s="8">
        <v>35</v>
      </c>
      <c r="B358" s="7" t="s">
        <v>216</v>
      </c>
      <c r="C358" s="11">
        <f t="shared" si="37"/>
        <v>0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>
        <f t="shared" si="36"/>
        <v>0</v>
      </c>
      <c r="AU358" s="2">
        <f t="shared" si="38"/>
        <v>0</v>
      </c>
      <c r="IS358" s="3"/>
    </row>
    <row r="359" spans="1:253">
      <c r="B359" s="2" t="s">
        <v>217</v>
      </c>
      <c r="C359" s="11">
        <f t="shared" si="37"/>
        <v>5500</v>
      </c>
      <c r="D359" s="11" t="s">
        <v>379</v>
      </c>
      <c r="E359" s="11"/>
      <c r="F359" s="11"/>
      <c r="G359" s="11"/>
      <c r="H359" s="11"/>
      <c r="I359" s="11"/>
      <c r="J359" s="11"/>
      <c r="K359" s="11"/>
      <c r="L359" s="11">
        <f t="shared" ref="L359:W359" si="41">6*55</f>
        <v>330</v>
      </c>
      <c r="M359" s="11">
        <f t="shared" si="41"/>
        <v>330</v>
      </c>
      <c r="N359" s="11">
        <f t="shared" si="41"/>
        <v>330</v>
      </c>
      <c r="O359" s="11">
        <f t="shared" si="41"/>
        <v>330</v>
      </c>
      <c r="P359" s="11">
        <f t="shared" si="41"/>
        <v>330</v>
      </c>
      <c r="Q359" s="11">
        <f t="shared" si="41"/>
        <v>330</v>
      </c>
      <c r="R359" s="11">
        <f t="shared" si="41"/>
        <v>330</v>
      </c>
      <c r="S359" s="11">
        <f t="shared" si="41"/>
        <v>330</v>
      </c>
      <c r="T359" s="11">
        <f t="shared" si="41"/>
        <v>330</v>
      </c>
      <c r="U359" s="11">
        <f t="shared" si="41"/>
        <v>330</v>
      </c>
      <c r="V359" s="11">
        <f t="shared" si="41"/>
        <v>330</v>
      </c>
      <c r="W359" s="11">
        <f t="shared" si="41"/>
        <v>330</v>
      </c>
      <c r="X359" s="11"/>
      <c r="Y359" s="11"/>
      <c r="Z359" s="11"/>
      <c r="AA359" s="11"/>
      <c r="AB359" s="11"/>
      <c r="AC359" s="11">
        <f t="shared" ref="AC359:AI359" si="42">4*55</f>
        <v>220</v>
      </c>
      <c r="AD359" s="11">
        <f t="shared" si="42"/>
        <v>220</v>
      </c>
      <c r="AE359" s="11">
        <f t="shared" si="42"/>
        <v>220</v>
      </c>
      <c r="AF359" s="11">
        <f t="shared" si="42"/>
        <v>220</v>
      </c>
      <c r="AG359" s="11">
        <f t="shared" si="42"/>
        <v>220</v>
      </c>
      <c r="AH359" s="11">
        <f t="shared" si="42"/>
        <v>220</v>
      </c>
      <c r="AI359" s="11">
        <f t="shared" si="42"/>
        <v>220</v>
      </c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>
        <f t="shared" si="36"/>
        <v>5500</v>
      </c>
      <c r="AU359" s="2">
        <f t="shared" si="38"/>
        <v>0</v>
      </c>
      <c r="IS359" s="3"/>
    </row>
    <row r="360" spans="1:253">
      <c r="B360" s="2" t="s">
        <v>359</v>
      </c>
      <c r="C360" s="11">
        <f t="shared" si="37"/>
        <v>166</v>
      </c>
      <c r="D360" s="11"/>
      <c r="E360" s="11"/>
      <c r="F360" s="11"/>
      <c r="G360" s="11"/>
      <c r="H360" s="11">
        <v>166</v>
      </c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>
        <f t="shared" si="36"/>
        <v>166</v>
      </c>
      <c r="AU360" s="2">
        <f t="shared" si="38"/>
        <v>0</v>
      </c>
      <c r="IS360" s="3"/>
    </row>
    <row r="361" spans="1:253">
      <c r="B361" s="2" t="s">
        <v>218</v>
      </c>
      <c r="C361" s="11">
        <f t="shared" si="37"/>
        <v>1400.0000000000005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11">
        <f t="shared" ref="M361:W361" si="43">1400/18</f>
        <v>77.777777777777771</v>
      </c>
      <c r="N361" s="11">
        <f t="shared" si="43"/>
        <v>77.777777777777771</v>
      </c>
      <c r="O361" s="11">
        <f t="shared" si="43"/>
        <v>77.777777777777771</v>
      </c>
      <c r="P361" s="11">
        <f t="shared" si="43"/>
        <v>77.777777777777771</v>
      </c>
      <c r="Q361" s="11">
        <f t="shared" si="43"/>
        <v>77.777777777777771</v>
      </c>
      <c r="R361" s="11">
        <f t="shared" si="43"/>
        <v>77.777777777777771</v>
      </c>
      <c r="S361" s="11">
        <f t="shared" si="43"/>
        <v>77.777777777777771</v>
      </c>
      <c r="T361" s="11">
        <f t="shared" si="43"/>
        <v>77.777777777777771</v>
      </c>
      <c r="U361" s="11">
        <f t="shared" si="43"/>
        <v>77.777777777777771</v>
      </c>
      <c r="V361" s="11">
        <f t="shared" si="43"/>
        <v>77.777777777777771</v>
      </c>
      <c r="W361" s="11">
        <f t="shared" si="43"/>
        <v>77.777777777777771</v>
      </c>
      <c r="X361" s="11"/>
      <c r="Y361" s="11"/>
      <c r="Z361" s="11"/>
      <c r="AA361" s="11"/>
      <c r="AB361" s="11"/>
      <c r="AC361" s="11">
        <f t="shared" ref="AC361:AI361" si="44">1400/18</f>
        <v>77.777777777777771</v>
      </c>
      <c r="AD361" s="11">
        <f t="shared" si="44"/>
        <v>77.777777777777771</v>
      </c>
      <c r="AE361" s="11">
        <f t="shared" si="44"/>
        <v>77.777777777777771</v>
      </c>
      <c r="AF361" s="11">
        <f t="shared" si="44"/>
        <v>77.777777777777771</v>
      </c>
      <c r="AG361" s="11">
        <f t="shared" si="44"/>
        <v>77.777777777777771</v>
      </c>
      <c r="AH361" s="11">
        <f t="shared" si="44"/>
        <v>77.777777777777771</v>
      </c>
      <c r="AI361" s="11">
        <f t="shared" si="44"/>
        <v>77.777777777777771</v>
      </c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>
        <f t="shared" si="36"/>
        <v>1400.0000000000005</v>
      </c>
      <c r="AU361" s="2">
        <f t="shared" si="38"/>
        <v>0</v>
      </c>
      <c r="IS361" s="3"/>
    </row>
    <row r="362" spans="1:253">
      <c r="B362" s="2" t="s">
        <v>219</v>
      </c>
      <c r="C362" s="11">
        <f t="shared" si="37"/>
        <v>1400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>
        <v>100</v>
      </c>
      <c r="R362" s="11">
        <v>100</v>
      </c>
      <c r="S362" s="11">
        <v>100</v>
      </c>
      <c r="T362" s="11">
        <v>100</v>
      </c>
      <c r="U362" s="11">
        <v>100</v>
      </c>
      <c r="V362" s="11">
        <v>100</v>
      </c>
      <c r="W362" s="11">
        <v>100</v>
      </c>
      <c r="X362" s="11">
        <v>100</v>
      </c>
      <c r="Y362" s="11">
        <v>100</v>
      </c>
      <c r="Z362" s="11">
        <v>100</v>
      </c>
      <c r="AA362" s="11">
        <v>100</v>
      </c>
      <c r="AB362" s="11">
        <v>100</v>
      </c>
      <c r="AC362" s="11">
        <v>100</v>
      </c>
      <c r="AD362" s="11">
        <v>100</v>
      </c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>
        <f t="shared" si="36"/>
        <v>1400</v>
      </c>
      <c r="AU362" s="2">
        <f t="shared" si="38"/>
        <v>0</v>
      </c>
      <c r="IS362" s="3"/>
    </row>
    <row r="363" spans="1:253">
      <c r="B363" s="2" t="s">
        <v>360</v>
      </c>
      <c r="C363" s="11">
        <f t="shared" si="37"/>
        <v>1153</v>
      </c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>
        <f>1153/3</f>
        <v>384.33333333333331</v>
      </c>
      <c r="AA363" s="11">
        <f>1153/3</f>
        <v>384.33333333333331</v>
      </c>
      <c r="AB363" s="11">
        <f>1153/3</f>
        <v>384.33333333333331</v>
      </c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>
        <f t="shared" si="36"/>
        <v>1153</v>
      </c>
      <c r="AU363" s="2">
        <f t="shared" si="38"/>
        <v>0</v>
      </c>
      <c r="IS363" s="3"/>
    </row>
    <row r="364" spans="1:253">
      <c r="B364" s="2" t="s">
        <v>220</v>
      </c>
      <c r="C364" s="11">
        <f t="shared" si="37"/>
        <v>3450</v>
      </c>
      <c r="D364" s="11"/>
      <c r="E364" s="11">
        <v>100</v>
      </c>
      <c r="F364" s="11">
        <v>100</v>
      </c>
      <c r="G364" s="11">
        <v>100</v>
      </c>
      <c r="H364" s="11">
        <v>100</v>
      </c>
      <c r="I364" s="11">
        <v>100</v>
      </c>
      <c r="J364" s="11">
        <v>100</v>
      </c>
      <c r="K364" s="11">
        <v>100</v>
      </c>
      <c r="L364" s="11">
        <v>100</v>
      </c>
      <c r="M364" s="11">
        <v>100</v>
      </c>
      <c r="N364" s="11">
        <v>100</v>
      </c>
      <c r="O364" s="11">
        <v>100</v>
      </c>
      <c r="P364" s="11">
        <v>100</v>
      </c>
      <c r="Q364" s="11">
        <v>100</v>
      </c>
      <c r="R364" s="11">
        <v>100</v>
      </c>
      <c r="S364" s="11">
        <v>100</v>
      </c>
      <c r="T364" s="11">
        <v>100</v>
      </c>
      <c r="U364" s="11">
        <v>100</v>
      </c>
      <c r="V364" s="11">
        <v>100</v>
      </c>
      <c r="W364" s="11">
        <v>100</v>
      </c>
      <c r="X364" s="11">
        <v>200</v>
      </c>
      <c r="Y364" s="11">
        <v>200</v>
      </c>
      <c r="Z364" s="11">
        <v>200</v>
      </c>
      <c r="AA364" s="11">
        <v>200</v>
      </c>
      <c r="AB364" s="11">
        <v>50</v>
      </c>
      <c r="AC364" s="11">
        <v>50</v>
      </c>
      <c r="AD364" s="11">
        <v>50</v>
      </c>
      <c r="AE364" s="11">
        <v>50</v>
      </c>
      <c r="AF364" s="11">
        <v>50</v>
      </c>
      <c r="AG364" s="11">
        <v>50</v>
      </c>
      <c r="AH364" s="11">
        <v>50</v>
      </c>
      <c r="AI364" s="11">
        <v>50</v>
      </c>
      <c r="AJ364" s="11">
        <v>50</v>
      </c>
      <c r="AK364" s="11">
        <v>50</v>
      </c>
      <c r="AL364" s="11">
        <v>50</v>
      </c>
      <c r="AM364" s="11">
        <v>50</v>
      </c>
      <c r="AN364" s="11">
        <v>50</v>
      </c>
      <c r="AO364" s="11">
        <v>50</v>
      </c>
      <c r="AP364" s="11">
        <v>50</v>
      </c>
      <c r="AQ364" s="11"/>
      <c r="AR364" s="11"/>
      <c r="AS364" s="11"/>
      <c r="AT364" s="11">
        <f t="shared" si="36"/>
        <v>3450</v>
      </c>
      <c r="AU364" s="2">
        <f t="shared" si="38"/>
        <v>0</v>
      </c>
      <c r="IS364" s="3"/>
    </row>
    <row r="365" spans="1:253">
      <c r="B365" s="2" t="s">
        <v>221</v>
      </c>
      <c r="C365" s="11">
        <f t="shared" si="37"/>
        <v>1500</v>
      </c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>
        <f t="shared" ref="O365:AR365" si="45">1500/30</f>
        <v>50</v>
      </c>
      <c r="P365" s="11">
        <f t="shared" si="45"/>
        <v>50</v>
      </c>
      <c r="Q365" s="11">
        <f t="shared" si="45"/>
        <v>50</v>
      </c>
      <c r="R365" s="11">
        <f t="shared" si="45"/>
        <v>50</v>
      </c>
      <c r="S365" s="11">
        <f t="shared" si="45"/>
        <v>50</v>
      </c>
      <c r="T365" s="11">
        <f t="shared" si="45"/>
        <v>50</v>
      </c>
      <c r="U365" s="11">
        <f t="shared" si="45"/>
        <v>50</v>
      </c>
      <c r="V365" s="11">
        <f t="shared" si="45"/>
        <v>50</v>
      </c>
      <c r="W365" s="11">
        <f t="shared" si="45"/>
        <v>50</v>
      </c>
      <c r="X365" s="11">
        <f t="shared" si="45"/>
        <v>50</v>
      </c>
      <c r="Y365" s="11">
        <f t="shared" si="45"/>
        <v>50</v>
      </c>
      <c r="Z365" s="11">
        <f t="shared" si="45"/>
        <v>50</v>
      </c>
      <c r="AA365" s="11">
        <f t="shared" si="45"/>
        <v>50</v>
      </c>
      <c r="AB365" s="11">
        <f t="shared" si="45"/>
        <v>50</v>
      </c>
      <c r="AC365" s="11">
        <f t="shared" si="45"/>
        <v>50</v>
      </c>
      <c r="AD365" s="11">
        <f t="shared" si="45"/>
        <v>50</v>
      </c>
      <c r="AE365" s="11">
        <f t="shared" si="45"/>
        <v>50</v>
      </c>
      <c r="AF365" s="11">
        <f t="shared" si="45"/>
        <v>50</v>
      </c>
      <c r="AG365" s="11">
        <f t="shared" si="45"/>
        <v>50</v>
      </c>
      <c r="AH365" s="11">
        <f t="shared" si="45"/>
        <v>50</v>
      </c>
      <c r="AI365" s="11">
        <f t="shared" si="45"/>
        <v>50</v>
      </c>
      <c r="AJ365" s="11">
        <f t="shared" si="45"/>
        <v>50</v>
      </c>
      <c r="AK365" s="11">
        <f t="shared" si="45"/>
        <v>50</v>
      </c>
      <c r="AL365" s="11">
        <f t="shared" si="45"/>
        <v>50</v>
      </c>
      <c r="AM365" s="11">
        <f t="shared" si="45"/>
        <v>50</v>
      </c>
      <c r="AN365" s="11">
        <f t="shared" si="45"/>
        <v>50</v>
      </c>
      <c r="AO365" s="11">
        <f t="shared" si="45"/>
        <v>50</v>
      </c>
      <c r="AP365" s="11">
        <f t="shared" si="45"/>
        <v>50</v>
      </c>
      <c r="AQ365" s="11">
        <f t="shared" si="45"/>
        <v>50</v>
      </c>
      <c r="AR365" s="11">
        <f t="shared" si="45"/>
        <v>50</v>
      </c>
      <c r="AS365" s="11"/>
      <c r="AT365" s="11">
        <f t="shared" si="36"/>
        <v>1500</v>
      </c>
      <c r="AU365" s="2">
        <f t="shared" si="38"/>
        <v>0</v>
      </c>
      <c r="AV365" s="2" t="s">
        <v>278</v>
      </c>
      <c r="IS365" s="3"/>
    </row>
    <row r="366" spans="1:253">
      <c r="B366" s="2" t="s">
        <v>222</v>
      </c>
      <c r="C366" s="11">
        <f t="shared" si="37"/>
        <v>1000.0000000000005</v>
      </c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>
        <f t="shared" ref="O366:AR366" si="46">1000/30</f>
        <v>33.333333333333336</v>
      </c>
      <c r="P366" s="11">
        <f t="shared" si="46"/>
        <v>33.333333333333336</v>
      </c>
      <c r="Q366" s="11">
        <f t="shared" si="46"/>
        <v>33.333333333333336</v>
      </c>
      <c r="R366" s="11">
        <f t="shared" si="46"/>
        <v>33.333333333333336</v>
      </c>
      <c r="S366" s="11">
        <f t="shared" si="46"/>
        <v>33.333333333333336</v>
      </c>
      <c r="T366" s="11">
        <f t="shared" si="46"/>
        <v>33.333333333333336</v>
      </c>
      <c r="U366" s="11">
        <f t="shared" si="46"/>
        <v>33.333333333333336</v>
      </c>
      <c r="V366" s="11">
        <f t="shared" si="46"/>
        <v>33.333333333333336</v>
      </c>
      <c r="W366" s="11">
        <f t="shared" si="46"/>
        <v>33.333333333333336</v>
      </c>
      <c r="X366" s="11">
        <f t="shared" si="46"/>
        <v>33.333333333333336</v>
      </c>
      <c r="Y366" s="11">
        <f t="shared" si="46"/>
        <v>33.333333333333336</v>
      </c>
      <c r="Z366" s="11">
        <f t="shared" si="46"/>
        <v>33.333333333333336</v>
      </c>
      <c r="AA366" s="11">
        <f t="shared" si="46"/>
        <v>33.333333333333336</v>
      </c>
      <c r="AB366" s="11">
        <f t="shared" si="46"/>
        <v>33.333333333333336</v>
      </c>
      <c r="AC366" s="11">
        <f t="shared" si="46"/>
        <v>33.333333333333336</v>
      </c>
      <c r="AD366" s="11">
        <f t="shared" si="46"/>
        <v>33.333333333333336</v>
      </c>
      <c r="AE366" s="11">
        <f t="shared" si="46"/>
        <v>33.333333333333336</v>
      </c>
      <c r="AF366" s="11">
        <f t="shared" si="46"/>
        <v>33.333333333333336</v>
      </c>
      <c r="AG366" s="11">
        <f t="shared" si="46"/>
        <v>33.333333333333336</v>
      </c>
      <c r="AH366" s="11">
        <f t="shared" si="46"/>
        <v>33.333333333333336</v>
      </c>
      <c r="AI366" s="11">
        <f t="shared" si="46"/>
        <v>33.333333333333336</v>
      </c>
      <c r="AJ366" s="11">
        <f t="shared" si="46"/>
        <v>33.333333333333336</v>
      </c>
      <c r="AK366" s="11">
        <f t="shared" si="46"/>
        <v>33.333333333333336</v>
      </c>
      <c r="AL366" s="11">
        <f t="shared" si="46"/>
        <v>33.333333333333336</v>
      </c>
      <c r="AM366" s="11">
        <f t="shared" si="46"/>
        <v>33.333333333333336</v>
      </c>
      <c r="AN366" s="11">
        <f t="shared" si="46"/>
        <v>33.333333333333336</v>
      </c>
      <c r="AO366" s="11">
        <f t="shared" si="46"/>
        <v>33.333333333333336</v>
      </c>
      <c r="AP366" s="11">
        <f t="shared" si="46"/>
        <v>33.333333333333336</v>
      </c>
      <c r="AQ366" s="11">
        <f t="shared" si="46"/>
        <v>33.333333333333336</v>
      </c>
      <c r="AR366" s="11">
        <f t="shared" si="46"/>
        <v>33.333333333333336</v>
      </c>
      <c r="AS366" s="11"/>
      <c r="AT366" s="11">
        <f t="shared" si="36"/>
        <v>1000.0000000000005</v>
      </c>
      <c r="AU366" s="2">
        <f t="shared" si="38"/>
        <v>0</v>
      </c>
      <c r="IS366" s="3"/>
    </row>
    <row r="367" spans="1:253">
      <c r="B367" s="2" t="s">
        <v>223</v>
      </c>
      <c r="C367" s="11">
        <f t="shared" si="37"/>
        <v>500</v>
      </c>
      <c r="D367" s="11" t="s">
        <v>379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>
        <v>500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>
        <f t="shared" si="36"/>
        <v>500</v>
      </c>
      <c r="AU367" s="2">
        <f t="shared" si="38"/>
        <v>0</v>
      </c>
      <c r="IS367" s="3"/>
    </row>
    <row r="368" spans="1:253">
      <c r="B368" s="2" t="s">
        <v>224</v>
      </c>
      <c r="C368" s="11">
        <f t="shared" si="37"/>
        <v>2100</v>
      </c>
      <c r="D368" s="11" t="s">
        <v>379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>
        <v>150</v>
      </c>
      <c r="R368" s="11">
        <v>150</v>
      </c>
      <c r="S368" s="11">
        <v>150</v>
      </c>
      <c r="T368" s="11">
        <v>150</v>
      </c>
      <c r="U368" s="11">
        <v>150</v>
      </c>
      <c r="V368" s="11">
        <v>150</v>
      </c>
      <c r="W368" s="11">
        <v>150</v>
      </c>
      <c r="X368" s="11">
        <v>150</v>
      </c>
      <c r="Y368" s="11">
        <v>150</v>
      </c>
      <c r="Z368" s="11">
        <v>150</v>
      </c>
      <c r="AA368" s="11">
        <v>150</v>
      </c>
      <c r="AB368" s="11">
        <v>150</v>
      </c>
      <c r="AC368" s="11">
        <v>150</v>
      </c>
      <c r="AD368" s="11">
        <v>150</v>
      </c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>
        <f t="shared" si="36"/>
        <v>2100</v>
      </c>
      <c r="AU368" s="2">
        <f t="shared" si="38"/>
        <v>0</v>
      </c>
      <c r="IS368" s="3"/>
    </row>
    <row r="369" spans="1:253">
      <c r="B369" s="2" t="s">
        <v>225</v>
      </c>
      <c r="C369" s="11">
        <f t="shared" si="37"/>
        <v>1650</v>
      </c>
      <c r="D369" s="11" t="s">
        <v>379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>
        <v>150</v>
      </c>
      <c r="S369" s="11">
        <v>150</v>
      </c>
      <c r="T369" s="11">
        <v>150</v>
      </c>
      <c r="U369" s="11">
        <v>150</v>
      </c>
      <c r="V369" s="11">
        <v>150</v>
      </c>
      <c r="W369" s="11">
        <v>150</v>
      </c>
      <c r="X369" s="11">
        <v>150</v>
      </c>
      <c r="Y369" s="11">
        <v>150</v>
      </c>
      <c r="Z369" s="11">
        <v>150</v>
      </c>
      <c r="AA369" s="11">
        <v>150</v>
      </c>
      <c r="AB369" s="11">
        <v>150</v>
      </c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>
        <f t="shared" si="36"/>
        <v>1650</v>
      </c>
      <c r="AU369" s="2">
        <f t="shared" si="38"/>
        <v>0</v>
      </c>
      <c r="IS369" s="3"/>
    </row>
    <row r="370" spans="1:253">
      <c r="B370" s="2" t="s">
        <v>226</v>
      </c>
      <c r="C370" s="11">
        <f t="shared" si="37"/>
        <v>1000.0000000000005</v>
      </c>
      <c r="D370" s="11" t="s">
        <v>379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>
        <f t="shared" ref="O370:AR370" si="47">1000/30</f>
        <v>33.333333333333336</v>
      </c>
      <c r="P370" s="11">
        <f t="shared" si="47"/>
        <v>33.333333333333336</v>
      </c>
      <c r="Q370" s="11">
        <f t="shared" si="47"/>
        <v>33.333333333333336</v>
      </c>
      <c r="R370" s="11">
        <f t="shared" si="47"/>
        <v>33.333333333333336</v>
      </c>
      <c r="S370" s="11">
        <f t="shared" si="47"/>
        <v>33.333333333333336</v>
      </c>
      <c r="T370" s="11">
        <f t="shared" si="47"/>
        <v>33.333333333333336</v>
      </c>
      <c r="U370" s="11">
        <f t="shared" si="47"/>
        <v>33.333333333333336</v>
      </c>
      <c r="V370" s="11">
        <f t="shared" si="47"/>
        <v>33.333333333333336</v>
      </c>
      <c r="W370" s="11">
        <f t="shared" si="47"/>
        <v>33.333333333333336</v>
      </c>
      <c r="X370" s="11">
        <f t="shared" si="47"/>
        <v>33.333333333333336</v>
      </c>
      <c r="Y370" s="11">
        <f t="shared" si="47"/>
        <v>33.333333333333336</v>
      </c>
      <c r="Z370" s="11">
        <f t="shared" si="47"/>
        <v>33.333333333333336</v>
      </c>
      <c r="AA370" s="11">
        <f t="shared" si="47"/>
        <v>33.333333333333336</v>
      </c>
      <c r="AB370" s="11">
        <f t="shared" si="47"/>
        <v>33.333333333333336</v>
      </c>
      <c r="AC370" s="11">
        <f t="shared" si="47"/>
        <v>33.333333333333336</v>
      </c>
      <c r="AD370" s="11">
        <f t="shared" si="47"/>
        <v>33.333333333333336</v>
      </c>
      <c r="AE370" s="11">
        <f t="shared" si="47"/>
        <v>33.333333333333336</v>
      </c>
      <c r="AF370" s="11">
        <f t="shared" si="47"/>
        <v>33.333333333333336</v>
      </c>
      <c r="AG370" s="11">
        <f t="shared" si="47"/>
        <v>33.333333333333336</v>
      </c>
      <c r="AH370" s="11">
        <f t="shared" si="47"/>
        <v>33.333333333333336</v>
      </c>
      <c r="AI370" s="11">
        <f t="shared" si="47"/>
        <v>33.333333333333336</v>
      </c>
      <c r="AJ370" s="11">
        <f t="shared" si="47"/>
        <v>33.333333333333336</v>
      </c>
      <c r="AK370" s="11">
        <f t="shared" si="47"/>
        <v>33.333333333333336</v>
      </c>
      <c r="AL370" s="11">
        <f t="shared" si="47"/>
        <v>33.333333333333336</v>
      </c>
      <c r="AM370" s="11">
        <f t="shared" si="47"/>
        <v>33.333333333333336</v>
      </c>
      <c r="AN370" s="11">
        <f t="shared" si="47"/>
        <v>33.333333333333336</v>
      </c>
      <c r="AO370" s="11">
        <f t="shared" si="47"/>
        <v>33.333333333333336</v>
      </c>
      <c r="AP370" s="11">
        <f t="shared" si="47"/>
        <v>33.333333333333336</v>
      </c>
      <c r="AQ370" s="11">
        <f t="shared" si="47"/>
        <v>33.333333333333336</v>
      </c>
      <c r="AR370" s="11">
        <f t="shared" si="47"/>
        <v>33.333333333333336</v>
      </c>
      <c r="AS370" s="11"/>
      <c r="AT370" s="11">
        <f t="shared" si="36"/>
        <v>1000.0000000000005</v>
      </c>
      <c r="AU370" s="2">
        <f t="shared" si="38"/>
        <v>0</v>
      </c>
      <c r="IS370" s="3"/>
    </row>
    <row r="371" spans="1:253">
      <c r="B371" s="2" t="s">
        <v>227</v>
      </c>
      <c r="C371" s="11">
        <f t="shared" si="37"/>
        <v>2850</v>
      </c>
      <c r="D371" s="11"/>
      <c r="E371" s="11"/>
      <c r="F371" s="11"/>
      <c r="G371" s="11"/>
      <c r="H371" s="11"/>
      <c r="I371" s="11"/>
      <c r="J371" s="11"/>
      <c r="K371" s="11"/>
      <c r="L371" s="11">
        <f t="shared" ref="L371:AD371" si="48">25*6</f>
        <v>150</v>
      </c>
      <c r="M371" s="11">
        <f t="shared" si="48"/>
        <v>150</v>
      </c>
      <c r="N371" s="11">
        <f t="shared" si="48"/>
        <v>150</v>
      </c>
      <c r="O371" s="11">
        <f t="shared" si="48"/>
        <v>150</v>
      </c>
      <c r="P371" s="11">
        <f t="shared" si="48"/>
        <v>150</v>
      </c>
      <c r="Q371" s="11">
        <f t="shared" si="48"/>
        <v>150</v>
      </c>
      <c r="R371" s="11">
        <f t="shared" si="48"/>
        <v>150</v>
      </c>
      <c r="S371" s="11">
        <f t="shared" si="48"/>
        <v>150</v>
      </c>
      <c r="T371" s="11">
        <f t="shared" si="48"/>
        <v>150</v>
      </c>
      <c r="U371" s="11">
        <f t="shared" si="48"/>
        <v>150</v>
      </c>
      <c r="V371" s="11">
        <f t="shared" si="48"/>
        <v>150</v>
      </c>
      <c r="W371" s="11">
        <f t="shared" si="48"/>
        <v>150</v>
      </c>
      <c r="X371" s="11">
        <f t="shared" si="48"/>
        <v>150</v>
      </c>
      <c r="Y371" s="11">
        <f t="shared" si="48"/>
        <v>150</v>
      </c>
      <c r="Z371" s="11">
        <f t="shared" si="48"/>
        <v>150</v>
      </c>
      <c r="AA371" s="11">
        <f t="shared" si="48"/>
        <v>150</v>
      </c>
      <c r="AB371" s="11">
        <f t="shared" si="48"/>
        <v>150</v>
      </c>
      <c r="AC371" s="11">
        <f t="shared" si="48"/>
        <v>150</v>
      </c>
      <c r="AD371" s="11">
        <f t="shared" si="48"/>
        <v>150</v>
      </c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>
        <f t="shared" si="36"/>
        <v>2850</v>
      </c>
      <c r="AU371" s="2">
        <f t="shared" si="38"/>
        <v>0</v>
      </c>
      <c r="IS371" s="3"/>
    </row>
    <row r="372" spans="1:253">
      <c r="B372" s="2" t="s">
        <v>228</v>
      </c>
      <c r="C372" s="11">
        <f t="shared" si="37"/>
        <v>600</v>
      </c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>
        <v>50</v>
      </c>
      <c r="R372" s="11">
        <v>50</v>
      </c>
      <c r="S372" s="11">
        <v>50</v>
      </c>
      <c r="T372" s="11">
        <v>50</v>
      </c>
      <c r="U372" s="11">
        <v>50</v>
      </c>
      <c r="V372" s="11">
        <v>50</v>
      </c>
      <c r="W372" s="11">
        <v>50</v>
      </c>
      <c r="X372" s="11">
        <v>50</v>
      </c>
      <c r="Y372" s="11">
        <v>50</v>
      </c>
      <c r="Z372" s="11">
        <v>50</v>
      </c>
      <c r="AA372" s="11">
        <v>50</v>
      </c>
      <c r="AB372" s="11">
        <v>50</v>
      </c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>
        <f t="shared" si="36"/>
        <v>600</v>
      </c>
      <c r="AU372" s="2">
        <f t="shared" si="38"/>
        <v>0</v>
      </c>
      <c r="IS372" s="3"/>
    </row>
    <row r="373" spans="1:253">
      <c r="B373" s="2" t="s">
        <v>229</v>
      </c>
      <c r="C373" s="11">
        <f t="shared" si="37"/>
        <v>750</v>
      </c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>
        <v>75</v>
      </c>
      <c r="T373" s="11">
        <v>75</v>
      </c>
      <c r="U373" s="11">
        <v>75</v>
      </c>
      <c r="V373" s="11">
        <v>75</v>
      </c>
      <c r="W373" s="11">
        <v>75</v>
      </c>
      <c r="X373" s="11">
        <v>75</v>
      </c>
      <c r="Y373" s="11">
        <v>75</v>
      </c>
      <c r="Z373" s="11">
        <v>75</v>
      </c>
      <c r="AA373" s="11">
        <v>75</v>
      </c>
      <c r="AB373" s="11">
        <v>75</v>
      </c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>
        <f t="shared" si="36"/>
        <v>750</v>
      </c>
      <c r="AU373" s="2">
        <f t="shared" si="38"/>
        <v>0</v>
      </c>
      <c r="IS373" s="3"/>
    </row>
    <row r="374" spans="1:253">
      <c r="B374" s="2" t="s">
        <v>230</v>
      </c>
      <c r="C374" s="11">
        <f t="shared" si="37"/>
        <v>750</v>
      </c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>
        <v>50</v>
      </c>
      <c r="O374" s="11">
        <v>50</v>
      </c>
      <c r="P374" s="11">
        <v>50</v>
      </c>
      <c r="Q374" s="11">
        <v>50</v>
      </c>
      <c r="R374" s="11">
        <v>50</v>
      </c>
      <c r="S374" s="11">
        <v>50</v>
      </c>
      <c r="T374" s="11">
        <v>50</v>
      </c>
      <c r="U374" s="11">
        <v>50</v>
      </c>
      <c r="V374" s="11">
        <v>50</v>
      </c>
      <c r="W374" s="11">
        <v>50</v>
      </c>
      <c r="X374" s="11">
        <v>50</v>
      </c>
      <c r="Y374" s="11">
        <v>50</v>
      </c>
      <c r="Z374" s="11">
        <v>50</v>
      </c>
      <c r="AA374" s="11">
        <v>50</v>
      </c>
      <c r="AB374" s="11">
        <v>50</v>
      </c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>
        <f t="shared" si="36"/>
        <v>750</v>
      </c>
      <c r="AU374" s="2">
        <f t="shared" si="38"/>
        <v>0</v>
      </c>
      <c r="IS374" s="3"/>
    </row>
    <row r="375" spans="1:253">
      <c r="B375" s="2" t="s">
        <v>231</v>
      </c>
      <c r="C375" s="11">
        <f t="shared" si="37"/>
        <v>1000</v>
      </c>
      <c r="D375" s="11"/>
      <c r="E375" s="11"/>
      <c r="F375" s="11"/>
      <c r="G375" s="11"/>
      <c r="H375" s="11"/>
      <c r="I375" s="11"/>
      <c r="J375" s="11"/>
      <c r="K375" s="11"/>
      <c r="L375" s="11"/>
      <c r="M375" s="11">
        <v>50</v>
      </c>
      <c r="N375" s="11">
        <v>50</v>
      </c>
      <c r="O375" s="11">
        <v>50</v>
      </c>
      <c r="P375" s="11">
        <v>50</v>
      </c>
      <c r="Q375" s="11">
        <v>50</v>
      </c>
      <c r="R375" s="11">
        <v>50</v>
      </c>
      <c r="S375" s="11">
        <v>50</v>
      </c>
      <c r="T375" s="11">
        <v>50</v>
      </c>
      <c r="U375" s="11">
        <v>50</v>
      </c>
      <c r="V375" s="11">
        <v>50</v>
      </c>
      <c r="W375" s="11">
        <v>50</v>
      </c>
      <c r="X375" s="11">
        <v>50</v>
      </c>
      <c r="Y375" s="11">
        <v>50</v>
      </c>
      <c r="Z375" s="11">
        <v>50</v>
      </c>
      <c r="AA375" s="11">
        <v>50</v>
      </c>
      <c r="AB375" s="11">
        <v>50</v>
      </c>
      <c r="AC375" s="11">
        <v>50</v>
      </c>
      <c r="AD375" s="11">
        <v>50</v>
      </c>
      <c r="AE375" s="11">
        <v>50</v>
      </c>
      <c r="AF375" s="11">
        <v>50</v>
      </c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>
        <f t="shared" si="36"/>
        <v>1000</v>
      </c>
      <c r="AU375" s="2">
        <f t="shared" si="38"/>
        <v>0</v>
      </c>
      <c r="IS375" s="3"/>
    </row>
    <row r="376" spans="1:253">
      <c r="B376" s="2" t="s">
        <v>361</v>
      </c>
      <c r="C376" s="11">
        <f t="shared" si="37"/>
        <v>12296</v>
      </c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>
        <f>12296/2</f>
        <v>6148</v>
      </c>
      <c r="X376" s="11"/>
      <c r="Y376" s="11"/>
      <c r="Z376" s="11"/>
      <c r="AA376" s="11"/>
      <c r="AB376" s="11">
        <f>12296/2</f>
        <v>6148</v>
      </c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>
        <f t="shared" si="36"/>
        <v>12296</v>
      </c>
      <c r="AU376" s="2">
        <f t="shared" si="38"/>
        <v>0</v>
      </c>
      <c r="IS376" s="3"/>
    </row>
    <row r="377" spans="1:253">
      <c r="B377" s="2" t="s">
        <v>232</v>
      </c>
      <c r="C377" s="11">
        <f t="shared" si="37"/>
        <v>1100</v>
      </c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>
        <v>1100</v>
      </c>
      <c r="AS377" s="11"/>
      <c r="AT377" s="11">
        <f t="shared" si="36"/>
        <v>1100</v>
      </c>
      <c r="AU377" s="2">
        <f t="shared" si="38"/>
        <v>0</v>
      </c>
      <c r="IS377" s="3"/>
    </row>
    <row r="378" spans="1:253" ht="15.75">
      <c r="A378" s="7">
        <v>35</v>
      </c>
      <c r="B378" s="7" t="s">
        <v>233</v>
      </c>
      <c r="C378" s="11">
        <f t="shared" si="37"/>
        <v>151126</v>
      </c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>
        <f>1126+50000/20</f>
        <v>3626</v>
      </c>
      <c r="Z378" s="11">
        <f t="shared" ref="Z378:AM378" si="49">50000/20</f>
        <v>2500</v>
      </c>
      <c r="AA378" s="11">
        <f t="shared" si="49"/>
        <v>2500</v>
      </c>
      <c r="AB378" s="11">
        <f t="shared" si="49"/>
        <v>2500</v>
      </c>
      <c r="AC378" s="11">
        <f t="shared" si="49"/>
        <v>2500</v>
      </c>
      <c r="AD378" s="11">
        <f t="shared" si="49"/>
        <v>2500</v>
      </c>
      <c r="AE378" s="11">
        <f t="shared" si="49"/>
        <v>2500</v>
      </c>
      <c r="AF378" s="11">
        <f t="shared" si="49"/>
        <v>2500</v>
      </c>
      <c r="AG378" s="11">
        <f t="shared" si="49"/>
        <v>2500</v>
      </c>
      <c r="AH378" s="11">
        <f t="shared" si="49"/>
        <v>2500</v>
      </c>
      <c r="AI378" s="11">
        <f t="shared" si="49"/>
        <v>2500</v>
      </c>
      <c r="AJ378" s="11">
        <f t="shared" si="49"/>
        <v>2500</v>
      </c>
      <c r="AK378" s="11">
        <f t="shared" si="49"/>
        <v>2500</v>
      </c>
      <c r="AL378" s="11">
        <f t="shared" si="49"/>
        <v>2500</v>
      </c>
      <c r="AM378" s="11">
        <f t="shared" si="49"/>
        <v>2500</v>
      </c>
      <c r="AN378" s="11">
        <f>50000/20-825</f>
        <v>1675</v>
      </c>
      <c r="AO378" s="11"/>
      <c r="AP378" s="11"/>
      <c r="AQ378" s="11"/>
      <c r="AR378" s="11"/>
      <c r="AS378" s="11">
        <f>100000+10825</f>
        <v>110825</v>
      </c>
      <c r="AT378" s="11">
        <f t="shared" si="36"/>
        <v>151126</v>
      </c>
      <c r="AU378" s="2">
        <f t="shared" si="38"/>
        <v>0</v>
      </c>
      <c r="IS378" s="3"/>
    </row>
    <row r="379" spans="1:253" ht="15.75">
      <c r="A379" s="7"/>
      <c r="B379" s="7" t="s">
        <v>234</v>
      </c>
      <c r="C379" s="11">
        <f t="shared" si="37"/>
        <v>20000</v>
      </c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>
        <v>20000</v>
      </c>
      <c r="AT379" s="11">
        <f t="shared" si="36"/>
        <v>20000</v>
      </c>
      <c r="AU379" s="2">
        <f t="shared" si="38"/>
        <v>0</v>
      </c>
      <c r="IS379" s="3"/>
    </row>
    <row r="380" spans="1:253">
      <c r="C380" s="14" t="s">
        <v>271</v>
      </c>
      <c r="D380" s="14"/>
      <c r="E380" s="14" t="s">
        <v>271</v>
      </c>
      <c r="F380" s="14" t="s">
        <v>271</v>
      </c>
      <c r="G380" s="14" t="s">
        <v>271</v>
      </c>
      <c r="H380" s="14" t="s">
        <v>271</v>
      </c>
      <c r="I380" s="14" t="s">
        <v>271</v>
      </c>
      <c r="J380" s="14" t="s">
        <v>271</v>
      </c>
      <c r="K380" s="14" t="s">
        <v>271</v>
      </c>
      <c r="L380" s="14" t="s">
        <v>271</v>
      </c>
      <c r="M380" s="14" t="s">
        <v>271</v>
      </c>
      <c r="N380" s="14" t="s">
        <v>271</v>
      </c>
      <c r="O380" s="14" t="s">
        <v>271</v>
      </c>
      <c r="P380" s="14" t="s">
        <v>271</v>
      </c>
      <c r="Q380" s="14" t="s">
        <v>271</v>
      </c>
      <c r="R380" s="14" t="s">
        <v>271</v>
      </c>
      <c r="S380" s="14" t="s">
        <v>271</v>
      </c>
      <c r="T380" s="14" t="s">
        <v>271</v>
      </c>
      <c r="U380" s="14" t="s">
        <v>271</v>
      </c>
      <c r="V380" s="14" t="s">
        <v>271</v>
      </c>
      <c r="W380" s="14" t="s">
        <v>271</v>
      </c>
      <c r="X380" s="14" t="s">
        <v>271</v>
      </c>
      <c r="Y380" s="14" t="s">
        <v>271</v>
      </c>
      <c r="Z380" s="14" t="s">
        <v>271</v>
      </c>
      <c r="AA380" s="14" t="s">
        <v>271</v>
      </c>
      <c r="AB380" s="14" t="s">
        <v>271</v>
      </c>
      <c r="AC380" s="14" t="s">
        <v>271</v>
      </c>
      <c r="AD380" s="14" t="s">
        <v>271</v>
      </c>
      <c r="AE380" s="14" t="s">
        <v>271</v>
      </c>
      <c r="AF380" s="14" t="s">
        <v>271</v>
      </c>
      <c r="AG380" s="14" t="s">
        <v>271</v>
      </c>
      <c r="AH380" s="14" t="s">
        <v>271</v>
      </c>
      <c r="AI380" s="14" t="s">
        <v>271</v>
      </c>
      <c r="AJ380" s="14" t="s">
        <v>271</v>
      </c>
      <c r="AK380" s="14" t="s">
        <v>271</v>
      </c>
      <c r="AL380" s="14" t="s">
        <v>271</v>
      </c>
      <c r="AM380" s="14" t="s">
        <v>271</v>
      </c>
      <c r="AN380" s="14" t="s">
        <v>271</v>
      </c>
      <c r="AO380" s="14" t="s">
        <v>271</v>
      </c>
      <c r="AP380" s="14" t="s">
        <v>271</v>
      </c>
      <c r="AQ380" s="14" t="s">
        <v>271</v>
      </c>
      <c r="AR380" s="14" t="s">
        <v>271</v>
      </c>
      <c r="AS380" s="14" t="s">
        <v>271</v>
      </c>
      <c r="AT380" s="14" t="s">
        <v>271</v>
      </c>
      <c r="AU380" s="9" t="s">
        <v>271</v>
      </c>
      <c r="IS380" s="3"/>
    </row>
    <row r="381" spans="1:253">
      <c r="C381" s="11">
        <f>SUM(C12:C380)</f>
        <v>2301304.1919999998</v>
      </c>
      <c r="D381" s="11"/>
      <c r="E381" s="11">
        <f>SUM(E12:E380)</f>
        <v>115020</v>
      </c>
      <c r="F381" s="11">
        <f>SUM(F12:F380)</f>
        <v>5590</v>
      </c>
      <c r="G381" s="11">
        <f>SUM(G12:G380)</f>
        <v>5590</v>
      </c>
      <c r="H381" s="11">
        <f>SUM(H12:H380)</f>
        <v>12078</v>
      </c>
      <c r="I381" s="11">
        <f>SUM(I12:I380)</f>
        <v>6090</v>
      </c>
      <c r="J381" s="11">
        <f>SUM(J12:J380)</f>
        <v>5868.5714285714284</v>
      </c>
      <c r="K381" s="11">
        <f>SUM(K12:K380)</f>
        <v>54744.571428571428</v>
      </c>
      <c r="L381" s="11">
        <f>SUM(L12:L380)</f>
        <v>16858.571428571428</v>
      </c>
      <c r="M381" s="11">
        <f>SUM(M12:M380)</f>
        <v>14098.349206349207</v>
      </c>
      <c r="N381" s="11">
        <f>SUM(N12:N380)</f>
        <v>8888.3492063492049</v>
      </c>
      <c r="O381" s="11">
        <f>SUM(O12:O380)</f>
        <v>13363.015873015875</v>
      </c>
      <c r="P381" s="11">
        <f>SUM(P12:P380)</f>
        <v>7203.0158730158719</v>
      </c>
      <c r="Q381" s="11">
        <f>SUM(Q12:Q380)</f>
        <v>26217.658730158724</v>
      </c>
      <c r="R381" s="11">
        <f>SUM(R12:R380)</f>
        <v>14924.492063492065</v>
      </c>
      <c r="S381" s="11">
        <f>SUM(S12:S380)</f>
        <v>32801.425396825391</v>
      </c>
      <c r="T381" s="11">
        <f>SUM(T12:T380)</f>
        <v>30403.125396825391</v>
      </c>
      <c r="U381" s="11">
        <f>SUM(U12:U380)</f>
        <v>75736.458730158731</v>
      </c>
      <c r="V381" s="11">
        <f>SUM(V12:V380)</f>
        <v>108126.75873015876</v>
      </c>
      <c r="W381" s="11">
        <f>SUM(W12:W380)</f>
        <v>97782.752063492066</v>
      </c>
      <c r="X381" s="11">
        <f>SUM(X12:X380)</f>
        <v>296465.81904761895</v>
      </c>
      <c r="Y381" s="11">
        <f>SUM(Y12:Y380)</f>
        <v>199812.06904761906</v>
      </c>
      <c r="Z381" s="11">
        <f>SUM(Z12:Z380)</f>
        <v>197667.40238095241</v>
      </c>
      <c r="AA381" s="11">
        <f>SUM(AA12:AA380)</f>
        <v>221196.26904761908</v>
      </c>
      <c r="AB381" s="11">
        <f>SUM(AB12:AB380)</f>
        <v>247764.26771428576</v>
      </c>
      <c r="AC381" s="11">
        <f>SUM(AC12:AC380)</f>
        <v>42116.463492063507</v>
      </c>
      <c r="AD381" s="11">
        <f>SUM(AD12:AD380)</f>
        <v>41018.9634920635</v>
      </c>
      <c r="AE381" s="11">
        <f>SUM(AE12:AE380)</f>
        <v>14003.415873015874</v>
      </c>
      <c r="AF381" s="11">
        <f>SUM(AF12:AF380)</f>
        <v>13063.415873015874</v>
      </c>
      <c r="AG381" s="11">
        <f>SUM(AG12:AG380)</f>
        <v>33013.415873015867</v>
      </c>
      <c r="AH381" s="11">
        <f>SUM(AH12:AH380)</f>
        <v>12313.415873015874</v>
      </c>
      <c r="AI381" s="11">
        <f>SUM(AI12:AI380)</f>
        <v>12313.415873015874</v>
      </c>
      <c r="AJ381" s="11">
        <f>SUM(AJ12:AJ380)</f>
        <v>13135.638095238097</v>
      </c>
      <c r="AK381" s="11">
        <f>SUM(AK12:AK380)</f>
        <v>-17654.18690476194</v>
      </c>
      <c r="AL381" s="11">
        <f>SUM(AL12:AL380)</f>
        <v>17950.613095238099</v>
      </c>
      <c r="AM381" s="11">
        <f>SUM(AM12:AM380)</f>
        <v>17950.613095238099</v>
      </c>
      <c r="AN381" s="11">
        <f>SUM(AN12:AN380)</f>
        <v>17125.613095238099</v>
      </c>
      <c r="AO381" s="11">
        <f>SUM(AO12:AO380)</f>
        <v>15450.613095238097</v>
      </c>
      <c r="AP381" s="11">
        <f>SUM(AP12:AP380)</f>
        <v>15450.613095238097</v>
      </c>
      <c r="AQ381" s="11">
        <f>SUM(AQ12:AQ380)</f>
        <v>17726.613095238092</v>
      </c>
      <c r="AR381" s="11">
        <f>SUM(AR12:AR380)</f>
        <v>91209.613095238077</v>
      </c>
      <c r="AS381" s="11">
        <f>SUM(AS12:AS380)</f>
        <v>130825</v>
      </c>
      <c r="AT381" s="11">
        <f>SUM(AT12:AT380)</f>
        <v>2301304.1919999998</v>
      </c>
      <c r="AU381" s="2">
        <f>SUM(AU12:AU380)</f>
        <v>0</v>
      </c>
      <c r="IS381" s="3"/>
    </row>
    <row r="382" spans="1:253">
      <c r="C382" s="14" t="s">
        <v>272</v>
      </c>
      <c r="D382" s="14"/>
      <c r="E382" s="14" t="s">
        <v>272</v>
      </c>
      <c r="F382" s="14" t="s">
        <v>272</v>
      </c>
      <c r="G382" s="14" t="s">
        <v>272</v>
      </c>
      <c r="H382" s="14" t="s">
        <v>272</v>
      </c>
      <c r="I382" s="14" t="s">
        <v>272</v>
      </c>
      <c r="J382" s="14" t="s">
        <v>272</v>
      </c>
      <c r="K382" s="14" t="s">
        <v>272</v>
      </c>
      <c r="L382" s="14" t="s">
        <v>272</v>
      </c>
      <c r="M382" s="14" t="s">
        <v>272</v>
      </c>
      <c r="N382" s="14" t="s">
        <v>272</v>
      </c>
      <c r="O382" s="14" t="s">
        <v>272</v>
      </c>
      <c r="P382" s="14" t="s">
        <v>272</v>
      </c>
      <c r="Q382" s="14" t="s">
        <v>272</v>
      </c>
      <c r="R382" s="14" t="s">
        <v>272</v>
      </c>
      <c r="S382" s="14" t="s">
        <v>272</v>
      </c>
      <c r="T382" s="14" t="s">
        <v>272</v>
      </c>
      <c r="U382" s="14" t="s">
        <v>272</v>
      </c>
      <c r="V382" s="14" t="s">
        <v>272</v>
      </c>
      <c r="W382" s="14" t="s">
        <v>272</v>
      </c>
      <c r="X382" s="14" t="s">
        <v>272</v>
      </c>
      <c r="Y382" s="14" t="s">
        <v>272</v>
      </c>
      <c r="Z382" s="14" t="s">
        <v>272</v>
      </c>
      <c r="AA382" s="14" t="s">
        <v>272</v>
      </c>
      <c r="AB382" s="14" t="s">
        <v>272</v>
      </c>
      <c r="AC382" s="14" t="s">
        <v>272</v>
      </c>
      <c r="AD382" s="14" t="s">
        <v>272</v>
      </c>
      <c r="AE382" s="14" t="s">
        <v>272</v>
      </c>
      <c r="AF382" s="14" t="s">
        <v>272</v>
      </c>
      <c r="AG382" s="14" t="s">
        <v>272</v>
      </c>
      <c r="AH382" s="14" t="s">
        <v>272</v>
      </c>
      <c r="AI382" s="14" t="s">
        <v>272</v>
      </c>
      <c r="AJ382" s="14" t="s">
        <v>272</v>
      </c>
      <c r="AK382" s="14" t="s">
        <v>272</v>
      </c>
      <c r="AL382" s="14" t="s">
        <v>272</v>
      </c>
      <c r="AM382" s="14" t="s">
        <v>272</v>
      </c>
      <c r="AN382" s="14" t="s">
        <v>272</v>
      </c>
      <c r="AO382" s="14" t="s">
        <v>272</v>
      </c>
      <c r="AP382" s="14" t="s">
        <v>272</v>
      </c>
      <c r="AQ382" s="14" t="s">
        <v>272</v>
      </c>
      <c r="AR382" s="14" t="s">
        <v>272</v>
      </c>
      <c r="AS382" s="14" t="s">
        <v>272</v>
      </c>
      <c r="AT382" s="14" t="s">
        <v>272</v>
      </c>
      <c r="AU382" s="9" t="s">
        <v>272</v>
      </c>
      <c r="IS382" s="3"/>
    </row>
    <row r="383" spans="1:253">
      <c r="C383" s="11">
        <f>$C$381-$C$425</f>
        <v>0</v>
      </c>
      <c r="D383" s="11"/>
      <c r="E383" s="11">
        <f>$E$381-$E$425</f>
        <v>0</v>
      </c>
      <c r="F383" s="11">
        <f>$F$381-$F$425</f>
        <v>0</v>
      </c>
      <c r="G383" s="11">
        <f>$G$381-$G$425</f>
        <v>0</v>
      </c>
      <c r="H383" s="11">
        <f>$H$381-$H$425</f>
        <v>0</v>
      </c>
      <c r="I383" s="11">
        <f>$I$381-$I$425</f>
        <v>0</v>
      </c>
      <c r="J383" s="11">
        <f>$J$381-$J$425</f>
        <v>0</v>
      </c>
      <c r="K383" s="11">
        <f>$K$381-$K$425</f>
        <v>0</v>
      </c>
      <c r="L383" s="11">
        <f>$L$381-$L$425</f>
        <v>0</v>
      </c>
      <c r="M383" s="11">
        <f>$M$381-$M$425</f>
        <v>0</v>
      </c>
      <c r="N383" s="11">
        <f>$N$381-$N$425</f>
        <v>0</v>
      </c>
      <c r="O383" s="11">
        <f>$O$381-$O$425</f>
        <v>0</v>
      </c>
      <c r="P383" s="11">
        <f>$P$381-$P$425</f>
        <v>0</v>
      </c>
      <c r="Q383" s="11">
        <f>$Q$381-$Q$425</f>
        <v>0</v>
      </c>
      <c r="R383" s="11">
        <f>$R$381-$R$425</f>
        <v>0</v>
      </c>
      <c r="S383" s="11">
        <f>$S$381-$S$425</f>
        <v>0</v>
      </c>
      <c r="T383" s="11">
        <f>$T$381-$T$425</f>
        <v>0</v>
      </c>
      <c r="U383" s="11">
        <f>$U$381-$U$425</f>
        <v>0</v>
      </c>
      <c r="V383" s="11">
        <f>$V$381-$V$425</f>
        <v>0</v>
      </c>
      <c r="W383" s="11">
        <f>$W$381-$W$425</f>
        <v>0</v>
      </c>
      <c r="X383" s="11">
        <f>$X$381-$X$425</f>
        <v>0</v>
      </c>
      <c r="Y383" s="11">
        <f>$Y$381-$Y$425</f>
        <v>0</v>
      </c>
      <c r="Z383" s="11">
        <f>$Z$381-$Z$425</f>
        <v>0</v>
      </c>
      <c r="AA383" s="11">
        <f>$AA$381-$AA$425</f>
        <v>0</v>
      </c>
      <c r="AB383" s="11">
        <f>$AB$381-$AB$425</f>
        <v>0</v>
      </c>
      <c r="AC383" s="11">
        <f>$AC$381-$AC$425</f>
        <v>0</v>
      </c>
      <c r="AD383" s="11">
        <f>$AD$381-$AD$425</f>
        <v>0</v>
      </c>
      <c r="AE383" s="11">
        <f>$AE$381-$AE$425</f>
        <v>0</v>
      </c>
      <c r="AF383" s="11">
        <f>$AF$381-$AF$425</f>
        <v>0</v>
      </c>
      <c r="AG383" s="11">
        <f>$AG$381-$AG$425</f>
        <v>0</v>
      </c>
      <c r="AH383" s="11">
        <f>$AH$381-$AH$425</f>
        <v>0</v>
      </c>
      <c r="AI383" s="11">
        <f>$AI$381-$AI$425</f>
        <v>0</v>
      </c>
      <c r="AJ383" s="11">
        <f>$AJ$381-$AJ$425</f>
        <v>0</v>
      </c>
      <c r="AK383" s="11">
        <f>$AK$381-$AK$425</f>
        <v>0</v>
      </c>
      <c r="AL383" s="11">
        <f>$AL$381-$AL$425</f>
        <v>0</v>
      </c>
      <c r="AM383" s="11">
        <f>$AM$381-$AM$425</f>
        <v>0</v>
      </c>
      <c r="AN383" s="11">
        <f>$AN$381-$AN$425</f>
        <v>0</v>
      </c>
      <c r="AO383" s="11">
        <f>$AO$381-$AO$425</f>
        <v>0</v>
      </c>
      <c r="AP383" s="11">
        <f>$AP$381-$AP$425</f>
        <v>0</v>
      </c>
      <c r="AQ383" s="11">
        <f>$AQ$381-$AQ$425</f>
        <v>0</v>
      </c>
      <c r="AR383" s="11">
        <f>$AR$381-$AR$425</f>
        <v>0</v>
      </c>
      <c r="AS383" s="11">
        <f>$AS$381-$AS$425</f>
        <v>0</v>
      </c>
      <c r="AT383" s="11">
        <f>$AT$381-$AT$425</f>
        <v>0</v>
      </c>
      <c r="AU383" s="2">
        <f>$AT$381-$AT$425</f>
        <v>0</v>
      </c>
      <c r="IS383" s="3"/>
    </row>
    <row r="384" spans="1:253"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IS384" s="3"/>
    </row>
    <row r="385" spans="1:253">
      <c r="A385" s="2" t="s">
        <v>0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IS385" s="3"/>
    </row>
    <row r="386" spans="1:253"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IS386" s="3"/>
    </row>
    <row r="387" spans="1:253"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</row>
    <row r="388" spans="1:253" ht="23.25">
      <c r="B388" s="4" t="s">
        <v>376</v>
      </c>
      <c r="C388" s="15"/>
      <c r="D388" s="15"/>
      <c r="E388" s="1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IS388" s="3"/>
    </row>
    <row r="389" spans="1:253"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IS389" s="3"/>
    </row>
    <row r="390" spans="1:253" ht="23.25">
      <c r="B390" s="4" t="s">
        <v>279</v>
      </c>
      <c r="C390" s="15"/>
      <c r="D390" s="15"/>
      <c r="E390" s="15"/>
      <c r="F390" s="15"/>
      <c r="G390" s="15"/>
      <c r="H390" s="15" t="s">
        <v>274</v>
      </c>
      <c r="I390" s="15"/>
      <c r="J390" s="15"/>
      <c r="K390" s="15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1"/>
      <c r="AT390" s="11"/>
      <c r="IS390" s="3"/>
    </row>
    <row r="391" spans="1:253" ht="15.75">
      <c r="B391" s="5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1"/>
      <c r="AT391" s="11"/>
      <c r="IS391" s="3"/>
    </row>
    <row r="392" spans="1:253" ht="15.75">
      <c r="C392" s="11"/>
      <c r="D392" s="11"/>
      <c r="E392" s="11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1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2"/>
      <c r="AT392" s="11"/>
      <c r="IS392" s="3"/>
    </row>
    <row r="393" spans="1:253">
      <c r="B393" s="2" t="s">
        <v>1</v>
      </c>
      <c r="C393" s="6" t="s">
        <v>269</v>
      </c>
      <c r="D393" s="6" t="s">
        <v>379</v>
      </c>
      <c r="E393" s="17">
        <v>43832</v>
      </c>
      <c r="F393" s="17">
        <v>43839</v>
      </c>
      <c r="G393" s="17">
        <v>43846</v>
      </c>
      <c r="H393" s="17">
        <v>43853</v>
      </c>
      <c r="I393" s="17">
        <v>43860</v>
      </c>
      <c r="J393" s="17">
        <v>43867</v>
      </c>
      <c r="K393" s="17">
        <v>43874</v>
      </c>
      <c r="L393" s="17">
        <v>43881</v>
      </c>
      <c r="M393" s="17">
        <v>43888</v>
      </c>
      <c r="N393" s="17">
        <v>43895</v>
      </c>
      <c r="O393" s="17">
        <v>43902</v>
      </c>
      <c r="P393" s="17">
        <v>43909</v>
      </c>
      <c r="Q393" s="17">
        <v>43916</v>
      </c>
      <c r="R393" s="17">
        <v>43923</v>
      </c>
      <c r="S393" s="17">
        <v>43930</v>
      </c>
      <c r="T393" s="17">
        <v>43937</v>
      </c>
      <c r="U393" s="17">
        <v>43944</v>
      </c>
      <c r="V393" s="17">
        <v>43951</v>
      </c>
      <c r="W393" s="17">
        <v>43958</v>
      </c>
      <c r="X393" s="17">
        <v>43965</v>
      </c>
      <c r="Y393" s="17">
        <v>43972</v>
      </c>
      <c r="Z393" s="17">
        <v>43979</v>
      </c>
      <c r="AA393" s="17">
        <v>43986</v>
      </c>
      <c r="AB393" s="17">
        <v>43993</v>
      </c>
      <c r="AC393" s="17">
        <v>44000</v>
      </c>
      <c r="AD393" s="17">
        <v>44007</v>
      </c>
      <c r="AE393" s="17">
        <v>44014</v>
      </c>
      <c r="AF393" s="17">
        <v>44021</v>
      </c>
      <c r="AG393" s="17">
        <v>44028</v>
      </c>
      <c r="AH393" s="17">
        <v>44035</v>
      </c>
      <c r="AI393" s="17">
        <v>44042</v>
      </c>
      <c r="AJ393" s="17">
        <v>44049</v>
      </c>
      <c r="AK393" s="17">
        <v>44056</v>
      </c>
      <c r="AL393" s="17">
        <v>44063</v>
      </c>
      <c r="AM393" s="17">
        <v>44070</v>
      </c>
      <c r="AN393" s="17">
        <v>44077</v>
      </c>
      <c r="AO393" s="17">
        <v>44084</v>
      </c>
      <c r="AP393" s="17">
        <v>44091</v>
      </c>
      <c r="AQ393" s="17">
        <v>44098</v>
      </c>
      <c r="AR393" s="17">
        <v>44105</v>
      </c>
      <c r="AS393" s="6" t="s">
        <v>276</v>
      </c>
      <c r="AT393" s="6" t="s">
        <v>277</v>
      </c>
      <c r="AU393" s="2" t="s">
        <v>377</v>
      </c>
      <c r="IS393" s="3"/>
    </row>
    <row r="394" spans="1:253"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IS394" s="3"/>
    </row>
    <row r="395" spans="1:253">
      <c r="C395" s="12" t="s">
        <v>270</v>
      </c>
      <c r="D395" s="12"/>
      <c r="E395" s="12" t="s">
        <v>270</v>
      </c>
      <c r="F395" s="12" t="s">
        <v>270</v>
      </c>
      <c r="G395" s="12" t="s">
        <v>270</v>
      </c>
      <c r="H395" s="12" t="s">
        <v>270</v>
      </c>
      <c r="I395" s="12" t="s">
        <v>270</v>
      </c>
      <c r="J395" s="12" t="s">
        <v>270</v>
      </c>
      <c r="K395" s="12" t="s">
        <v>270</v>
      </c>
      <c r="L395" s="12" t="s">
        <v>270</v>
      </c>
      <c r="M395" s="12" t="s">
        <v>270</v>
      </c>
      <c r="N395" s="12" t="s">
        <v>270</v>
      </c>
      <c r="O395" s="12" t="s">
        <v>270</v>
      </c>
      <c r="P395" s="12" t="s">
        <v>270</v>
      </c>
      <c r="Q395" s="12" t="s">
        <v>270</v>
      </c>
      <c r="R395" s="12" t="s">
        <v>270</v>
      </c>
      <c r="S395" s="12" t="s">
        <v>270</v>
      </c>
      <c r="T395" s="12" t="s">
        <v>270</v>
      </c>
      <c r="U395" s="12" t="s">
        <v>270</v>
      </c>
      <c r="V395" s="12" t="s">
        <v>270</v>
      </c>
      <c r="W395" s="12" t="s">
        <v>270</v>
      </c>
      <c r="X395" s="12" t="s">
        <v>270</v>
      </c>
      <c r="Y395" s="12" t="s">
        <v>270</v>
      </c>
      <c r="Z395" s="12" t="s">
        <v>270</v>
      </c>
      <c r="AA395" s="12" t="s">
        <v>270</v>
      </c>
      <c r="AB395" s="12" t="s">
        <v>270</v>
      </c>
      <c r="AC395" s="12" t="s">
        <v>270</v>
      </c>
      <c r="AD395" s="12" t="s">
        <v>270</v>
      </c>
      <c r="AE395" s="12" t="s">
        <v>270</v>
      </c>
      <c r="AF395" s="12" t="s">
        <v>270</v>
      </c>
      <c r="AG395" s="12" t="s">
        <v>270</v>
      </c>
      <c r="AH395" s="12" t="s">
        <v>270</v>
      </c>
      <c r="AI395" s="12" t="s">
        <v>270</v>
      </c>
      <c r="AJ395" s="12" t="s">
        <v>270</v>
      </c>
      <c r="AK395" s="12" t="s">
        <v>270</v>
      </c>
      <c r="AL395" s="12" t="s">
        <v>270</v>
      </c>
      <c r="AM395" s="12" t="s">
        <v>270</v>
      </c>
      <c r="AN395" s="12" t="s">
        <v>270</v>
      </c>
      <c r="AO395" s="12" t="s">
        <v>270</v>
      </c>
      <c r="AP395" s="12" t="s">
        <v>270</v>
      </c>
      <c r="AQ395" s="12" t="s">
        <v>270</v>
      </c>
      <c r="AR395" s="12" t="s">
        <v>270</v>
      </c>
      <c r="AS395" s="12" t="s">
        <v>270</v>
      </c>
      <c r="AT395" s="12" t="s">
        <v>270</v>
      </c>
      <c r="IS395" s="3"/>
    </row>
    <row r="396" spans="1:253"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IS396" s="3"/>
    </row>
    <row r="397" spans="1:253">
      <c r="B397" s="2" t="s">
        <v>235</v>
      </c>
      <c r="C397" s="11">
        <f>SUM(C12:C27)</f>
        <v>164530</v>
      </c>
      <c r="D397" s="11"/>
      <c r="E397" s="11">
        <f>SUM(E12:E27)</f>
        <v>109430</v>
      </c>
      <c r="F397" s="11">
        <f>SUM(F12:F27)</f>
        <v>0</v>
      </c>
      <c r="G397" s="11">
        <f>SUM(G12:G27)</f>
        <v>0</v>
      </c>
      <c r="H397" s="11">
        <f>SUM(H12:H27)</f>
        <v>0</v>
      </c>
      <c r="I397" s="11">
        <f>SUM(I12:I27)</f>
        <v>0</v>
      </c>
      <c r="J397" s="11">
        <f>SUM(J12:J27)</f>
        <v>0</v>
      </c>
      <c r="K397" s="11">
        <f>SUM(K12:K27)</f>
        <v>0</v>
      </c>
      <c r="L397" s="11">
        <f>SUM(L12:L27)</f>
        <v>0</v>
      </c>
      <c r="M397" s="11">
        <f>SUM(M12:M27)</f>
        <v>0</v>
      </c>
      <c r="N397" s="11">
        <f>SUM(N12:N27)</f>
        <v>0</v>
      </c>
      <c r="O397" s="11">
        <f>SUM(O12:O27)</f>
        <v>0</v>
      </c>
      <c r="P397" s="11">
        <f>SUM(P12:P27)</f>
        <v>0</v>
      </c>
      <c r="Q397" s="11">
        <f>SUM(Q12:Q27)</f>
        <v>0</v>
      </c>
      <c r="R397" s="11">
        <f>SUM(R12:R27)</f>
        <v>0</v>
      </c>
      <c r="S397" s="11">
        <f>SUM(S12:S27)</f>
        <v>0</v>
      </c>
      <c r="T397" s="11">
        <f>SUM(T12:T27)</f>
        <v>0</v>
      </c>
      <c r="U397" s="11">
        <f>SUM(U12:U27)</f>
        <v>0</v>
      </c>
      <c r="V397" s="11">
        <f>SUM(V12:V27)</f>
        <v>0</v>
      </c>
      <c r="W397" s="11">
        <f>SUM(W12:W27)</f>
        <v>0</v>
      </c>
      <c r="X397" s="11">
        <f>SUM(X12:X27)</f>
        <v>55100</v>
      </c>
      <c r="Y397" s="11">
        <f>SUM(Y12:Y27)</f>
        <v>0</v>
      </c>
      <c r="Z397" s="11">
        <f>SUM(Z12:Z27)</f>
        <v>0</v>
      </c>
      <c r="AA397" s="11">
        <f>SUM(AA12:AA27)</f>
        <v>0</v>
      </c>
      <c r="AB397" s="11">
        <f>SUM(AB12:AB27)</f>
        <v>0</v>
      </c>
      <c r="AC397" s="11">
        <f>SUM(AC12:AC27)</f>
        <v>0</v>
      </c>
      <c r="AD397" s="11">
        <f>SUM(AD12:AD27)</f>
        <v>0</v>
      </c>
      <c r="AE397" s="11">
        <f>SUM(AE12:AE27)</f>
        <v>0</v>
      </c>
      <c r="AF397" s="11">
        <f>SUM(AF12:AF27)</f>
        <v>0</v>
      </c>
      <c r="AG397" s="11">
        <f>SUM(AG12:AG27)</f>
        <v>0</v>
      </c>
      <c r="AH397" s="11">
        <f>SUM(AH12:AH27)</f>
        <v>0</v>
      </c>
      <c r="AI397" s="11">
        <f>SUM(AI12:AI27)</f>
        <v>0</v>
      </c>
      <c r="AJ397" s="11">
        <f>SUM(AJ12:AJ27)</f>
        <v>0</v>
      </c>
      <c r="AK397" s="11">
        <f>SUM(AK12:AK27)</f>
        <v>0</v>
      </c>
      <c r="AL397" s="11">
        <f>SUM(AL12:AL27)</f>
        <v>0</v>
      </c>
      <c r="AM397" s="11">
        <f>SUM(AM12:AM27)</f>
        <v>0</v>
      </c>
      <c r="AN397" s="11">
        <f>SUM(AN12:AN27)</f>
        <v>0</v>
      </c>
      <c r="AO397" s="11">
        <f>SUM(AO12:AO27)</f>
        <v>0</v>
      </c>
      <c r="AP397" s="11">
        <f>SUM(AP12:AP27)</f>
        <v>0</v>
      </c>
      <c r="AQ397" s="11">
        <f>SUM(AQ12:AQ27)</f>
        <v>0</v>
      </c>
      <c r="AR397" s="11">
        <f>SUM(AR12:AR27)</f>
        <v>0</v>
      </c>
      <c r="AS397" s="11">
        <f>SUM(AS12:AS27)</f>
        <v>0</v>
      </c>
      <c r="AT397" s="11">
        <f>SUM(AT12:AT27)</f>
        <v>164530</v>
      </c>
      <c r="IS397" s="3"/>
    </row>
    <row r="398" spans="1:253">
      <c r="B398" s="2" t="s">
        <v>236</v>
      </c>
      <c r="C398" s="11">
        <f>SUM(C28:C34)</f>
        <v>222130</v>
      </c>
      <c r="D398" s="11"/>
      <c r="E398" s="11">
        <f>SUM(E28:E34)</f>
        <v>5490</v>
      </c>
      <c r="F398" s="11">
        <f>SUM(F28:F34)</f>
        <v>5490</v>
      </c>
      <c r="G398" s="11">
        <f>SUM(G28:G34)</f>
        <v>5490</v>
      </c>
      <c r="H398" s="11">
        <f>SUM(H28:H34)</f>
        <v>5490</v>
      </c>
      <c r="I398" s="11">
        <f>SUM(I28:I34)</f>
        <v>5490</v>
      </c>
      <c r="J398" s="11">
        <f>SUM(J28:J34)</f>
        <v>5490</v>
      </c>
      <c r="K398" s="11">
        <f>SUM(K28:K34)</f>
        <v>5490</v>
      </c>
      <c r="L398" s="11">
        <f>SUM(L28:L34)</f>
        <v>5490</v>
      </c>
      <c r="M398" s="11">
        <f>SUM(M28:M34)</f>
        <v>5490</v>
      </c>
      <c r="N398" s="11">
        <f>SUM(N28:N34)</f>
        <v>5490</v>
      </c>
      <c r="O398" s="11">
        <f>SUM(O28:O34)</f>
        <v>5490</v>
      </c>
      <c r="P398" s="11">
        <f>SUM(P28:P34)</f>
        <v>5490</v>
      </c>
      <c r="Q398" s="11">
        <f>SUM(Q28:Q34)</f>
        <v>6150</v>
      </c>
      <c r="R398" s="11">
        <f>SUM(R28:R34)</f>
        <v>6150</v>
      </c>
      <c r="S398" s="11">
        <f>SUM(S28:S34)</f>
        <v>6150</v>
      </c>
      <c r="T398" s="11">
        <f>SUM(T28:T34)</f>
        <v>6150</v>
      </c>
      <c r="U398" s="11">
        <f>SUM(U28:U34)</f>
        <v>6150</v>
      </c>
      <c r="V398" s="11">
        <f>SUM(V28:V34)</f>
        <v>6150</v>
      </c>
      <c r="W398" s="11">
        <f>SUM(W28:W34)</f>
        <v>6150</v>
      </c>
      <c r="X398" s="11">
        <f>SUM(X28:X34)</f>
        <v>6150</v>
      </c>
      <c r="Y398" s="11">
        <f>SUM(Y28:Y34)</f>
        <v>6150</v>
      </c>
      <c r="Z398" s="11">
        <f>SUM(Z28:Z34)</f>
        <v>6150</v>
      </c>
      <c r="AA398" s="11">
        <f>SUM(AA28:AA34)</f>
        <v>10300</v>
      </c>
      <c r="AB398" s="11">
        <f>SUM(AB28:AB34)</f>
        <v>6150</v>
      </c>
      <c r="AC398" s="11">
        <f>SUM(AC28:AC34)</f>
        <v>6150</v>
      </c>
      <c r="AD398" s="11">
        <f>SUM(AD28:AD34)</f>
        <v>6150</v>
      </c>
      <c r="AE398" s="11">
        <f>SUM(AE28:AE34)</f>
        <v>4500</v>
      </c>
      <c r="AF398" s="11">
        <f>SUM(AF28:AF34)</f>
        <v>4500</v>
      </c>
      <c r="AG398" s="11">
        <f>SUM(AG28:AG34)</f>
        <v>4500</v>
      </c>
      <c r="AH398" s="11">
        <f>SUM(AH28:AH34)</f>
        <v>4500</v>
      </c>
      <c r="AI398" s="11">
        <f>SUM(AI28:AI34)</f>
        <v>4500</v>
      </c>
      <c r="AJ398" s="11">
        <f>SUM(AJ28:AJ34)</f>
        <v>4500</v>
      </c>
      <c r="AK398" s="11">
        <f>SUM(AK28:AK34)</f>
        <v>4500</v>
      </c>
      <c r="AL398" s="11">
        <f>SUM(AL28:AL34)</f>
        <v>4500</v>
      </c>
      <c r="AM398" s="11">
        <f>SUM(AM28:AM34)</f>
        <v>4500</v>
      </c>
      <c r="AN398" s="11">
        <f>SUM(AN28:AN34)</f>
        <v>4500</v>
      </c>
      <c r="AO398" s="11">
        <f>SUM(AO28:AO34)</f>
        <v>4500</v>
      </c>
      <c r="AP398" s="11">
        <f>SUM(AP28:AP34)</f>
        <v>4500</v>
      </c>
      <c r="AQ398" s="11">
        <f>SUM(AQ28:AQ34)</f>
        <v>4500</v>
      </c>
      <c r="AR398" s="11">
        <f>SUM(AR28:AR34)</f>
        <v>7500</v>
      </c>
      <c r="AS398" s="11">
        <f>SUM(AS28:AS34)</f>
        <v>0</v>
      </c>
      <c r="AT398" s="11">
        <f>SUM(AT28:AT34)</f>
        <v>222130</v>
      </c>
      <c r="IS398" s="3"/>
    </row>
    <row r="399" spans="1:253">
      <c r="B399" s="2" t="s">
        <v>237</v>
      </c>
      <c r="C399" s="11">
        <f>SUM(C35:C70)</f>
        <v>224762</v>
      </c>
      <c r="D399" s="11"/>
      <c r="E399" s="11">
        <f>SUM(E35:E70)</f>
        <v>0</v>
      </c>
      <c r="F399" s="11">
        <f>SUM(F35:F70)</f>
        <v>0</v>
      </c>
      <c r="G399" s="11">
        <f>SUM(G35:G70)</f>
        <v>0</v>
      </c>
      <c r="H399" s="11">
        <f>SUM(H35:H70)</f>
        <v>0</v>
      </c>
      <c r="I399" s="11">
        <f>SUM(I35:I70)</f>
        <v>0</v>
      </c>
      <c r="J399" s="11">
        <f>SUM(J35:J70)</f>
        <v>0</v>
      </c>
      <c r="K399" s="11">
        <f>SUM(K35:K70)</f>
        <v>0</v>
      </c>
      <c r="L399" s="11">
        <f>SUM(L35:L70)</f>
        <v>0</v>
      </c>
      <c r="M399" s="11">
        <f>SUM(M35:M70)</f>
        <v>0</v>
      </c>
      <c r="N399" s="11">
        <f>SUM(N35:N70)</f>
        <v>0</v>
      </c>
      <c r="O399" s="11">
        <f>SUM(O35:O70)</f>
        <v>0</v>
      </c>
      <c r="P399" s="11">
        <f>SUM(P35:P70)</f>
        <v>0</v>
      </c>
      <c r="Q399" s="11">
        <f>SUM(Q35:Q70)</f>
        <v>571.42857142857144</v>
      </c>
      <c r="R399" s="11">
        <f>SUM(R35:R70)</f>
        <v>571.42857142857144</v>
      </c>
      <c r="S399" s="11">
        <f>SUM(S35:S70)</f>
        <v>571.42857142857144</v>
      </c>
      <c r="T399" s="11">
        <f>SUM(T35:T70)</f>
        <v>571.42857142857144</v>
      </c>
      <c r="U399" s="11">
        <f>SUM(U35:U70)</f>
        <v>571.42857142857144</v>
      </c>
      <c r="V399" s="11">
        <f>SUM(V35:V70)</f>
        <v>57176.228571428604</v>
      </c>
      <c r="W399" s="11">
        <f>SUM(W35:W70)</f>
        <v>571.42857142857144</v>
      </c>
      <c r="X399" s="11">
        <f>SUM(X35:X70)</f>
        <v>40902.400000000016</v>
      </c>
      <c r="Y399" s="11">
        <f>SUM(Y35:Y70)</f>
        <v>40902.400000000016</v>
      </c>
      <c r="Z399" s="11">
        <f>SUM(Z35:Z70)</f>
        <v>40902.400000000016</v>
      </c>
      <c r="AA399" s="11">
        <f>SUM(AA35:AA70)</f>
        <v>40902.400000000016</v>
      </c>
      <c r="AB399" s="11">
        <f>SUM(AB35:AB70)</f>
        <v>57152.400000000016</v>
      </c>
      <c r="AC399" s="11">
        <f>SUM(AC35:AC70)</f>
        <v>0</v>
      </c>
      <c r="AD399" s="11">
        <f>SUM(AD35:AD70)</f>
        <v>0</v>
      </c>
      <c r="AE399" s="11">
        <f>SUM(AE35:AE70)</f>
        <v>0</v>
      </c>
      <c r="AF399" s="11">
        <f>SUM(AF35:AF70)</f>
        <v>0</v>
      </c>
      <c r="AG399" s="11">
        <f>SUM(AG35:AG70)</f>
        <v>0</v>
      </c>
      <c r="AH399" s="11">
        <f>SUM(AH35:AH70)</f>
        <v>0</v>
      </c>
      <c r="AI399" s="11">
        <f>SUM(AI35:AI70)</f>
        <v>0</v>
      </c>
      <c r="AJ399" s="11">
        <f>SUM(AJ35:AJ70)</f>
        <v>0</v>
      </c>
      <c r="AK399" s="11">
        <f>SUM(AK35:AK70)</f>
        <v>-56604.800000000032</v>
      </c>
      <c r="AL399" s="11">
        <f>SUM(AL35:AL70)</f>
        <v>0</v>
      </c>
      <c r="AM399" s="11">
        <f>SUM(AM35:AM70)</f>
        <v>0</v>
      </c>
      <c r="AN399" s="11">
        <f>SUM(AN35:AN70)</f>
        <v>0</v>
      </c>
      <c r="AO399" s="11">
        <f>SUM(AO35:AO70)</f>
        <v>0</v>
      </c>
      <c r="AP399" s="11">
        <f>SUM(AP35:AP70)</f>
        <v>0</v>
      </c>
      <c r="AQ399" s="11">
        <f>SUM(AQ35:AQ70)</f>
        <v>0</v>
      </c>
      <c r="AR399" s="11">
        <f>SUM(AR35:AR70)</f>
        <v>0</v>
      </c>
      <c r="AS399" s="11">
        <f>SUM(AS35:AS70)</f>
        <v>0</v>
      </c>
      <c r="AT399" s="11">
        <f>SUM(AT35:AT70)</f>
        <v>224762</v>
      </c>
      <c r="IS399" s="3"/>
    </row>
    <row r="400" spans="1:253">
      <c r="B400" s="2" t="s">
        <v>238</v>
      </c>
      <c r="C400" s="11">
        <f t="shared" ref="C400:AT400" si="50">SUM(C71:C99)</f>
        <v>149112.60800000001</v>
      </c>
      <c r="D400" s="11"/>
      <c r="E400" s="11">
        <f t="shared" si="50"/>
        <v>0</v>
      </c>
      <c r="F400" s="11">
        <f t="shared" si="50"/>
        <v>0</v>
      </c>
      <c r="G400" s="11">
        <f t="shared" si="50"/>
        <v>0</v>
      </c>
      <c r="H400" s="11">
        <f t="shared" si="50"/>
        <v>1210</v>
      </c>
      <c r="I400" s="11">
        <f t="shared" si="50"/>
        <v>0</v>
      </c>
      <c r="J400" s="11">
        <f t="shared" si="50"/>
        <v>250</v>
      </c>
      <c r="K400" s="11">
        <f t="shared" si="50"/>
        <v>5760</v>
      </c>
      <c r="L400" s="11">
        <f t="shared" si="50"/>
        <v>10760</v>
      </c>
      <c r="M400" s="11">
        <f t="shared" si="50"/>
        <v>5760</v>
      </c>
      <c r="N400" s="11">
        <f t="shared" si="50"/>
        <v>500</v>
      </c>
      <c r="O400" s="11">
        <f t="shared" si="50"/>
        <v>6260</v>
      </c>
      <c r="P400" s="11">
        <f t="shared" si="50"/>
        <v>500</v>
      </c>
      <c r="Q400" s="11">
        <f t="shared" si="50"/>
        <v>11133.214285714286</v>
      </c>
      <c r="R400" s="11">
        <f t="shared" si="50"/>
        <v>2924.2142857142858</v>
      </c>
      <c r="S400" s="11">
        <f t="shared" si="50"/>
        <v>4074.347619047619</v>
      </c>
      <c r="T400" s="11">
        <f t="shared" si="50"/>
        <v>5451.0476190476193</v>
      </c>
      <c r="U400" s="11">
        <f t="shared" si="50"/>
        <v>6373.3809523809523</v>
      </c>
      <c r="V400" s="11">
        <f t="shared" si="50"/>
        <v>7340.6809523809516</v>
      </c>
      <c r="W400" s="11">
        <f t="shared" si="50"/>
        <v>7340.6809523809516</v>
      </c>
      <c r="X400" s="11">
        <f t="shared" si="50"/>
        <v>12340.347619047618</v>
      </c>
      <c r="Y400" s="11">
        <f t="shared" si="50"/>
        <v>12033.097619047618</v>
      </c>
      <c r="Z400" s="11">
        <f t="shared" si="50"/>
        <v>9146.7642857142855</v>
      </c>
      <c r="AA400" s="11">
        <f t="shared" si="50"/>
        <v>10618.964285714286</v>
      </c>
      <c r="AB400" s="11">
        <f t="shared" si="50"/>
        <v>9489.7722857142853</v>
      </c>
      <c r="AC400" s="11">
        <f t="shared" si="50"/>
        <v>5880.5476190476184</v>
      </c>
      <c r="AD400" s="11">
        <f t="shared" si="50"/>
        <v>5845.5476190476193</v>
      </c>
      <c r="AE400" s="11">
        <f t="shared" si="50"/>
        <v>1400</v>
      </c>
      <c r="AF400" s="11">
        <f t="shared" si="50"/>
        <v>560</v>
      </c>
      <c r="AG400" s="11">
        <f t="shared" si="50"/>
        <v>560</v>
      </c>
      <c r="AH400" s="11">
        <f t="shared" si="50"/>
        <v>560</v>
      </c>
      <c r="AI400" s="11">
        <f t="shared" si="50"/>
        <v>560</v>
      </c>
      <c r="AJ400" s="11">
        <f t="shared" si="50"/>
        <v>560</v>
      </c>
      <c r="AK400" s="11">
        <f t="shared" si="50"/>
        <v>560</v>
      </c>
      <c r="AL400" s="11">
        <f t="shared" si="50"/>
        <v>560</v>
      </c>
      <c r="AM400" s="11">
        <f t="shared" si="50"/>
        <v>560</v>
      </c>
      <c r="AN400" s="11">
        <f t="shared" si="50"/>
        <v>560</v>
      </c>
      <c r="AO400" s="11">
        <f t="shared" si="50"/>
        <v>560</v>
      </c>
      <c r="AP400" s="11">
        <f t="shared" si="50"/>
        <v>560</v>
      </c>
      <c r="AQ400" s="11">
        <f t="shared" si="50"/>
        <v>560</v>
      </c>
      <c r="AR400" s="11">
        <f t="shared" si="50"/>
        <v>0</v>
      </c>
      <c r="AS400" s="11">
        <f t="shared" si="50"/>
        <v>0</v>
      </c>
      <c r="AT400" s="11">
        <f t="shared" si="50"/>
        <v>149112.60800000001</v>
      </c>
      <c r="IS400" s="3"/>
    </row>
    <row r="401" spans="2:253">
      <c r="B401" s="2" t="s">
        <v>239</v>
      </c>
      <c r="C401" s="11">
        <f t="shared" ref="C401:AT401" si="51">SUM(C101:C111)</f>
        <v>42689.32</v>
      </c>
      <c r="D401" s="11"/>
      <c r="E401" s="11">
        <f t="shared" si="51"/>
        <v>0</v>
      </c>
      <c r="F401" s="11">
        <f t="shared" si="51"/>
        <v>0</v>
      </c>
      <c r="G401" s="11">
        <f t="shared" si="51"/>
        <v>0</v>
      </c>
      <c r="H401" s="11">
        <f t="shared" si="51"/>
        <v>0</v>
      </c>
      <c r="I401" s="11">
        <f t="shared" si="51"/>
        <v>0</v>
      </c>
      <c r="J401" s="11">
        <f t="shared" si="51"/>
        <v>0</v>
      </c>
      <c r="K401" s="11">
        <f t="shared" si="51"/>
        <v>0</v>
      </c>
      <c r="L401" s="11">
        <f t="shared" si="51"/>
        <v>0</v>
      </c>
      <c r="M401" s="11">
        <f t="shared" si="51"/>
        <v>0</v>
      </c>
      <c r="N401" s="11">
        <f t="shared" si="51"/>
        <v>0</v>
      </c>
      <c r="O401" s="11">
        <f t="shared" si="51"/>
        <v>0</v>
      </c>
      <c r="P401" s="11">
        <f t="shared" si="51"/>
        <v>0</v>
      </c>
      <c r="Q401" s="11">
        <f t="shared" si="51"/>
        <v>0</v>
      </c>
      <c r="R401" s="11">
        <f t="shared" si="51"/>
        <v>0</v>
      </c>
      <c r="S401" s="11">
        <f t="shared" si="51"/>
        <v>1400</v>
      </c>
      <c r="T401" s="11">
        <f t="shared" si="51"/>
        <v>1400</v>
      </c>
      <c r="U401" s="11">
        <f t="shared" si="51"/>
        <v>3038</v>
      </c>
      <c r="V401" s="11">
        <f t="shared" si="51"/>
        <v>3638</v>
      </c>
      <c r="W401" s="11">
        <f t="shared" si="51"/>
        <v>3638</v>
      </c>
      <c r="X401" s="11">
        <f t="shared" si="51"/>
        <v>4434.6000000000004</v>
      </c>
      <c r="Y401" s="11">
        <f t="shared" si="51"/>
        <v>4975.1000000000004</v>
      </c>
      <c r="Z401" s="11">
        <f t="shared" si="51"/>
        <v>4975.1000000000004</v>
      </c>
      <c r="AA401" s="11">
        <f t="shared" si="51"/>
        <v>5897.3142857142857</v>
      </c>
      <c r="AB401" s="11">
        <f t="shared" si="51"/>
        <v>9133.8857142857159</v>
      </c>
      <c r="AC401" s="11">
        <f t="shared" si="51"/>
        <v>159.32</v>
      </c>
      <c r="AD401" s="11">
        <f t="shared" si="51"/>
        <v>0</v>
      </c>
      <c r="AE401" s="11">
        <f t="shared" si="51"/>
        <v>0</v>
      </c>
      <c r="AF401" s="11">
        <f t="shared" si="51"/>
        <v>0</v>
      </c>
      <c r="AG401" s="11">
        <f t="shared" si="51"/>
        <v>0</v>
      </c>
      <c r="AH401" s="11">
        <f t="shared" si="51"/>
        <v>0</v>
      </c>
      <c r="AI401" s="11">
        <f t="shared" si="51"/>
        <v>0</v>
      </c>
      <c r="AJ401" s="11">
        <f t="shared" si="51"/>
        <v>0</v>
      </c>
      <c r="AK401" s="11">
        <f t="shared" si="51"/>
        <v>0</v>
      </c>
      <c r="AL401" s="11">
        <f t="shared" si="51"/>
        <v>0</v>
      </c>
      <c r="AM401" s="11">
        <f t="shared" si="51"/>
        <v>0</v>
      </c>
      <c r="AN401" s="11">
        <f t="shared" si="51"/>
        <v>0</v>
      </c>
      <c r="AO401" s="11">
        <f t="shared" si="51"/>
        <v>0</v>
      </c>
      <c r="AP401" s="11">
        <f t="shared" si="51"/>
        <v>0</v>
      </c>
      <c r="AQ401" s="11">
        <f t="shared" si="51"/>
        <v>0</v>
      </c>
      <c r="AR401" s="11">
        <f t="shared" si="51"/>
        <v>0</v>
      </c>
      <c r="AS401" s="11">
        <f t="shared" si="51"/>
        <v>0</v>
      </c>
      <c r="AT401" s="11">
        <f t="shared" si="51"/>
        <v>42689.32</v>
      </c>
      <c r="IS401" s="3"/>
    </row>
    <row r="402" spans="2:253">
      <c r="B402" s="2" t="s">
        <v>240</v>
      </c>
      <c r="C402" s="11">
        <f t="shared" ref="C402:AT402" si="52">SUM(C112:C127)</f>
        <v>63471.684000000001</v>
      </c>
      <c r="D402" s="11"/>
      <c r="E402" s="11">
        <f t="shared" si="52"/>
        <v>0</v>
      </c>
      <c r="F402" s="11">
        <f t="shared" si="52"/>
        <v>0</v>
      </c>
      <c r="G402" s="11">
        <f t="shared" si="52"/>
        <v>0</v>
      </c>
      <c r="H402" s="11">
        <f t="shared" si="52"/>
        <v>1059</v>
      </c>
      <c r="I402" s="11">
        <f t="shared" si="52"/>
        <v>0</v>
      </c>
      <c r="J402" s="11">
        <f t="shared" si="52"/>
        <v>0</v>
      </c>
      <c r="K402" s="11">
        <f t="shared" si="52"/>
        <v>0</v>
      </c>
      <c r="L402" s="11">
        <f t="shared" si="52"/>
        <v>0</v>
      </c>
      <c r="M402" s="11">
        <f t="shared" si="52"/>
        <v>0</v>
      </c>
      <c r="N402" s="11">
        <f t="shared" si="52"/>
        <v>0</v>
      </c>
      <c r="O402" s="11">
        <f t="shared" si="52"/>
        <v>0</v>
      </c>
      <c r="P402" s="11">
        <f t="shared" si="52"/>
        <v>0</v>
      </c>
      <c r="Q402" s="11">
        <f t="shared" si="52"/>
        <v>0</v>
      </c>
      <c r="R402" s="11">
        <f t="shared" si="52"/>
        <v>0</v>
      </c>
      <c r="S402" s="11">
        <f t="shared" si="52"/>
        <v>0</v>
      </c>
      <c r="T402" s="11">
        <f t="shared" si="52"/>
        <v>0</v>
      </c>
      <c r="U402" s="11">
        <f t="shared" si="52"/>
        <v>2500</v>
      </c>
      <c r="V402" s="11">
        <f t="shared" si="52"/>
        <v>2500</v>
      </c>
      <c r="W402" s="11">
        <f t="shared" si="52"/>
        <v>5932.9333333333334</v>
      </c>
      <c r="X402" s="11">
        <f t="shared" si="52"/>
        <v>8639.2333333333336</v>
      </c>
      <c r="Y402" s="11">
        <f t="shared" si="52"/>
        <v>8639.2333333333336</v>
      </c>
      <c r="Z402" s="11">
        <f t="shared" si="52"/>
        <v>8639.2333333333336</v>
      </c>
      <c r="AA402" s="11">
        <f t="shared" si="52"/>
        <v>8793.2333333333336</v>
      </c>
      <c r="AB402" s="11">
        <f t="shared" si="52"/>
        <v>10799.477333333334</v>
      </c>
      <c r="AC402" s="11">
        <f t="shared" si="52"/>
        <v>2969.34</v>
      </c>
      <c r="AD402" s="11">
        <f t="shared" si="52"/>
        <v>0</v>
      </c>
      <c r="AE402" s="11">
        <f t="shared" si="52"/>
        <v>0</v>
      </c>
      <c r="AF402" s="11">
        <f t="shared" si="52"/>
        <v>0</v>
      </c>
      <c r="AG402" s="11">
        <f t="shared" si="52"/>
        <v>0</v>
      </c>
      <c r="AH402" s="11">
        <f t="shared" si="52"/>
        <v>0</v>
      </c>
      <c r="AI402" s="11">
        <f t="shared" si="52"/>
        <v>0</v>
      </c>
      <c r="AJ402" s="11">
        <f t="shared" si="52"/>
        <v>0</v>
      </c>
      <c r="AK402" s="11">
        <f t="shared" si="52"/>
        <v>3000</v>
      </c>
      <c r="AL402" s="11">
        <f t="shared" si="52"/>
        <v>0</v>
      </c>
      <c r="AM402" s="11">
        <f t="shared" si="52"/>
        <v>0</v>
      </c>
      <c r="AN402" s="11">
        <f t="shared" si="52"/>
        <v>0</v>
      </c>
      <c r="AO402" s="11">
        <f t="shared" si="52"/>
        <v>0</v>
      </c>
      <c r="AP402" s="11">
        <f t="shared" si="52"/>
        <v>0</v>
      </c>
      <c r="AQ402" s="11">
        <f t="shared" si="52"/>
        <v>0</v>
      </c>
      <c r="AR402" s="11">
        <f t="shared" si="52"/>
        <v>0</v>
      </c>
      <c r="AS402" s="11">
        <f t="shared" si="52"/>
        <v>0</v>
      </c>
      <c r="AT402" s="11">
        <f t="shared" si="52"/>
        <v>63471.684000000001</v>
      </c>
      <c r="IS402" s="3"/>
    </row>
    <row r="403" spans="2:253">
      <c r="B403" s="2" t="s">
        <v>241</v>
      </c>
      <c r="C403" s="11">
        <f t="shared" ref="C403:AT403" si="53">SUM(C128:C135)</f>
        <v>18983.2</v>
      </c>
      <c r="D403" s="11"/>
      <c r="E403" s="11">
        <f t="shared" si="53"/>
        <v>0</v>
      </c>
      <c r="F403" s="11">
        <f t="shared" si="53"/>
        <v>0</v>
      </c>
      <c r="G403" s="11">
        <f t="shared" si="53"/>
        <v>0</v>
      </c>
      <c r="H403" s="11">
        <f t="shared" si="53"/>
        <v>144</v>
      </c>
      <c r="I403" s="11">
        <f t="shared" si="53"/>
        <v>0</v>
      </c>
      <c r="J403" s="11">
        <f t="shared" si="53"/>
        <v>0</v>
      </c>
      <c r="K403" s="11">
        <f t="shared" si="53"/>
        <v>0</v>
      </c>
      <c r="L403" s="11">
        <f t="shared" si="53"/>
        <v>0</v>
      </c>
      <c r="M403" s="11">
        <f t="shared" si="53"/>
        <v>0</v>
      </c>
      <c r="N403" s="11">
        <f t="shared" si="53"/>
        <v>0</v>
      </c>
      <c r="O403" s="11">
        <f t="shared" si="53"/>
        <v>0</v>
      </c>
      <c r="P403" s="11">
        <f t="shared" si="53"/>
        <v>0</v>
      </c>
      <c r="Q403" s="11">
        <f t="shared" si="53"/>
        <v>0</v>
      </c>
      <c r="R403" s="11">
        <f t="shared" si="53"/>
        <v>0</v>
      </c>
      <c r="S403" s="11">
        <f t="shared" si="53"/>
        <v>0</v>
      </c>
      <c r="T403" s="11">
        <f t="shared" si="53"/>
        <v>0</v>
      </c>
      <c r="U403" s="11">
        <f t="shared" si="53"/>
        <v>0</v>
      </c>
      <c r="V403" s="11">
        <f t="shared" si="53"/>
        <v>520</v>
      </c>
      <c r="W403" s="11">
        <f t="shared" si="53"/>
        <v>1755.2</v>
      </c>
      <c r="X403" s="11">
        <f t="shared" si="53"/>
        <v>3007</v>
      </c>
      <c r="Y403" s="11">
        <f t="shared" si="53"/>
        <v>3007</v>
      </c>
      <c r="Z403" s="11">
        <f t="shared" si="53"/>
        <v>3007</v>
      </c>
      <c r="AA403" s="11">
        <f t="shared" si="53"/>
        <v>3224</v>
      </c>
      <c r="AB403" s="11">
        <f t="shared" si="53"/>
        <v>4319</v>
      </c>
      <c r="AC403" s="11">
        <f t="shared" si="53"/>
        <v>0</v>
      </c>
      <c r="AD403" s="11">
        <f t="shared" si="53"/>
        <v>0</v>
      </c>
      <c r="AE403" s="11">
        <f t="shared" si="53"/>
        <v>0</v>
      </c>
      <c r="AF403" s="11">
        <f t="shared" si="53"/>
        <v>0</v>
      </c>
      <c r="AG403" s="11">
        <f t="shared" si="53"/>
        <v>0</v>
      </c>
      <c r="AH403" s="11">
        <f t="shared" si="53"/>
        <v>0</v>
      </c>
      <c r="AI403" s="11">
        <f t="shared" si="53"/>
        <v>0</v>
      </c>
      <c r="AJ403" s="11">
        <f t="shared" si="53"/>
        <v>0</v>
      </c>
      <c r="AK403" s="11">
        <f t="shared" si="53"/>
        <v>0</v>
      </c>
      <c r="AL403" s="11">
        <f t="shared" si="53"/>
        <v>0</v>
      </c>
      <c r="AM403" s="11">
        <f t="shared" si="53"/>
        <v>0</v>
      </c>
      <c r="AN403" s="11">
        <f t="shared" si="53"/>
        <v>0</v>
      </c>
      <c r="AO403" s="11">
        <f t="shared" si="53"/>
        <v>0</v>
      </c>
      <c r="AP403" s="11">
        <f t="shared" si="53"/>
        <v>0</v>
      </c>
      <c r="AQ403" s="11">
        <f t="shared" si="53"/>
        <v>0</v>
      </c>
      <c r="AR403" s="11">
        <f t="shared" si="53"/>
        <v>0</v>
      </c>
      <c r="AS403" s="11">
        <f t="shared" si="53"/>
        <v>0</v>
      </c>
      <c r="AT403" s="11">
        <f t="shared" si="53"/>
        <v>18983.2</v>
      </c>
      <c r="IS403" s="3"/>
    </row>
    <row r="404" spans="2:253">
      <c r="B404" s="2" t="s">
        <v>242</v>
      </c>
      <c r="C404" s="11">
        <f t="shared" ref="C404:AT404" si="54">SUM(C136:C145)</f>
        <v>53908</v>
      </c>
      <c r="D404" s="11"/>
      <c r="E404" s="11">
        <f t="shared" si="54"/>
        <v>0</v>
      </c>
      <c r="F404" s="11">
        <f t="shared" si="54"/>
        <v>0</v>
      </c>
      <c r="G404" s="11">
        <f t="shared" si="54"/>
        <v>0</v>
      </c>
      <c r="H404" s="11">
        <f t="shared" si="54"/>
        <v>0</v>
      </c>
      <c r="I404" s="11">
        <f t="shared" si="54"/>
        <v>0</v>
      </c>
      <c r="J404" s="11">
        <f t="shared" si="54"/>
        <v>0</v>
      </c>
      <c r="K404" s="11">
        <f t="shared" si="54"/>
        <v>0</v>
      </c>
      <c r="L404" s="11">
        <f t="shared" si="54"/>
        <v>0</v>
      </c>
      <c r="M404" s="11">
        <f t="shared" si="54"/>
        <v>0</v>
      </c>
      <c r="N404" s="11">
        <f t="shared" si="54"/>
        <v>0</v>
      </c>
      <c r="O404" s="11">
        <f t="shared" si="54"/>
        <v>0</v>
      </c>
      <c r="P404" s="11">
        <f t="shared" si="54"/>
        <v>0</v>
      </c>
      <c r="Q404" s="11">
        <f t="shared" si="54"/>
        <v>0</v>
      </c>
      <c r="R404" s="11">
        <f t="shared" si="54"/>
        <v>0</v>
      </c>
      <c r="S404" s="11">
        <f t="shared" si="54"/>
        <v>0</v>
      </c>
      <c r="T404" s="11">
        <f t="shared" si="54"/>
        <v>0</v>
      </c>
      <c r="U404" s="11">
        <f t="shared" si="54"/>
        <v>0</v>
      </c>
      <c r="V404" s="11">
        <f t="shared" si="54"/>
        <v>3268</v>
      </c>
      <c r="W404" s="11">
        <f t="shared" si="54"/>
        <v>4588</v>
      </c>
      <c r="X404" s="11">
        <f t="shared" si="54"/>
        <v>9500.5</v>
      </c>
      <c r="Y404" s="11">
        <f t="shared" si="54"/>
        <v>9500.5</v>
      </c>
      <c r="Z404" s="11">
        <f t="shared" si="54"/>
        <v>9500.5</v>
      </c>
      <c r="AA404" s="11">
        <f t="shared" si="54"/>
        <v>11152.833333333332</v>
      </c>
      <c r="AB404" s="11">
        <f t="shared" si="54"/>
        <v>6397.666666666667</v>
      </c>
      <c r="AC404" s="11">
        <f t="shared" si="54"/>
        <v>0</v>
      </c>
      <c r="AD404" s="11">
        <f t="shared" si="54"/>
        <v>0</v>
      </c>
      <c r="AE404" s="11">
        <f t="shared" si="54"/>
        <v>0</v>
      </c>
      <c r="AF404" s="11">
        <f t="shared" si="54"/>
        <v>0</v>
      </c>
      <c r="AG404" s="11">
        <f t="shared" si="54"/>
        <v>0</v>
      </c>
      <c r="AH404" s="11">
        <f t="shared" si="54"/>
        <v>0</v>
      </c>
      <c r="AI404" s="11">
        <f t="shared" si="54"/>
        <v>0</v>
      </c>
      <c r="AJ404" s="11">
        <f t="shared" si="54"/>
        <v>0</v>
      </c>
      <c r="AK404" s="11">
        <f t="shared" si="54"/>
        <v>0</v>
      </c>
      <c r="AL404" s="11">
        <f t="shared" si="54"/>
        <v>0</v>
      </c>
      <c r="AM404" s="11">
        <f t="shared" si="54"/>
        <v>0</v>
      </c>
      <c r="AN404" s="11">
        <f t="shared" si="54"/>
        <v>0</v>
      </c>
      <c r="AO404" s="11">
        <f t="shared" si="54"/>
        <v>0</v>
      </c>
      <c r="AP404" s="11">
        <f t="shared" si="54"/>
        <v>0</v>
      </c>
      <c r="AQ404" s="11">
        <f t="shared" si="54"/>
        <v>0</v>
      </c>
      <c r="AR404" s="11">
        <f t="shared" si="54"/>
        <v>0</v>
      </c>
      <c r="AS404" s="11">
        <f t="shared" si="54"/>
        <v>0</v>
      </c>
      <c r="AT404" s="11">
        <f t="shared" si="54"/>
        <v>53908</v>
      </c>
      <c r="IS404" s="3"/>
    </row>
    <row r="405" spans="2:253">
      <c r="B405" s="2" t="s">
        <v>243</v>
      </c>
      <c r="C405" s="11">
        <f t="shared" ref="C405:AT405" si="55">SUM(C146:C164)</f>
        <v>91745.4</v>
      </c>
      <c r="D405" s="11"/>
      <c r="E405" s="11">
        <f t="shared" si="55"/>
        <v>0</v>
      </c>
      <c r="F405" s="11">
        <f t="shared" si="55"/>
        <v>0</v>
      </c>
      <c r="G405" s="11">
        <f t="shared" si="55"/>
        <v>0</v>
      </c>
      <c r="H405" s="11">
        <f t="shared" si="55"/>
        <v>0</v>
      </c>
      <c r="I405" s="11">
        <f t="shared" si="55"/>
        <v>0</v>
      </c>
      <c r="J405" s="11">
        <f t="shared" si="55"/>
        <v>0</v>
      </c>
      <c r="K405" s="11">
        <f t="shared" si="55"/>
        <v>0</v>
      </c>
      <c r="L405" s="11">
        <f t="shared" si="55"/>
        <v>0</v>
      </c>
      <c r="M405" s="11">
        <f t="shared" si="55"/>
        <v>0</v>
      </c>
      <c r="N405" s="11">
        <f t="shared" si="55"/>
        <v>0</v>
      </c>
      <c r="O405" s="11">
        <f t="shared" si="55"/>
        <v>0</v>
      </c>
      <c r="P405" s="11">
        <f t="shared" si="55"/>
        <v>0</v>
      </c>
      <c r="Q405" s="11">
        <f t="shared" si="55"/>
        <v>1550</v>
      </c>
      <c r="R405" s="11">
        <f t="shared" si="55"/>
        <v>1550</v>
      </c>
      <c r="S405" s="11">
        <f t="shared" si="55"/>
        <v>3901.8</v>
      </c>
      <c r="T405" s="11">
        <f t="shared" si="55"/>
        <v>3901.8</v>
      </c>
      <c r="U405" s="11">
        <f t="shared" si="55"/>
        <v>5001.8</v>
      </c>
      <c r="V405" s="11">
        <f t="shared" si="55"/>
        <v>6595</v>
      </c>
      <c r="W405" s="11">
        <f t="shared" si="55"/>
        <v>8438.56</v>
      </c>
      <c r="X405" s="11">
        <f t="shared" si="55"/>
        <v>9667.6</v>
      </c>
      <c r="Y405" s="11">
        <f t="shared" si="55"/>
        <v>9667.6</v>
      </c>
      <c r="Z405" s="11">
        <f t="shared" si="55"/>
        <v>10205.6</v>
      </c>
      <c r="AA405" s="11">
        <f t="shared" si="55"/>
        <v>12187.6</v>
      </c>
      <c r="AB405" s="11">
        <f t="shared" si="55"/>
        <v>12750.2</v>
      </c>
      <c r="AC405" s="11">
        <f t="shared" si="55"/>
        <v>6327.84</v>
      </c>
      <c r="AD405" s="11">
        <f t="shared" si="55"/>
        <v>0</v>
      </c>
      <c r="AE405" s="11">
        <f t="shared" si="55"/>
        <v>0</v>
      </c>
      <c r="AF405" s="11">
        <f t="shared" si="55"/>
        <v>0</v>
      </c>
      <c r="AG405" s="11">
        <f t="shared" si="55"/>
        <v>0</v>
      </c>
      <c r="AH405" s="11">
        <f t="shared" si="55"/>
        <v>0</v>
      </c>
      <c r="AI405" s="11">
        <f t="shared" si="55"/>
        <v>0</v>
      </c>
      <c r="AJ405" s="11">
        <f t="shared" si="55"/>
        <v>0</v>
      </c>
      <c r="AK405" s="11">
        <f t="shared" si="55"/>
        <v>0</v>
      </c>
      <c r="AL405" s="11">
        <f t="shared" si="55"/>
        <v>0</v>
      </c>
      <c r="AM405" s="11">
        <f t="shared" si="55"/>
        <v>0</v>
      </c>
      <c r="AN405" s="11">
        <f t="shared" si="55"/>
        <v>0</v>
      </c>
      <c r="AO405" s="11">
        <f t="shared" si="55"/>
        <v>0</v>
      </c>
      <c r="AP405" s="11">
        <f t="shared" si="55"/>
        <v>0</v>
      </c>
      <c r="AQ405" s="11">
        <f t="shared" si="55"/>
        <v>0</v>
      </c>
      <c r="AR405" s="11">
        <f t="shared" si="55"/>
        <v>0</v>
      </c>
      <c r="AS405" s="11">
        <f t="shared" si="55"/>
        <v>0</v>
      </c>
      <c r="AT405" s="11">
        <f t="shared" si="55"/>
        <v>91745.4</v>
      </c>
      <c r="IS405" s="3"/>
    </row>
    <row r="406" spans="2:253">
      <c r="B406" s="2" t="s">
        <v>244</v>
      </c>
      <c r="C406" s="11">
        <f t="shared" ref="C406:AT406" si="56">SUM(C165:C181)</f>
        <v>60525.78</v>
      </c>
      <c r="D406" s="11"/>
      <c r="E406" s="11">
        <f t="shared" si="56"/>
        <v>0</v>
      </c>
      <c r="F406" s="11">
        <f t="shared" si="56"/>
        <v>0</v>
      </c>
      <c r="G406" s="11">
        <f t="shared" si="56"/>
        <v>0</v>
      </c>
      <c r="H406" s="11">
        <f t="shared" si="56"/>
        <v>0</v>
      </c>
      <c r="I406" s="11">
        <f t="shared" si="56"/>
        <v>0</v>
      </c>
      <c r="J406" s="11">
        <f t="shared" si="56"/>
        <v>0</v>
      </c>
      <c r="K406" s="11">
        <f t="shared" si="56"/>
        <v>0</v>
      </c>
      <c r="L406" s="11">
        <f t="shared" si="56"/>
        <v>0</v>
      </c>
      <c r="M406" s="11">
        <f t="shared" si="56"/>
        <v>0</v>
      </c>
      <c r="N406" s="11">
        <f t="shared" si="56"/>
        <v>0</v>
      </c>
      <c r="O406" s="11">
        <f t="shared" si="56"/>
        <v>0</v>
      </c>
      <c r="P406" s="11">
        <f t="shared" si="56"/>
        <v>0</v>
      </c>
      <c r="Q406" s="11">
        <f t="shared" si="56"/>
        <v>0</v>
      </c>
      <c r="R406" s="11">
        <f t="shared" si="56"/>
        <v>0</v>
      </c>
      <c r="S406" s="11">
        <f t="shared" si="56"/>
        <v>1300</v>
      </c>
      <c r="T406" s="11">
        <f t="shared" si="56"/>
        <v>1300</v>
      </c>
      <c r="U406" s="11">
        <f t="shared" si="56"/>
        <v>1300</v>
      </c>
      <c r="V406" s="11">
        <f t="shared" si="56"/>
        <v>3600</v>
      </c>
      <c r="W406" s="11">
        <f t="shared" si="56"/>
        <v>5250.1</v>
      </c>
      <c r="X406" s="11">
        <f t="shared" si="56"/>
        <v>8038.2</v>
      </c>
      <c r="Y406" s="11">
        <f t="shared" si="56"/>
        <v>8038.2</v>
      </c>
      <c r="Z406" s="11">
        <f t="shared" si="56"/>
        <v>8038.2</v>
      </c>
      <c r="AA406" s="11">
        <f t="shared" si="56"/>
        <v>10729.819047619047</v>
      </c>
      <c r="AB406" s="11">
        <f t="shared" si="56"/>
        <v>7825.2609523809533</v>
      </c>
      <c r="AC406" s="11">
        <f t="shared" si="56"/>
        <v>5106</v>
      </c>
      <c r="AD406" s="11">
        <f t="shared" si="56"/>
        <v>0</v>
      </c>
      <c r="AE406" s="11">
        <f t="shared" si="56"/>
        <v>0</v>
      </c>
      <c r="AF406" s="11">
        <f t="shared" si="56"/>
        <v>0</v>
      </c>
      <c r="AG406" s="11">
        <f t="shared" si="56"/>
        <v>0</v>
      </c>
      <c r="AH406" s="11">
        <f t="shared" si="56"/>
        <v>0</v>
      </c>
      <c r="AI406" s="11">
        <f t="shared" si="56"/>
        <v>0</v>
      </c>
      <c r="AJ406" s="11">
        <f t="shared" si="56"/>
        <v>0</v>
      </c>
      <c r="AK406" s="11">
        <f t="shared" si="56"/>
        <v>0</v>
      </c>
      <c r="AL406" s="11">
        <f t="shared" si="56"/>
        <v>0</v>
      </c>
      <c r="AM406" s="11">
        <f t="shared" si="56"/>
        <v>0</v>
      </c>
      <c r="AN406" s="11">
        <f t="shared" si="56"/>
        <v>0</v>
      </c>
      <c r="AO406" s="11">
        <f t="shared" si="56"/>
        <v>0</v>
      </c>
      <c r="AP406" s="11">
        <f t="shared" si="56"/>
        <v>0</v>
      </c>
      <c r="AQ406" s="11">
        <f t="shared" si="56"/>
        <v>0</v>
      </c>
      <c r="AR406" s="11">
        <f t="shared" si="56"/>
        <v>0</v>
      </c>
      <c r="AS406" s="11">
        <f t="shared" si="56"/>
        <v>0</v>
      </c>
      <c r="AT406" s="11">
        <f t="shared" si="56"/>
        <v>60525.78</v>
      </c>
      <c r="IS406" s="3"/>
    </row>
    <row r="407" spans="2:253">
      <c r="B407" s="2" t="s">
        <v>245</v>
      </c>
      <c r="C407" s="11">
        <f t="shared" ref="C407:AT407" si="57">SUM(C183:C186)</f>
        <v>46881.2</v>
      </c>
      <c r="D407" s="11"/>
      <c r="E407" s="11">
        <f t="shared" si="57"/>
        <v>0</v>
      </c>
      <c r="F407" s="11">
        <f t="shared" si="57"/>
        <v>0</v>
      </c>
      <c r="G407" s="11">
        <f t="shared" si="57"/>
        <v>0</v>
      </c>
      <c r="H407" s="11">
        <f t="shared" si="57"/>
        <v>0</v>
      </c>
      <c r="I407" s="11">
        <f t="shared" si="57"/>
        <v>0</v>
      </c>
      <c r="J407" s="11">
        <f t="shared" si="57"/>
        <v>0</v>
      </c>
      <c r="K407" s="11">
        <f t="shared" si="57"/>
        <v>0</v>
      </c>
      <c r="L407" s="11">
        <f t="shared" si="57"/>
        <v>0</v>
      </c>
      <c r="M407" s="11">
        <f t="shared" si="57"/>
        <v>0</v>
      </c>
      <c r="N407" s="11">
        <f t="shared" si="57"/>
        <v>0</v>
      </c>
      <c r="O407" s="11">
        <f t="shared" si="57"/>
        <v>0</v>
      </c>
      <c r="P407" s="11">
        <f t="shared" si="57"/>
        <v>0</v>
      </c>
      <c r="Q407" s="11">
        <f t="shared" si="57"/>
        <v>0</v>
      </c>
      <c r="R407" s="11">
        <f t="shared" si="57"/>
        <v>0</v>
      </c>
      <c r="S407" s="11">
        <f t="shared" si="57"/>
        <v>0</v>
      </c>
      <c r="T407" s="11">
        <f t="shared" si="57"/>
        <v>0</v>
      </c>
      <c r="U407" s="11">
        <f t="shared" si="57"/>
        <v>0</v>
      </c>
      <c r="V407" s="11">
        <f t="shared" si="57"/>
        <v>0</v>
      </c>
      <c r="W407" s="11">
        <f t="shared" si="57"/>
        <v>0</v>
      </c>
      <c r="X407" s="11">
        <f t="shared" si="57"/>
        <v>2910.4</v>
      </c>
      <c r="Y407" s="11">
        <f t="shared" si="57"/>
        <v>2910.4</v>
      </c>
      <c r="Z407" s="11">
        <f t="shared" si="57"/>
        <v>2910.4</v>
      </c>
      <c r="AA407" s="11">
        <f t="shared" si="57"/>
        <v>2910.4</v>
      </c>
      <c r="AB407" s="11">
        <f t="shared" si="57"/>
        <v>2910.4</v>
      </c>
      <c r="AC407" s="11">
        <f t="shared" si="57"/>
        <v>2910.4</v>
      </c>
      <c r="AD407" s="11">
        <f t="shared" si="57"/>
        <v>2910.4</v>
      </c>
      <c r="AE407" s="11">
        <f t="shared" si="57"/>
        <v>2910.4</v>
      </c>
      <c r="AF407" s="11">
        <f t="shared" si="57"/>
        <v>2910.4</v>
      </c>
      <c r="AG407" s="11">
        <f t="shared" si="57"/>
        <v>2910.4</v>
      </c>
      <c r="AH407" s="11">
        <f t="shared" si="57"/>
        <v>2910.4</v>
      </c>
      <c r="AI407" s="11">
        <f t="shared" si="57"/>
        <v>2910.4</v>
      </c>
      <c r="AJ407" s="11">
        <f t="shared" si="57"/>
        <v>4030.4</v>
      </c>
      <c r="AK407" s="11">
        <f t="shared" si="57"/>
        <v>800</v>
      </c>
      <c r="AL407" s="11">
        <f t="shared" si="57"/>
        <v>800</v>
      </c>
      <c r="AM407" s="11">
        <f t="shared" si="57"/>
        <v>800</v>
      </c>
      <c r="AN407" s="11">
        <f t="shared" si="57"/>
        <v>800</v>
      </c>
      <c r="AO407" s="11">
        <f t="shared" si="57"/>
        <v>800</v>
      </c>
      <c r="AP407" s="11">
        <f t="shared" si="57"/>
        <v>800</v>
      </c>
      <c r="AQ407" s="11">
        <f t="shared" si="57"/>
        <v>3126</v>
      </c>
      <c r="AR407" s="11">
        <f t="shared" si="57"/>
        <v>0</v>
      </c>
      <c r="AS407" s="11">
        <f t="shared" si="57"/>
        <v>0</v>
      </c>
      <c r="AT407" s="11">
        <f t="shared" si="57"/>
        <v>46881.2</v>
      </c>
      <c r="IS407" s="3"/>
    </row>
    <row r="408" spans="2:253">
      <c r="B408" s="2" t="s">
        <v>246</v>
      </c>
      <c r="C408" s="11">
        <f>$C$188+$C$189</f>
        <v>4537</v>
      </c>
      <c r="D408" s="11"/>
      <c r="E408" s="11">
        <f>$E$188+$E$189</f>
        <v>0</v>
      </c>
      <c r="F408" s="11">
        <f>$F$188+$F$189</f>
        <v>0</v>
      </c>
      <c r="G408" s="11">
        <f>$G$188+$G$189</f>
        <v>0</v>
      </c>
      <c r="H408" s="11">
        <f>$H$188+$H$189</f>
        <v>0</v>
      </c>
      <c r="I408" s="11">
        <f>$I$188+$I$189</f>
        <v>0</v>
      </c>
      <c r="J408" s="11">
        <f>$J$188+$J$189</f>
        <v>0</v>
      </c>
      <c r="K408" s="11">
        <f>$K$188+$K$189</f>
        <v>0</v>
      </c>
      <c r="L408" s="11">
        <f>$L$188+$L$189</f>
        <v>0</v>
      </c>
      <c r="M408" s="11">
        <f>$M$188+$M$189</f>
        <v>0</v>
      </c>
      <c r="N408" s="11">
        <f>$N$188+$N$189</f>
        <v>0</v>
      </c>
      <c r="O408" s="11">
        <f>$O$188+$O$189</f>
        <v>0</v>
      </c>
      <c r="P408" s="11">
        <f>$P$188+$P$189</f>
        <v>0</v>
      </c>
      <c r="Q408" s="11">
        <f>$Q$188+$Q$189</f>
        <v>0</v>
      </c>
      <c r="R408" s="11">
        <f>$R$188+$R$189</f>
        <v>0</v>
      </c>
      <c r="S408" s="11">
        <f>$S$188+$S$189</f>
        <v>0</v>
      </c>
      <c r="T408" s="11">
        <f>$T$188+$T$189</f>
        <v>0</v>
      </c>
      <c r="U408" s="11">
        <f>$U$188+$U$189</f>
        <v>0</v>
      </c>
      <c r="V408" s="11">
        <f>$V$188+$V$189</f>
        <v>0</v>
      </c>
      <c r="W408" s="11">
        <f>$W$188+$W$189</f>
        <v>0</v>
      </c>
      <c r="X408" s="11">
        <f>$X$188+$X$189</f>
        <v>750</v>
      </c>
      <c r="Y408" s="11">
        <f>$Y$188+$Y$189</f>
        <v>750</v>
      </c>
      <c r="Z408" s="11">
        <f>$Z$188+$Z$189</f>
        <v>750</v>
      </c>
      <c r="AA408" s="11">
        <f>$AA$188+$AA$189</f>
        <v>750</v>
      </c>
      <c r="AB408" s="11">
        <f>$AB$188+$AB$189</f>
        <v>1537</v>
      </c>
      <c r="AC408" s="11">
        <f>$AC$188+$AC$189</f>
        <v>0</v>
      </c>
      <c r="AD408" s="11">
        <f>$AD$188+$AD$189</f>
        <v>0</v>
      </c>
      <c r="AE408" s="11">
        <f>$AE$188+$AE$189</f>
        <v>0</v>
      </c>
      <c r="AF408" s="11">
        <f>$AF$188+$AF$189</f>
        <v>0</v>
      </c>
      <c r="AG408" s="11">
        <f>$AG$188+$AG$189</f>
        <v>0</v>
      </c>
      <c r="AH408" s="11">
        <f>$AH$188+$AH$189</f>
        <v>0</v>
      </c>
      <c r="AI408" s="11">
        <f>$AI$188+$AI$189</f>
        <v>0</v>
      </c>
      <c r="AJ408" s="11">
        <f>$AJ$188+$AJ$189</f>
        <v>0</v>
      </c>
      <c r="AK408" s="11">
        <f>$AK$188+$AK$189</f>
        <v>0</v>
      </c>
      <c r="AL408" s="11">
        <f>$AL$188+$AL$189</f>
        <v>0</v>
      </c>
      <c r="AM408" s="11">
        <f>$AM$188+$AM$189</f>
        <v>0</v>
      </c>
      <c r="AN408" s="11">
        <f>$AN$188+$AN$189</f>
        <v>0</v>
      </c>
      <c r="AO408" s="11">
        <f>$AO$188+$AO$189</f>
        <v>0</v>
      </c>
      <c r="AP408" s="11">
        <f>$AP$188+$AP$189</f>
        <v>0</v>
      </c>
      <c r="AQ408" s="11">
        <f>$AQ$188+$AQ$189</f>
        <v>0</v>
      </c>
      <c r="AR408" s="11">
        <f>$AR$188+$AR$189</f>
        <v>0</v>
      </c>
      <c r="AS408" s="11">
        <f>$AS$188+$AS$189</f>
        <v>0</v>
      </c>
      <c r="AT408" s="11">
        <f>$AT$188+$AT$189</f>
        <v>4537</v>
      </c>
      <c r="IS408" s="3"/>
    </row>
    <row r="409" spans="2:253">
      <c r="B409" s="2" t="s">
        <v>247</v>
      </c>
      <c r="C409" s="11">
        <f t="shared" ref="C409:AT409" si="58">SUM(C190:C202)</f>
        <v>91543</v>
      </c>
      <c r="D409" s="11"/>
      <c r="E409" s="11">
        <f t="shared" si="58"/>
        <v>0</v>
      </c>
      <c r="F409" s="11">
        <f t="shared" si="58"/>
        <v>0</v>
      </c>
      <c r="G409" s="11">
        <f t="shared" si="58"/>
        <v>0</v>
      </c>
      <c r="H409" s="11">
        <f t="shared" si="58"/>
        <v>0</v>
      </c>
      <c r="I409" s="11">
        <f t="shared" si="58"/>
        <v>0</v>
      </c>
      <c r="J409" s="11">
        <f t="shared" si="58"/>
        <v>0</v>
      </c>
      <c r="K409" s="11">
        <f t="shared" si="58"/>
        <v>0</v>
      </c>
      <c r="L409" s="11">
        <f t="shared" si="58"/>
        <v>0</v>
      </c>
      <c r="M409" s="11">
        <f t="shared" si="58"/>
        <v>0</v>
      </c>
      <c r="N409" s="11">
        <f t="shared" si="58"/>
        <v>0</v>
      </c>
      <c r="O409" s="11">
        <f t="shared" si="58"/>
        <v>0</v>
      </c>
      <c r="P409" s="11">
        <f t="shared" si="58"/>
        <v>0</v>
      </c>
      <c r="Q409" s="11">
        <f t="shared" si="58"/>
        <v>5000</v>
      </c>
      <c r="R409" s="11">
        <f t="shared" si="58"/>
        <v>0</v>
      </c>
      <c r="S409" s="11">
        <f t="shared" si="58"/>
        <v>0</v>
      </c>
      <c r="T409" s="11">
        <f t="shared" si="58"/>
        <v>0</v>
      </c>
      <c r="U409" s="11">
        <f t="shared" si="58"/>
        <v>37500</v>
      </c>
      <c r="V409" s="11">
        <f t="shared" si="58"/>
        <v>0</v>
      </c>
      <c r="W409" s="11">
        <f t="shared" si="58"/>
        <v>0</v>
      </c>
      <c r="X409" s="11">
        <f t="shared" si="58"/>
        <v>37107</v>
      </c>
      <c r="Y409" s="11">
        <f t="shared" si="58"/>
        <v>2075</v>
      </c>
      <c r="Z409" s="11">
        <f t="shared" si="58"/>
        <v>2075</v>
      </c>
      <c r="AA409" s="11">
        <f t="shared" si="58"/>
        <v>6286</v>
      </c>
      <c r="AB409" s="11">
        <f t="shared" si="58"/>
        <v>1500</v>
      </c>
      <c r="AC409" s="11">
        <f t="shared" si="58"/>
        <v>0</v>
      </c>
      <c r="AD409" s="11">
        <f t="shared" si="58"/>
        <v>0</v>
      </c>
      <c r="AE409" s="11">
        <f t="shared" si="58"/>
        <v>0</v>
      </c>
      <c r="AF409" s="11">
        <f t="shared" si="58"/>
        <v>0</v>
      </c>
      <c r="AG409" s="11">
        <f t="shared" si="58"/>
        <v>0</v>
      </c>
      <c r="AH409" s="11">
        <f t="shared" si="58"/>
        <v>0</v>
      </c>
      <c r="AI409" s="11">
        <f t="shared" si="58"/>
        <v>0</v>
      </c>
      <c r="AJ409" s="11">
        <f t="shared" si="58"/>
        <v>0</v>
      </c>
      <c r="AK409" s="11">
        <f t="shared" si="58"/>
        <v>0</v>
      </c>
      <c r="AL409" s="11">
        <f t="shared" si="58"/>
        <v>0</v>
      </c>
      <c r="AM409" s="11">
        <f t="shared" si="58"/>
        <v>0</v>
      </c>
      <c r="AN409" s="11">
        <f t="shared" si="58"/>
        <v>0</v>
      </c>
      <c r="AO409" s="11">
        <f t="shared" si="58"/>
        <v>0</v>
      </c>
      <c r="AP409" s="11">
        <f t="shared" si="58"/>
        <v>0</v>
      </c>
      <c r="AQ409" s="11">
        <f t="shared" si="58"/>
        <v>0</v>
      </c>
      <c r="AR409" s="11">
        <f t="shared" si="58"/>
        <v>0</v>
      </c>
      <c r="AS409" s="11">
        <f t="shared" si="58"/>
        <v>0</v>
      </c>
      <c r="AT409" s="11">
        <f t="shared" si="58"/>
        <v>91543</v>
      </c>
      <c r="IS409" s="3"/>
    </row>
    <row r="410" spans="2:253">
      <c r="B410" s="2" t="s">
        <v>248</v>
      </c>
      <c r="C410" s="11">
        <f t="shared" ref="C410:AT410" si="59">SUM(C203:C211)</f>
        <v>37731</v>
      </c>
      <c r="D410" s="11"/>
      <c r="E410" s="11">
        <f t="shared" si="59"/>
        <v>0</v>
      </c>
      <c r="F410" s="11">
        <f t="shared" si="59"/>
        <v>0</v>
      </c>
      <c r="G410" s="11">
        <f t="shared" si="59"/>
        <v>0</v>
      </c>
      <c r="H410" s="11">
        <f t="shared" si="59"/>
        <v>0</v>
      </c>
      <c r="I410" s="11">
        <f t="shared" si="59"/>
        <v>0</v>
      </c>
      <c r="J410" s="11">
        <f t="shared" si="59"/>
        <v>0</v>
      </c>
      <c r="K410" s="11">
        <f t="shared" si="59"/>
        <v>0</v>
      </c>
      <c r="L410" s="11">
        <f t="shared" si="59"/>
        <v>0</v>
      </c>
      <c r="M410" s="11">
        <f t="shared" si="59"/>
        <v>0</v>
      </c>
      <c r="N410" s="11">
        <f t="shared" si="59"/>
        <v>0</v>
      </c>
      <c r="O410" s="11">
        <f t="shared" si="59"/>
        <v>0</v>
      </c>
      <c r="P410" s="11">
        <f t="shared" si="59"/>
        <v>0</v>
      </c>
      <c r="Q410" s="11">
        <f t="shared" si="59"/>
        <v>0</v>
      </c>
      <c r="R410" s="11">
        <f t="shared" si="59"/>
        <v>0</v>
      </c>
      <c r="S410" s="11">
        <f t="shared" si="59"/>
        <v>10000</v>
      </c>
      <c r="T410" s="11">
        <f t="shared" si="59"/>
        <v>0</v>
      </c>
      <c r="U410" s="11">
        <f t="shared" si="59"/>
        <v>0</v>
      </c>
      <c r="V410" s="11">
        <f t="shared" si="59"/>
        <v>5000</v>
      </c>
      <c r="W410" s="11">
        <f t="shared" si="59"/>
        <v>5000</v>
      </c>
      <c r="X410" s="11">
        <f t="shared" si="59"/>
        <v>12181</v>
      </c>
      <c r="Y410" s="11">
        <f t="shared" si="59"/>
        <v>1800</v>
      </c>
      <c r="Z410" s="11">
        <f t="shared" si="59"/>
        <v>1800</v>
      </c>
      <c r="AA410" s="11">
        <f t="shared" si="59"/>
        <v>1800</v>
      </c>
      <c r="AB410" s="11">
        <f t="shared" si="59"/>
        <v>150</v>
      </c>
      <c r="AC410" s="11">
        <f t="shared" si="59"/>
        <v>0</v>
      </c>
      <c r="AD410" s="11">
        <f t="shared" si="59"/>
        <v>0</v>
      </c>
      <c r="AE410" s="11">
        <f t="shared" si="59"/>
        <v>0</v>
      </c>
      <c r="AF410" s="11">
        <f t="shared" si="59"/>
        <v>0</v>
      </c>
      <c r="AG410" s="11">
        <f t="shared" si="59"/>
        <v>0</v>
      </c>
      <c r="AH410" s="11">
        <f t="shared" si="59"/>
        <v>0</v>
      </c>
      <c r="AI410" s="11">
        <f t="shared" si="59"/>
        <v>0</v>
      </c>
      <c r="AJ410" s="11">
        <f t="shared" si="59"/>
        <v>0</v>
      </c>
      <c r="AK410" s="11">
        <f t="shared" si="59"/>
        <v>0</v>
      </c>
      <c r="AL410" s="11">
        <f t="shared" si="59"/>
        <v>0</v>
      </c>
      <c r="AM410" s="11">
        <f t="shared" si="59"/>
        <v>0</v>
      </c>
      <c r="AN410" s="11">
        <f t="shared" si="59"/>
        <v>0</v>
      </c>
      <c r="AO410" s="11">
        <f t="shared" si="59"/>
        <v>0</v>
      </c>
      <c r="AP410" s="11">
        <f t="shared" si="59"/>
        <v>0</v>
      </c>
      <c r="AQ410" s="11">
        <f t="shared" si="59"/>
        <v>0</v>
      </c>
      <c r="AR410" s="11">
        <f t="shared" si="59"/>
        <v>0</v>
      </c>
      <c r="AS410" s="11">
        <f t="shared" si="59"/>
        <v>0</v>
      </c>
      <c r="AT410" s="11">
        <f t="shared" si="59"/>
        <v>37731</v>
      </c>
      <c r="IS410" s="3"/>
    </row>
    <row r="411" spans="2:253">
      <c r="B411" s="2" t="s">
        <v>249</v>
      </c>
      <c r="C411" s="11">
        <f t="shared" ref="C411:AT411" si="60">SUM(C212:C228)</f>
        <v>99328</v>
      </c>
      <c r="D411" s="11"/>
      <c r="E411" s="11">
        <f t="shared" si="60"/>
        <v>0</v>
      </c>
      <c r="F411" s="11">
        <f t="shared" si="60"/>
        <v>0</v>
      </c>
      <c r="G411" s="11">
        <f t="shared" si="60"/>
        <v>0</v>
      </c>
      <c r="H411" s="11">
        <f t="shared" si="60"/>
        <v>437</v>
      </c>
      <c r="I411" s="11">
        <f t="shared" si="60"/>
        <v>0</v>
      </c>
      <c r="J411" s="11">
        <f t="shared" si="60"/>
        <v>0</v>
      </c>
      <c r="K411" s="11">
        <f t="shared" si="60"/>
        <v>0</v>
      </c>
      <c r="L411" s="11">
        <f t="shared" si="60"/>
        <v>0</v>
      </c>
      <c r="M411" s="11">
        <f t="shared" si="60"/>
        <v>0</v>
      </c>
      <c r="N411" s="11">
        <f t="shared" si="60"/>
        <v>0</v>
      </c>
      <c r="O411" s="11">
        <f t="shared" si="60"/>
        <v>0</v>
      </c>
      <c r="P411" s="11">
        <f t="shared" si="60"/>
        <v>0</v>
      </c>
      <c r="Q411" s="11">
        <f t="shared" si="60"/>
        <v>0</v>
      </c>
      <c r="R411" s="11">
        <f t="shared" si="60"/>
        <v>0</v>
      </c>
      <c r="S411" s="11">
        <f t="shared" si="60"/>
        <v>0</v>
      </c>
      <c r="T411" s="11">
        <f t="shared" si="60"/>
        <v>0</v>
      </c>
      <c r="U411" s="11">
        <f t="shared" si="60"/>
        <v>0</v>
      </c>
      <c r="V411" s="11">
        <f t="shared" si="60"/>
        <v>0</v>
      </c>
      <c r="W411" s="11">
        <f t="shared" si="60"/>
        <v>0</v>
      </c>
      <c r="X411" s="11">
        <f t="shared" si="60"/>
        <v>19250</v>
      </c>
      <c r="Y411" s="11">
        <f t="shared" si="60"/>
        <v>19250</v>
      </c>
      <c r="Z411" s="11">
        <f t="shared" si="60"/>
        <v>19250</v>
      </c>
      <c r="AA411" s="11">
        <f t="shared" si="60"/>
        <v>19250</v>
      </c>
      <c r="AB411" s="11">
        <f t="shared" si="60"/>
        <v>21891</v>
      </c>
      <c r="AC411" s="11">
        <f t="shared" si="60"/>
        <v>0</v>
      </c>
      <c r="AD411" s="11">
        <f t="shared" si="60"/>
        <v>0</v>
      </c>
      <c r="AE411" s="11">
        <f t="shared" si="60"/>
        <v>0</v>
      </c>
      <c r="AF411" s="11">
        <f t="shared" si="60"/>
        <v>0</v>
      </c>
      <c r="AG411" s="11">
        <f t="shared" si="60"/>
        <v>0</v>
      </c>
      <c r="AH411" s="11">
        <f t="shared" si="60"/>
        <v>0</v>
      </c>
      <c r="AI411" s="11">
        <f t="shared" si="60"/>
        <v>0</v>
      </c>
      <c r="AJ411" s="11">
        <f t="shared" si="60"/>
        <v>0</v>
      </c>
      <c r="AK411" s="11">
        <f t="shared" si="60"/>
        <v>0</v>
      </c>
      <c r="AL411" s="11">
        <f t="shared" si="60"/>
        <v>0</v>
      </c>
      <c r="AM411" s="11">
        <f t="shared" si="60"/>
        <v>0</v>
      </c>
      <c r="AN411" s="11">
        <f t="shared" si="60"/>
        <v>0</v>
      </c>
      <c r="AO411" s="11">
        <f t="shared" si="60"/>
        <v>0</v>
      </c>
      <c r="AP411" s="11">
        <f t="shared" si="60"/>
        <v>0</v>
      </c>
      <c r="AQ411" s="11">
        <f t="shared" si="60"/>
        <v>0</v>
      </c>
      <c r="AR411" s="11">
        <f t="shared" si="60"/>
        <v>0</v>
      </c>
      <c r="AS411" s="11">
        <f t="shared" si="60"/>
        <v>0</v>
      </c>
      <c r="AT411" s="11">
        <f t="shared" si="60"/>
        <v>99328</v>
      </c>
      <c r="IS411" s="3"/>
    </row>
    <row r="412" spans="2:253">
      <c r="B412" s="2" t="s">
        <v>137</v>
      </c>
      <c r="C412" s="11">
        <f t="shared" ref="C412:AT412" si="61">SUM(C229:C255)</f>
        <v>142884</v>
      </c>
      <c r="D412" s="11"/>
      <c r="E412" s="11">
        <f t="shared" si="61"/>
        <v>0</v>
      </c>
      <c r="F412" s="11">
        <f t="shared" si="61"/>
        <v>0</v>
      </c>
      <c r="G412" s="11">
        <f t="shared" si="61"/>
        <v>0</v>
      </c>
      <c r="H412" s="11">
        <f t="shared" si="61"/>
        <v>321</v>
      </c>
      <c r="I412" s="11">
        <f t="shared" si="61"/>
        <v>0</v>
      </c>
      <c r="J412" s="11">
        <f t="shared" si="61"/>
        <v>0</v>
      </c>
      <c r="K412" s="11">
        <f t="shared" si="61"/>
        <v>0</v>
      </c>
      <c r="L412" s="11">
        <f t="shared" si="61"/>
        <v>0</v>
      </c>
      <c r="M412" s="11">
        <f t="shared" si="61"/>
        <v>0</v>
      </c>
      <c r="N412" s="11">
        <f t="shared" si="61"/>
        <v>0</v>
      </c>
      <c r="O412" s="11">
        <f t="shared" si="61"/>
        <v>0</v>
      </c>
      <c r="P412" s="11">
        <f t="shared" si="61"/>
        <v>0</v>
      </c>
      <c r="Q412" s="11">
        <f t="shared" si="61"/>
        <v>0</v>
      </c>
      <c r="R412" s="11">
        <f t="shared" si="61"/>
        <v>1765.8333333333333</v>
      </c>
      <c r="S412" s="11">
        <f t="shared" si="61"/>
        <v>3265.833333333333</v>
      </c>
      <c r="T412" s="11">
        <f t="shared" si="61"/>
        <v>9390.8333333333339</v>
      </c>
      <c r="U412" s="11">
        <f t="shared" si="61"/>
        <v>9590.8333333333339</v>
      </c>
      <c r="V412" s="11">
        <f t="shared" si="61"/>
        <v>9590.8333333333339</v>
      </c>
      <c r="W412" s="11">
        <f t="shared" si="61"/>
        <v>10547.833333333334</v>
      </c>
      <c r="X412" s="11">
        <f t="shared" si="61"/>
        <v>21763.75</v>
      </c>
      <c r="Y412" s="11">
        <f t="shared" si="61"/>
        <v>21763.75</v>
      </c>
      <c r="Z412" s="11">
        <f t="shared" si="61"/>
        <v>22609.083333333336</v>
      </c>
      <c r="AA412" s="11">
        <f t="shared" si="61"/>
        <v>23185.583333333336</v>
      </c>
      <c r="AB412" s="11">
        <f t="shared" si="61"/>
        <v>5848.8333333333339</v>
      </c>
      <c r="AC412" s="11">
        <f t="shared" si="61"/>
        <v>2120</v>
      </c>
      <c r="AD412" s="11">
        <f t="shared" si="61"/>
        <v>1120</v>
      </c>
      <c r="AE412" s="11">
        <f t="shared" si="61"/>
        <v>0</v>
      </c>
      <c r="AF412" s="11">
        <f t="shared" si="61"/>
        <v>0</v>
      </c>
      <c r="AG412" s="11">
        <f t="shared" si="61"/>
        <v>0</v>
      </c>
      <c r="AH412" s="11">
        <f t="shared" si="61"/>
        <v>0</v>
      </c>
      <c r="AI412" s="11">
        <f t="shared" si="61"/>
        <v>0</v>
      </c>
      <c r="AJ412" s="11">
        <f t="shared" si="61"/>
        <v>0</v>
      </c>
      <c r="AK412" s="11">
        <f t="shared" si="61"/>
        <v>0</v>
      </c>
      <c r="AL412" s="11">
        <f t="shared" si="61"/>
        <v>0</v>
      </c>
      <c r="AM412" s="11">
        <f t="shared" si="61"/>
        <v>0</v>
      </c>
      <c r="AN412" s="11">
        <f t="shared" si="61"/>
        <v>0</v>
      </c>
      <c r="AO412" s="11">
        <f t="shared" si="61"/>
        <v>0</v>
      </c>
      <c r="AP412" s="11">
        <f t="shared" si="61"/>
        <v>0</v>
      </c>
      <c r="AQ412" s="11">
        <f t="shared" si="61"/>
        <v>0</v>
      </c>
      <c r="AR412" s="11">
        <f t="shared" si="61"/>
        <v>0</v>
      </c>
      <c r="AS412" s="11">
        <f t="shared" si="61"/>
        <v>0</v>
      </c>
      <c r="AT412" s="11">
        <f t="shared" si="61"/>
        <v>142884</v>
      </c>
      <c r="IS412" s="3"/>
    </row>
    <row r="413" spans="2:253">
      <c r="B413" s="2" t="s">
        <v>250</v>
      </c>
      <c r="C413" s="11">
        <f t="shared" ref="C413:AT413" si="62">SUM(C256:C266)</f>
        <v>7330</v>
      </c>
      <c r="D413" s="11"/>
      <c r="E413" s="11">
        <f t="shared" si="62"/>
        <v>0</v>
      </c>
      <c r="F413" s="11">
        <f t="shared" si="62"/>
        <v>0</v>
      </c>
      <c r="G413" s="11">
        <f t="shared" si="62"/>
        <v>0</v>
      </c>
      <c r="H413" s="11">
        <f t="shared" si="62"/>
        <v>250</v>
      </c>
      <c r="I413" s="11">
        <f t="shared" si="62"/>
        <v>0</v>
      </c>
      <c r="J413" s="11">
        <f t="shared" si="62"/>
        <v>0</v>
      </c>
      <c r="K413" s="11">
        <f t="shared" si="62"/>
        <v>0</v>
      </c>
      <c r="L413" s="11">
        <f t="shared" si="62"/>
        <v>0</v>
      </c>
      <c r="M413" s="11">
        <f t="shared" si="62"/>
        <v>0</v>
      </c>
      <c r="N413" s="11">
        <f t="shared" si="62"/>
        <v>0</v>
      </c>
      <c r="O413" s="11">
        <f t="shared" si="62"/>
        <v>0</v>
      </c>
      <c r="P413" s="11">
        <f t="shared" si="62"/>
        <v>0</v>
      </c>
      <c r="Q413" s="11">
        <f t="shared" si="62"/>
        <v>0</v>
      </c>
      <c r="R413" s="11">
        <f t="shared" si="62"/>
        <v>0</v>
      </c>
      <c r="S413" s="11">
        <f t="shared" si="62"/>
        <v>0</v>
      </c>
      <c r="T413" s="11">
        <f t="shared" si="62"/>
        <v>0</v>
      </c>
      <c r="U413" s="11">
        <f t="shared" si="62"/>
        <v>0</v>
      </c>
      <c r="V413" s="11">
        <f t="shared" si="62"/>
        <v>0</v>
      </c>
      <c r="W413" s="11">
        <f t="shared" si="62"/>
        <v>2280</v>
      </c>
      <c r="X413" s="11">
        <f t="shared" si="62"/>
        <v>0</v>
      </c>
      <c r="Y413" s="11">
        <f t="shared" si="62"/>
        <v>0</v>
      </c>
      <c r="Z413" s="11">
        <f t="shared" si="62"/>
        <v>0</v>
      </c>
      <c r="AA413" s="11">
        <f t="shared" si="62"/>
        <v>0</v>
      </c>
      <c r="AB413" s="11">
        <f t="shared" si="62"/>
        <v>0</v>
      </c>
      <c r="AC413" s="11">
        <f t="shared" si="62"/>
        <v>0</v>
      </c>
      <c r="AD413" s="11">
        <f t="shared" si="62"/>
        <v>0</v>
      </c>
      <c r="AE413" s="11">
        <f t="shared" si="62"/>
        <v>0</v>
      </c>
      <c r="AF413" s="11">
        <f t="shared" si="62"/>
        <v>0</v>
      </c>
      <c r="AG413" s="11">
        <f t="shared" si="62"/>
        <v>0</v>
      </c>
      <c r="AH413" s="11">
        <f t="shared" si="62"/>
        <v>0</v>
      </c>
      <c r="AI413" s="11">
        <f t="shared" si="62"/>
        <v>0</v>
      </c>
      <c r="AJ413" s="11">
        <f t="shared" si="62"/>
        <v>0</v>
      </c>
      <c r="AK413" s="11">
        <f t="shared" si="62"/>
        <v>500</v>
      </c>
      <c r="AL413" s="11">
        <f t="shared" si="62"/>
        <v>0</v>
      </c>
      <c r="AM413" s="11">
        <f t="shared" si="62"/>
        <v>0</v>
      </c>
      <c r="AN413" s="11">
        <f t="shared" si="62"/>
        <v>0</v>
      </c>
      <c r="AO413" s="11">
        <f t="shared" si="62"/>
        <v>0</v>
      </c>
      <c r="AP413" s="11">
        <f t="shared" si="62"/>
        <v>0</v>
      </c>
      <c r="AQ413" s="11">
        <f t="shared" si="62"/>
        <v>0</v>
      </c>
      <c r="AR413" s="11">
        <f t="shared" si="62"/>
        <v>4300</v>
      </c>
      <c r="AS413" s="11">
        <f t="shared" si="62"/>
        <v>0</v>
      </c>
      <c r="AT413" s="11">
        <f t="shared" si="62"/>
        <v>7330</v>
      </c>
      <c r="IS413" s="3"/>
    </row>
    <row r="414" spans="2:253">
      <c r="B414" s="2" t="s">
        <v>251</v>
      </c>
      <c r="C414" s="11">
        <f t="shared" ref="C414:AT414" si="63">SUM(C267:C273)</f>
        <v>111063</v>
      </c>
      <c r="D414" s="11"/>
      <c r="E414" s="11">
        <f t="shared" si="63"/>
        <v>0</v>
      </c>
      <c r="F414" s="11">
        <f t="shared" si="63"/>
        <v>0</v>
      </c>
      <c r="G414" s="11">
        <f t="shared" si="63"/>
        <v>0</v>
      </c>
      <c r="H414" s="11">
        <f t="shared" si="63"/>
        <v>0</v>
      </c>
      <c r="I414" s="11">
        <f t="shared" si="63"/>
        <v>500</v>
      </c>
      <c r="J414" s="11">
        <f t="shared" si="63"/>
        <v>0</v>
      </c>
      <c r="K414" s="11">
        <f t="shared" si="63"/>
        <v>0</v>
      </c>
      <c r="L414" s="11">
        <f t="shared" si="63"/>
        <v>0</v>
      </c>
      <c r="M414" s="11">
        <f t="shared" si="63"/>
        <v>0</v>
      </c>
      <c r="N414" s="11">
        <f t="shared" si="63"/>
        <v>0</v>
      </c>
      <c r="O414" s="11">
        <f t="shared" si="63"/>
        <v>0</v>
      </c>
      <c r="P414" s="11">
        <f t="shared" si="63"/>
        <v>0</v>
      </c>
      <c r="Q414" s="11">
        <f t="shared" si="63"/>
        <v>0</v>
      </c>
      <c r="R414" s="11">
        <f t="shared" si="63"/>
        <v>0</v>
      </c>
      <c r="S414" s="11">
        <f t="shared" si="63"/>
        <v>0</v>
      </c>
      <c r="T414" s="11">
        <f t="shared" si="63"/>
        <v>0</v>
      </c>
      <c r="U414" s="11">
        <f t="shared" si="63"/>
        <v>0</v>
      </c>
      <c r="V414" s="11">
        <f t="shared" si="63"/>
        <v>0</v>
      </c>
      <c r="W414" s="11">
        <f t="shared" si="63"/>
        <v>0</v>
      </c>
      <c r="X414" s="11">
        <f t="shared" si="63"/>
        <v>1400</v>
      </c>
      <c r="Y414" s="11">
        <f t="shared" si="63"/>
        <v>1400</v>
      </c>
      <c r="Z414" s="11">
        <f t="shared" si="63"/>
        <v>1400</v>
      </c>
      <c r="AA414" s="11">
        <f t="shared" si="63"/>
        <v>1400</v>
      </c>
      <c r="AB414" s="11">
        <f t="shared" si="63"/>
        <v>1400</v>
      </c>
      <c r="AC414" s="11">
        <f t="shared" si="63"/>
        <v>1100</v>
      </c>
      <c r="AD414" s="11">
        <f t="shared" si="63"/>
        <v>1100</v>
      </c>
      <c r="AE414" s="11">
        <f t="shared" si="63"/>
        <v>1100</v>
      </c>
      <c r="AF414" s="11">
        <f t="shared" si="63"/>
        <v>1100</v>
      </c>
      <c r="AG414" s="11">
        <f t="shared" si="63"/>
        <v>21100</v>
      </c>
      <c r="AH414" s="11">
        <f t="shared" si="63"/>
        <v>1100</v>
      </c>
      <c r="AI414" s="11">
        <f t="shared" si="63"/>
        <v>1100</v>
      </c>
      <c r="AJ414" s="11">
        <f t="shared" si="63"/>
        <v>1100</v>
      </c>
      <c r="AK414" s="11">
        <f t="shared" si="63"/>
        <v>9345.375</v>
      </c>
      <c r="AL414" s="11">
        <f t="shared" si="63"/>
        <v>9345.375</v>
      </c>
      <c r="AM414" s="11">
        <f t="shared" si="63"/>
        <v>9345.375</v>
      </c>
      <c r="AN414" s="11">
        <f t="shared" si="63"/>
        <v>9345.375</v>
      </c>
      <c r="AO414" s="11">
        <f t="shared" si="63"/>
        <v>9345.375</v>
      </c>
      <c r="AP414" s="11">
        <f t="shared" si="63"/>
        <v>9345.375</v>
      </c>
      <c r="AQ414" s="11">
        <f t="shared" si="63"/>
        <v>9345.375</v>
      </c>
      <c r="AR414" s="11">
        <f t="shared" si="63"/>
        <v>9345.375</v>
      </c>
      <c r="AS414" s="11">
        <f t="shared" si="63"/>
        <v>0</v>
      </c>
      <c r="AT414" s="11">
        <f t="shared" si="63"/>
        <v>111063</v>
      </c>
      <c r="IS414" s="3"/>
    </row>
    <row r="415" spans="2:253">
      <c r="B415" s="2" t="s">
        <v>252</v>
      </c>
      <c r="C415" s="11">
        <f t="shared" ref="C415:AT415" si="64">SUM(C274:C280)</f>
        <v>17300</v>
      </c>
      <c r="D415" s="11"/>
      <c r="E415" s="11">
        <f t="shared" si="64"/>
        <v>0</v>
      </c>
      <c r="F415" s="11">
        <f t="shared" si="64"/>
        <v>0</v>
      </c>
      <c r="G415" s="11">
        <f t="shared" si="64"/>
        <v>0</v>
      </c>
      <c r="H415" s="11">
        <f t="shared" si="64"/>
        <v>0</v>
      </c>
      <c r="I415" s="11">
        <f t="shared" si="64"/>
        <v>0</v>
      </c>
      <c r="J415" s="11">
        <f t="shared" si="64"/>
        <v>0</v>
      </c>
      <c r="K415" s="11">
        <f t="shared" si="64"/>
        <v>0</v>
      </c>
      <c r="L415" s="11">
        <f t="shared" si="64"/>
        <v>0</v>
      </c>
      <c r="M415" s="11">
        <f t="shared" si="64"/>
        <v>0</v>
      </c>
      <c r="N415" s="11">
        <f t="shared" si="64"/>
        <v>0</v>
      </c>
      <c r="O415" s="11">
        <f t="shared" si="64"/>
        <v>0</v>
      </c>
      <c r="P415" s="11">
        <f t="shared" si="64"/>
        <v>0</v>
      </c>
      <c r="Q415" s="11">
        <f t="shared" si="64"/>
        <v>0</v>
      </c>
      <c r="R415" s="11">
        <f t="shared" si="64"/>
        <v>0</v>
      </c>
      <c r="S415" s="11">
        <f t="shared" si="64"/>
        <v>0</v>
      </c>
      <c r="T415" s="11">
        <f t="shared" si="64"/>
        <v>0</v>
      </c>
      <c r="U415" s="11">
        <f t="shared" si="64"/>
        <v>0</v>
      </c>
      <c r="V415" s="11">
        <f t="shared" si="64"/>
        <v>0</v>
      </c>
      <c r="W415" s="11">
        <f t="shared" si="64"/>
        <v>0</v>
      </c>
      <c r="X415" s="11">
        <f t="shared" si="64"/>
        <v>0</v>
      </c>
      <c r="Y415" s="11">
        <f t="shared" si="64"/>
        <v>0</v>
      </c>
      <c r="Z415" s="11">
        <f t="shared" si="64"/>
        <v>0</v>
      </c>
      <c r="AA415" s="11">
        <f t="shared" si="64"/>
        <v>0</v>
      </c>
      <c r="AB415" s="11">
        <f t="shared" si="64"/>
        <v>0</v>
      </c>
      <c r="AC415" s="11">
        <f t="shared" si="64"/>
        <v>700</v>
      </c>
      <c r="AD415" s="11">
        <f t="shared" si="64"/>
        <v>2700</v>
      </c>
      <c r="AE415" s="11">
        <f t="shared" si="64"/>
        <v>700</v>
      </c>
      <c r="AF415" s="11">
        <f t="shared" si="64"/>
        <v>700</v>
      </c>
      <c r="AG415" s="11">
        <f t="shared" si="64"/>
        <v>700</v>
      </c>
      <c r="AH415" s="11">
        <f t="shared" si="64"/>
        <v>0</v>
      </c>
      <c r="AI415" s="11">
        <f t="shared" si="64"/>
        <v>0</v>
      </c>
      <c r="AJ415" s="11">
        <f t="shared" si="64"/>
        <v>0</v>
      </c>
      <c r="AK415" s="11">
        <f t="shared" si="64"/>
        <v>0</v>
      </c>
      <c r="AL415" s="11">
        <f t="shared" si="64"/>
        <v>0</v>
      </c>
      <c r="AM415" s="11">
        <f t="shared" si="64"/>
        <v>0</v>
      </c>
      <c r="AN415" s="11">
        <f t="shared" si="64"/>
        <v>0</v>
      </c>
      <c r="AO415" s="11">
        <f t="shared" si="64"/>
        <v>0</v>
      </c>
      <c r="AP415" s="11">
        <f t="shared" si="64"/>
        <v>0</v>
      </c>
      <c r="AQ415" s="11">
        <f t="shared" si="64"/>
        <v>0</v>
      </c>
      <c r="AR415" s="11">
        <f t="shared" si="64"/>
        <v>11800</v>
      </c>
      <c r="AS415" s="11">
        <f t="shared" si="64"/>
        <v>0</v>
      </c>
      <c r="AT415" s="11">
        <f t="shared" si="64"/>
        <v>17300</v>
      </c>
      <c r="IS415" s="3"/>
    </row>
    <row r="416" spans="2:253">
      <c r="B416" s="2" t="s">
        <v>253</v>
      </c>
      <c r="C416" s="11">
        <f t="shared" ref="C416:AT416" si="65">SUM(C281:C283)</f>
        <v>44500</v>
      </c>
      <c r="D416" s="11"/>
      <c r="E416" s="11">
        <f t="shared" si="65"/>
        <v>0</v>
      </c>
      <c r="F416" s="11">
        <f t="shared" si="65"/>
        <v>0</v>
      </c>
      <c r="G416" s="11">
        <f t="shared" si="65"/>
        <v>0</v>
      </c>
      <c r="H416" s="11">
        <f t="shared" si="65"/>
        <v>0</v>
      </c>
      <c r="I416" s="11">
        <f t="shared" si="65"/>
        <v>0</v>
      </c>
      <c r="J416" s="11">
        <f t="shared" si="65"/>
        <v>0</v>
      </c>
      <c r="K416" s="11">
        <f t="shared" si="65"/>
        <v>0</v>
      </c>
      <c r="L416" s="11">
        <f t="shared" si="65"/>
        <v>0</v>
      </c>
      <c r="M416" s="11">
        <f t="shared" si="65"/>
        <v>0</v>
      </c>
      <c r="N416" s="11">
        <f t="shared" si="65"/>
        <v>0</v>
      </c>
      <c r="O416" s="11">
        <f t="shared" si="65"/>
        <v>0</v>
      </c>
      <c r="P416" s="11">
        <f t="shared" si="65"/>
        <v>0</v>
      </c>
      <c r="Q416" s="11">
        <f t="shared" si="65"/>
        <v>0</v>
      </c>
      <c r="R416" s="11">
        <f t="shared" si="65"/>
        <v>0</v>
      </c>
      <c r="S416" s="11">
        <f t="shared" si="65"/>
        <v>0</v>
      </c>
      <c r="T416" s="11">
        <f t="shared" si="65"/>
        <v>0</v>
      </c>
      <c r="U416" s="11">
        <f t="shared" si="65"/>
        <v>0</v>
      </c>
      <c r="V416" s="11">
        <f t="shared" si="65"/>
        <v>0</v>
      </c>
      <c r="W416" s="11">
        <f t="shared" si="65"/>
        <v>0</v>
      </c>
      <c r="X416" s="11">
        <f t="shared" si="65"/>
        <v>0</v>
      </c>
      <c r="Y416" s="11">
        <f t="shared" si="65"/>
        <v>0</v>
      </c>
      <c r="Z416" s="11">
        <f t="shared" si="65"/>
        <v>0</v>
      </c>
      <c r="AA416" s="11">
        <f t="shared" si="65"/>
        <v>0</v>
      </c>
      <c r="AB416" s="11">
        <f t="shared" si="65"/>
        <v>0</v>
      </c>
      <c r="AC416" s="11">
        <f t="shared" si="65"/>
        <v>0</v>
      </c>
      <c r="AD416" s="11">
        <f t="shared" si="65"/>
        <v>17500</v>
      </c>
      <c r="AE416" s="11">
        <f t="shared" si="65"/>
        <v>0</v>
      </c>
      <c r="AF416" s="11">
        <f t="shared" si="65"/>
        <v>0</v>
      </c>
      <c r="AG416" s="11">
        <f t="shared" si="65"/>
        <v>0</v>
      </c>
      <c r="AH416" s="11">
        <f t="shared" si="65"/>
        <v>0</v>
      </c>
      <c r="AI416" s="11">
        <f t="shared" si="65"/>
        <v>0</v>
      </c>
      <c r="AJ416" s="11">
        <f t="shared" si="65"/>
        <v>0</v>
      </c>
      <c r="AK416" s="11">
        <f t="shared" si="65"/>
        <v>17500</v>
      </c>
      <c r="AL416" s="11">
        <f t="shared" si="65"/>
        <v>0</v>
      </c>
      <c r="AM416" s="11">
        <f t="shared" si="65"/>
        <v>0</v>
      </c>
      <c r="AN416" s="11">
        <f t="shared" si="65"/>
        <v>0</v>
      </c>
      <c r="AO416" s="11">
        <f t="shared" si="65"/>
        <v>0</v>
      </c>
      <c r="AP416" s="11">
        <f t="shared" si="65"/>
        <v>0</v>
      </c>
      <c r="AQ416" s="11">
        <f t="shared" si="65"/>
        <v>0</v>
      </c>
      <c r="AR416" s="11">
        <f t="shared" si="65"/>
        <v>9500</v>
      </c>
      <c r="AS416" s="11">
        <f t="shared" si="65"/>
        <v>0</v>
      </c>
      <c r="AT416" s="11">
        <f t="shared" si="65"/>
        <v>44500</v>
      </c>
      <c r="IS416" s="3"/>
    </row>
    <row r="417" spans="2:253">
      <c r="B417" s="2" t="s">
        <v>254</v>
      </c>
      <c r="C417" s="11">
        <f t="shared" ref="C417:AT417" si="66">SUM(C284:C322)</f>
        <v>188398</v>
      </c>
      <c r="D417" s="11"/>
      <c r="E417" s="11">
        <f t="shared" si="66"/>
        <v>0</v>
      </c>
      <c r="F417" s="11">
        <f t="shared" si="66"/>
        <v>0</v>
      </c>
      <c r="G417" s="11">
        <f t="shared" si="66"/>
        <v>0</v>
      </c>
      <c r="H417" s="11">
        <f t="shared" si="66"/>
        <v>1040</v>
      </c>
      <c r="I417" s="11">
        <f t="shared" si="66"/>
        <v>0</v>
      </c>
      <c r="J417" s="11">
        <f t="shared" si="66"/>
        <v>0</v>
      </c>
      <c r="K417" s="11">
        <f t="shared" si="66"/>
        <v>0</v>
      </c>
      <c r="L417" s="11">
        <f t="shared" si="66"/>
        <v>0</v>
      </c>
      <c r="M417" s="11">
        <f t="shared" si="66"/>
        <v>1500</v>
      </c>
      <c r="N417" s="11">
        <f t="shared" si="66"/>
        <v>1500</v>
      </c>
      <c r="O417" s="11">
        <f t="shared" si="66"/>
        <v>110</v>
      </c>
      <c r="P417" s="11">
        <f t="shared" si="66"/>
        <v>210</v>
      </c>
      <c r="Q417" s="11">
        <f t="shared" si="66"/>
        <v>410</v>
      </c>
      <c r="R417" s="11">
        <f t="shared" si="66"/>
        <v>510</v>
      </c>
      <c r="S417" s="11">
        <f t="shared" si="66"/>
        <v>610</v>
      </c>
      <c r="T417" s="11">
        <f t="shared" si="66"/>
        <v>710</v>
      </c>
      <c r="U417" s="11">
        <f t="shared" si="66"/>
        <v>2183</v>
      </c>
      <c r="V417" s="11">
        <f t="shared" si="66"/>
        <v>1120</v>
      </c>
      <c r="W417" s="11">
        <f t="shared" si="66"/>
        <v>17120</v>
      </c>
      <c r="X417" s="11">
        <f t="shared" si="66"/>
        <v>28040</v>
      </c>
      <c r="Y417" s="11">
        <f t="shared" si="66"/>
        <v>28040</v>
      </c>
      <c r="Z417" s="11">
        <f t="shared" si="66"/>
        <v>28040</v>
      </c>
      <c r="AA417" s="11">
        <f t="shared" si="66"/>
        <v>33640</v>
      </c>
      <c r="AB417" s="11">
        <f t="shared" si="66"/>
        <v>41265</v>
      </c>
      <c r="AC417" s="11">
        <f t="shared" si="66"/>
        <v>250</v>
      </c>
      <c r="AD417" s="11">
        <f t="shared" si="66"/>
        <v>250</v>
      </c>
      <c r="AE417" s="11">
        <f t="shared" si="66"/>
        <v>250</v>
      </c>
      <c r="AF417" s="11">
        <f t="shared" si="66"/>
        <v>250</v>
      </c>
      <c r="AG417" s="11">
        <f t="shared" si="66"/>
        <v>250</v>
      </c>
      <c r="AH417" s="11">
        <f t="shared" si="66"/>
        <v>250</v>
      </c>
      <c r="AI417" s="11">
        <f t="shared" si="66"/>
        <v>250</v>
      </c>
      <c r="AJ417" s="11">
        <f t="shared" si="66"/>
        <v>250</v>
      </c>
      <c r="AK417" s="11">
        <f t="shared" si="66"/>
        <v>50</v>
      </c>
      <c r="AL417" s="11">
        <f t="shared" si="66"/>
        <v>50</v>
      </c>
      <c r="AM417" s="11">
        <f t="shared" si="66"/>
        <v>50</v>
      </c>
      <c r="AN417" s="11">
        <f t="shared" si="66"/>
        <v>50</v>
      </c>
      <c r="AO417" s="11">
        <f t="shared" si="66"/>
        <v>50</v>
      </c>
      <c r="AP417" s="11">
        <f t="shared" si="66"/>
        <v>50</v>
      </c>
      <c r="AQ417" s="11">
        <f t="shared" si="66"/>
        <v>50</v>
      </c>
      <c r="AR417" s="11">
        <f t="shared" si="66"/>
        <v>0</v>
      </c>
      <c r="AS417" s="11">
        <f t="shared" si="66"/>
        <v>0</v>
      </c>
      <c r="AT417" s="11">
        <f t="shared" si="66"/>
        <v>188398</v>
      </c>
      <c r="IS417" s="3"/>
    </row>
    <row r="418" spans="2:253">
      <c r="B418" s="2" t="s">
        <v>255</v>
      </c>
      <c r="C418" s="11">
        <f t="shared" ref="C418:AT418" si="67">SUM(C323:C340)</f>
        <v>101408</v>
      </c>
      <c r="D418" s="11"/>
      <c r="E418" s="11">
        <f t="shared" si="67"/>
        <v>0</v>
      </c>
      <c r="F418" s="11">
        <f t="shared" si="67"/>
        <v>0</v>
      </c>
      <c r="G418" s="11">
        <f t="shared" si="67"/>
        <v>0</v>
      </c>
      <c r="H418" s="11">
        <f t="shared" si="67"/>
        <v>1756</v>
      </c>
      <c r="I418" s="11">
        <f t="shared" si="67"/>
        <v>0</v>
      </c>
      <c r="J418" s="11">
        <f t="shared" si="67"/>
        <v>0</v>
      </c>
      <c r="K418" s="11">
        <f t="shared" si="67"/>
        <v>0</v>
      </c>
      <c r="L418" s="11">
        <f t="shared" si="67"/>
        <v>0</v>
      </c>
      <c r="M418" s="11">
        <f t="shared" si="67"/>
        <v>612</v>
      </c>
      <c r="N418" s="11">
        <f t="shared" si="67"/>
        <v>512</v>
      </c>
      <c r="O418" s="11">
        <f t="shared" si="67"/>
        <v>0</v>
      </c>
      <c r="P418" s="11">
        <f t="shared" si="67"/>
        <v>0</v>
      </c>
      <c r="Q418" s="11">
        <f t="shared" si="67"/>
        <v>100</v>
      </c>
      <c r="R418" s="11">
        <f t="shared" si="67"/>
        <v>0</v>
      </c>
      <c r="S418" s="11">
        <f t="shared" si="67"/>
        <v>0</v>
      </c>
      <c r="T418" s="11">
        <f t="shared" si="67"/>
        <v>0</v>
      </c>
      <c r="U418" s="11">
        <f t="shared" si="67"/>
        <v>0</v>
      </c>
      <c r="V418" s="11">
        <f t="shared" si="67"/>
        <v>100</v>
      </c>
      <c r="W418" s="11">
        <f t="shared" si="67"/>
        <v>5000</v>
      </c>
      <c r="X418" s="11">
        <f t="shared" si="67"/>
        <v>14009.75</v>
      </c>
      <c r="Y418" s="11">
        <f t="shared" si="67"/>
        <v>14009.75</v>
      </c>
      <c r="Z418" s="11">
        <f t="shared" si="67"/>
        <v>14109.75</v>
      </c>
      <c r="AA418" s="11">
        <f t="shared" si="67"/>
        <v>14009.75</v>
      </c>
      <c r="AB418" s="11">
        <f t="shared" si="67"/>
        <v>37089</v>
      </c>
      <c r="AC418" s="11">
        <f t="shared" si="67"/>
        <v>0</v>
      </c>
      <c r="AD418" s="11">
        <f t="shared" si="67"/>
        <v>0</v>
      </c>
      <c r="AE418" s="11">
        <f t="shared" si="67"/>
        <v>100</v>
      </c>
      <c r="AF418" s="11">
        <f t="shared" si="67"/>
        <v>0</v>
      </c>
      <c r="AG418" s="11">
        <f t="shared" si="67"/>
        <v>0</v>
      </c>
      <c r="AH418" s="11">
        <f t="shared" si="67"/>
        <v>0</v>
      </c>
      <c r="AI418" s="11">
        <f t="shared" si="67"/>
        <v>0</v>
      </c>
      <c r="AJ418" s="11">
        <f t="shared" si="67"/>
        <v>0</v>
      </c>
      <c r="AK418" s="11">
        <f t="shared" si="67"/>
        <v>0</v>
      </c>
      <c r="AL418" s="11">
        <f t="shared" si="67"/>
        <v>0</v>
      </c>
      <c r="AM418" s="11">
        <f t="shared" si="67"/>
        <v>0</v>
      </c>
      <c r="AN418" s="11">
        <f t="shared" si="67"/>
        <v>0</v>
      </c>
      <c r="AO418" s="11">
        <f t="shared" si="67"/>
        <v>0</v>
      </c>
      <c r="AP418" s="11">
        <f t="shared" si="67"/>
        <v>0</v>
      </c>
      <c r="AQ418" s="11">
        <f t="shared" si="67"/>
        <v>0</v>
      </c>
      <c r="AR418" s="11">
        <f t="shared" si="67"/>
        <v>0</v>
      </c>
      <c r="AS418" s="11">
        <f t="shared" si="67"/>
        <v>0</v>
      </c>
      <c r="AT418" s="11">
        <f t="shared" si="67"/>
        <v>101408</v>
      </c>
      <c r="IS418" s="3"/>
    </row>
    <row r="419" spans="2:253">
      <c r="B419" s="2" t="s">
        <v>256</v>
      </c>
      <c r="C419" s="11">
        <f t="shared" ref="C419:AT419" si="68">SUM(C341:C342)</f>
        <v>2250</v>
      </c>
      <c r="D419" s="11"/>
      <c r="E419" s="11">
        <f t="shared" si="68"/>
        <v>0</v>
      </c>
      <c r="F419" s="11">
        <f t="shared" si="68"/>
        <v>0</v>
      </c>
      <c r="G419" s="11">
        <f t="shared" si="68"/>
        <v>0</v>
      </c>
      <c r="H419" s="11">
        <f t="shared" si="68"/>
        <v>0</v>
      </c>
      <c r="I419" s="11">
        <f t="shared" si="68"/>
        <v>0</v>
      </c>
      <c r="J419" s="11">
        <f t="shared" si="68"/>
        <v>0</v>
      </c>
      <c r="K419" s="11">
        <f t="shared" si="68"/>
        <v>0</v>
      </c>
      <c r="L419" s="11">
        <f t="shared" si="68"/>
        <v>0</v>
      </c>
      <c r="M419" s="11">
        <f t="shared" si="68"/>
        <v>0</v>
      </c>
      <c r="N419" s="11">
        <f t="shared" si="68"/>
        <v>100</v>
      </c>
      <c r="O419" s="11">
        <f t="shared" si="68"/>
        <v>100</v>
      </c>
      <c r="P419" s="11">
        <f t="shared" si="68"/>
        <v>100</v>
      </c>
      <c r="Q419" s="11">
        <f t="shared" si="68"/>
        <v>100</v>
      </c>
      <c r="R419" s="11">
        <f t="shared" si="68"/>
        <v>100</v>
      </c>
      <c r="S419" s="11">
        <f t="shared" si="68"/>
        <v>100</v>
      </c>
      <c r="T419" s="11">
        <f t="shared" si="68"/>
        <v>100</v>
      </c>
      <c r="U419" s="11">
        <f t="shared" si="68"/>
        <v>100</v>
      </c>
      <c r="V419" s="11">
        <f t="shared" si="68"/>
        <v>100</v>
      </c>
      <c r="W419" s="11">
        <f t="shared" si="68"/>
        <v>100</v>
      </c>
      <c r="X419" s="11">
        <f t="shared" si="68"/>
        <v>0</v>
      </c>
      <c r="Y419" s="11">
        <f t="shared" si="68"/>
        <v>0</v>
      </c>
      <c r="Z419" s="11">
        <f t="shared" si="68"/>
        <v>0</v>
      </c>
      <c r="AA419" s="11">
        <f t="shared" si="68"/>
        <v>0</v>
      </c>
      <c r="AB419" s="11">
        <f t="shared" si="68"/>
        <v>0</v>
      </c>
      <c r="AC419" s="11">
        <f t="shared" si="68"/>
        <v>0</v>
      </c>
      <c r="AD419" s="11">
        <f t="shared" si="68"/>
        <v>0</v>
      </c>
      <c r="AE419" s="11">
        <f t="shared" si="68"/>
        <v>0</v>
      </c>
      <c r="AF419" s="11">
        <f t="shared" si="68"/>
        <v>0</v>
      </c>
      <c r="AG419" s="11">
        <f t="shared" si="68"/>
        <v>0</v>
      </c>
      <c r="AH419" s="11">
        <f t="shared" si="68"/>
        <v>0</v>
      </c>
      <c r="AI419" s="11">
        <f t="shared" si="68"/>
        <v>0</v>
      </c>
      <c r="AJ419" s="11">
        <f t="shared" si="68"/>
        <v>0</v>
      </c>
      <c r="AK419" s="11">
        <f t="shared" si="68"/>
        <v>0</v>
      </c>
      <c r="AL419" s="11">
        <f t="shared" si="68"/>
        <v>0</v>
      </c>
      <c r="AM419" s="11">
        <f t="shared" si="68"/>
        <v>0</v>
      </c>
      <c r="AN419" s="11">
        <f t="shared" si="68"/>
        <v>0</v>
      </c>
      <c r="AO419" s="11">
        <f t="shared" si="68"/>
        <v>0</v>
      </c>
      <c r="AP419" s="11">
        <f t="shared" si="68"/>
        <v>0</v>
      </c>
      <c r="AQ419" s="11">
        <f t="shared" si="68"/>
        <v>0</v>
      </c>
      <c r="AR419" s="11">
        <f t="shared" si="68"/>
        <v>1250</v>
      </c>
      <c r="AS419" s="11">
        <f t="shared" si="68"/>
        <v>0</v>
      </c>
      <c r="AT419" s="11">
        <f t="shared" si="68"/>
        <v>2250</v>
      </c>
      <c r="IS419" s="3"/>
    </row>
    <row r="420" spans="2:253">
      <c r="B420" s="2" t="s">
        <v>257</v>
      </c>
      <c r="C420" s="11">
        <f t="shared" ref="C420:AT420" si="69">SUM(C343:C357)</f>
        <v>103002</v>
      </c>
      <c r="D420" s="11"/>
      <c r="E420" s="11">
        <f t="shared" si="69"/>
        <v>0</v>
      </c>
      <c r="F420" s="11">
        <f t="shared" si="69"/>
        <v>0</v>
      </c>
      <c r="G420" s="11">
        <f t="shared" si="69"/>
        <v>0</v>
      </c>
      <c r="H420" s="11">
        <f t="shared" si="69"/>
        <v>105</v>
      </c>
      <c r="I420" s="11">
        <f t="shared" si="69"/>
        <v>0</v>
      </c>
      <c r="J420" s="11">
        <f t="shared" si="69"/>
        <v>28.571428571428573</v>
      </c>
      <c r="K420" s="11">
        <f t="shared" si="69"/>
        <v>43394.571428571428</v>
      </c>
      <c r="L420" s="11">
        <f t="shared" si="69"/>
        <v>28.571428571428573</v>
      </c>
      <c r="M420" s="11">
        <f t="shared" si="69"/>
        <v>28.571428571428573</v>
      </c>
      <c r="N420" s="11">
        <f t="shared" si="69"/>
        <v>28.571428571428573</v>
      </c>
      <c r="O420" s="11">
        <f t="shared" si="69"/>
        <v>28.571428571428573</v>
      </c>
      <c r="P420" s="11">
        <f t="shared" si="69"/>
        <v>28.571428571428573</v>
      </c>
      <c r="Q420" s="11">
        <f t="shared" si="69"/>
        <v>28.571428571428573</v>
      </c>
      <c r="R420" s="11">
        <f t="shared" si="69"/>
        <v>28.571428571428573</v>
      </c>
      <c r="S420" s="11">
        <f t="shared" si="69"/>
        <v>28.571428571428573</v>
      </c>
      <c r="T420" s="11">
        <f t="shared" si="69"/>
        <v>28.571428571428573</v>
      </c>
      <c r="U420" s="11">
        <f t="shared" si="69"/>
        <v>28.571428571428573</v>
      </c>
      <c r="V420" s="11">
        <f t="shared" si="69"/>
        <v>28.571428571428573</v>
      </c>
      <c r="W420" s="11">
        <f t="shared" si="69"/>
        <v>6522.5714285714284</v>
      </c>
      <c r="X420" s="11">
        <f t="shared" si="69"/>
        <v>182.37142857142859</v>
      </c>
      <c r="Y420" s="11">
        <f t="shared" si="69"/>
        <v>182.37142857142859</v>
      </c>
      <c r="Z420" s="11">
        <f t="shared" si="69"/>
        <v>182.37142857142859</v>
      </c>
      <c r="AA420" s="11">
        <f t="shared" si="69"/>
        <v>182.37142857142859</v>
      </c>
      <c r="AB420" s="11">
        <f t="shared" si="69"/>
        <v>181.37142857142859</v>
      </c>
      <c r="AC420" s="11">
        <f t="shared" si="69"/>
        <v>5028.5714285714284</v>
      </c>
      <c r="AD420" s="11">
        <f t="shared" si="69"/>
        <v>28.571428571428573</v>
      </c>
      <c r="AE420" s="11">
        <f t="shared" si="69"/>
        <v>28.571428571428573</v>
      </c>
      <c r="AF420" s="11">
        <f t="shared" si="69"/>
        <v>28.571428571428573</v>
      </c>
      <c r="AG420" s="11">
        <f t="shared" si="69"/>
        <v>28.571428571428573</v>
      </c>
      <c r="AH420" s="11">
        <f t="shared" si="69"/>
        <v>28.571428571428573</v>
      </c>
      <c r="AI420" s="11">
        <f t="shared" si="69"/>
        <v>28.571428571428573</v>
      </c>
      <c r="AJ420" s="11">
        <f t="shared" si="69"/>
        <v>28.571428571428573</v>
      </c>
      <c r="AK420" s="11">
        <f t="shared" si="69"/>
        <v>28.571428571428573</v>
      </c>
      <c r="AL420" s="11">
        <f t="shared" si="69"/>
        <v>28.571428571428573</v>
      </c>
      <c r="AM420" s="11">
        <f t="shared" si="69"/>
        <v>28.571428571428573</v>
      </c>
      <c r="AN420" s="11">
        <f t="shared" si="69"/>
        <v>28.571428571428573</v>
      </c>
      <c r="AO420" s="11">
        <f t="shared" si="69"/>
        <v>28.571428571428573</v>
      </c>
      <c r="AP420" s="11">
        <f t="shared" si="69"/>
        <v>28.571428571428573</v>
      </c>
      <c r="AQ420" s="11">
        <f t="shared" si="69"/>
        <v>28.571428571428573</v>
      </c>
      <c r="AR420" s="11">
        <f t="shared" si="69"/>
        <v>46297.571428571428</v>
      </c>
      <c r="AS420" s="11">
        <f t="shared" si="69"/>
        <v>0</v>
      </c>
      <c r="AT420" s="11">
        <f t="shared" si="69"/>
        <v>103002</v>
      </c>
      <c r="IS420" s="3"/>
    </row>
    <row r="421" spans="2:253">
      <c r="B421" s="2" t="s">
        <v>258</v>
      </c>
      <c r="C421" s="11">
        <f t="shared" ref="C421:AT421" si="70">SUM(C358:C377)</f>
        <v>40165</v>
      </c>
      <c r="D421" s="11"/>
      <c r="E421" s="11">
        <f t="shared" si="70"/>
        <v>100</v>
      </c>
      <c r="F421" s="11">
        <f t="shared" si="70"/>
        <v>100</v>
      </c>
      <c r="G421" s="11">
        <f t="shared" si="70"/>
        <v>100</v>
      </c>
      <c r="H421" s="11">
        <f t="shared" si="70"/>
        <v>266</v>
      </c>
      <c r="I421" s="11">
        <f t="shared" si="70"/>
        <v>100</v>
      </c>
      <c r="J421" s="11">
        <f t="shared" si="70"/>
        <v>100</v>
      </c>
      <c r="K421" s="11">
        <f t="shared" si="70"/>
        <v>100</v>
      </c>
      <c r="L421" s="11">
        <f t="shared" si="70"/>
        <v>580</v>
      </c>
      <c r="M421" s="11">
        <f t="shared" si="70"/>
        <v>707.77777777777783</v>
      </c>
      <c r="N421" s="11">
        <f t="shared" si="70"/>
        <v>757.77777777777783</v>
      </c>
      <c r="O421" s="11">
        <f t="shared" si="70"/>
        <v>1374.4444444444446</v>
      </c>
      <c r="P421" s="11">
        <f t="shared" si="70"/>
        <v>874.44444444444457</v>
      </c>
      <c r="Q421" s="11">
        <f t="shared" si="70"/>
        <v>1174.4444444444446</v>
      </c>
      <c r="R421" s="11">
        <f t="shared" si="70"/>
        <v>1324.4444444444446</v>
      </c>
      <c r="S421" s="11">
        <f t="shared" si="70"/>
        <v>1399.4444444444446</v>
      </c>
      <c r="T421" s="11">
        <f t="shared" si="70"/>
        <v>1399.4444444444446</v>
      </c>
      <c r="U421" s="11">
        <f t="shared" si="70"/>
        <v>1399.4444444444446</v>
      </c>
      <c r="V421" s="11">
        <f t="shared" si="70"/>
        <v>1399.4444444444446</v>
      </c>
      <c r="W421" s="11">
        <f t="shared" si="70"/>
        <v>7547.4444444444443</v>
      </c>
      <c r="X421" s="11">
        <f t="shared" si="70"/>
        <v>1091.6666666666665</v>
      </c>
      <c r="Y421" s="11">
        <f t="shared" si="70"/>
        <v>1091.6666666666665</v>
      </c>
      <c r="Z421" s="11">
        <f t="shared" si="70"/>
        <v>1475.9999999999998</v>
      </c>
      <c r="AA421" s="11">
        <f t="shared" si="70"/>
        <v>1475.9999999999998</v>
      </c>
      <c r="AB421" s="11">
        <f t="shared" si="70"/>
        <v>7474</v>
      </c>
      <c r="AC421" s="11">
        <f t="shared" si="70"/>
        <v>914.44444444444446</v>
      </c>
      <c r="AD421" s="11">
        <f t="shared" si="70"/>
        <v>914.44444444444446</v>
      </c>
      <c r="AE421" s="11">
        <f t="shared" si="70"/>
        <v>514.44444444444434</v>
      </c>
      <c r="AF421" s="11">
        <f t="shared" si="70"/>
        <v>514.44444444444434</v>
      </c>
      <c r="AG421" s="11">
        <f t="shared" si="70"/>
        <v>464.4444444444444</v>
      </c>
      <c r="AH421" s="11">
        <f t="shared" si="70"/>
        <v>464.4444444444444</v>
      </c>
      <c r="AI421" s="11">
        <f t="shared" si="70"/>
        <v>464.4444444444444</v>
      </c>
      <c r="AJ421" s="11">
        <f t="shared" si="70"/>
        <v>166.66666666666669</v>
      </c>
      <c r="AK421" s="11">
        <f t="shared" si="70"/>
        <v>166.66666666666669</v>
      </c>
      <c r="AL421" s="11">
        <f t="shared" si="70"/>
        <v>166.66666666666669</v>
      </c>
      <c r="AM421" s="11">
        <f t="shared" si="70"/>
        <v>166.66666666666669</v>
      </c>
      <c r="AN421" s="11">
        <f t="shared" si="70"/>
        <v>166.66666666666669</v>
      </c>
      <c r="AO421" s="11">
        <f t="shared" si="70"/>
        <v>166.66666666666669</v>
      </c>
      <c r="AP421" s="11">
        <f t="shared" si="70"/>
        <v>166.66666666666669</v>
      </c>
      <c r="AQ421" s="11">
        <f t="shared" si="70"/>
        <v>116.66666666666669</v>
      </c>
      <c r="AR421" s="11">
        <f t="shared" si="70"/>
        <v>1216.6666666666667</v>
      </c>
      <c r="AS421" s="11">
        <f t="shared" si="70"/>
        <v>0</v>
      </c>
      <c r="AT421" s="11">
        <f t="shared" si="70"/>
        <v>40165</v>
      </c>
      <c r="IS421" s="3"/>
    </row>
    <row r="422" spans="2:253">
      <c r="B422" s="2" t="s">
        <v>259</v>
      </c>
      <c r="C422" s="11">
        <f>$C$378</f>
        <v>151126</v>
      </c>
      <c r="D422" s="11"/>
      <c r="E422" s="11">
        <f>$E$378</f>
        <v>0</v>
      </c>
      <c r="F422" s="11">
        <f>$F$378</f>
        <v>0</v>
      </c>
      <c r="G422" s="11">
        <f>$G$378</f>
        <v>0</v>
      </c>
      <c r="H422" s="11">
        <f>$H$378</f>
        <v>0</v>
      </c>
      <c r="I422" s="11">
        <f>$I$378</f>
        <v>0</v>
      </c>
      <c r="J422" s="11">
        <f>$J$378</f>
        <v>0</v>
      </c>
      <c r="K422" s="11">
        <f>$K$378</f>
        <v>0</v>
      </c>
      <c r="L422" s="11">
        <f>$L$378</f>
        <v>0</v>
      </c>
      <c r="M422" s="11">
        <f>$M$378</f>
        <v>0</v>
      </c>
      <c r="N422" s="11">
        <f>$N$378</f>
        <v>0</v>
      </c>
      <c r="O422" s="11">
        <f>$O$378</f>
        <v>0</v>
      </c>
      <c r="P422" s="11">
        <f>$P$378</f>
        <v>0</v>
      </c>
      <c r="Q422" s="11">
        <f>$Q$378</f>
        <v>0</v>
      </c>
      <c r="R422" s="11">
        <f>$R$378</f>
        <v>0</v>
      </c>
      <c r="S422" s="11">
        <f>$S$378</f>
        <v>0</v>
      </c>
      <c r="T422" s="11">
        <f>$T$378</f>
        <v>0</v>
      </c>
      <c r="U422" s="11">
        <f>$U$378</f>
        <v>0</v>
      </c>
      <c r="V422" s="11">
        <f>$V$378</f>
        <v>0</v>
      </c>
      <c r="W422" s="11">
        <f>$W$378</f>
        <v>0</v>
      </c>
      <c r="X422" s="11">
        <f>$X$378</f>
        <v>0</v>
      </c>
      <c r="Y422" s="11">
        <f>$Y$378</f>
        <v>3626</v>
      </c>
      <c r="Z422" s="11">
        <f>$Z$378</f>
        <v>2500</v>
      </c>
      <c r="AA422" s="11">
        <f>$AA$378</f>
        <v>2500</v>
      </c>
      <c r="AB422" s="11">
        <f>$AB$378</f>
        <v>2500</v>
      </c>
      <c r="AC422" s="11">
        <f>$AC$378</f>
        <v>2500</v>
      </c>
      <c r="AD422" s="11">
        <f>$AD$378</f>
        <v>2500</v>
      </c>
      <c r="AE422" s="11">
        <f>$AE$378</f>
        <v>2500</v>
      </c>
      <c r="AF422" s="11">
        <f>$AF$378</f>
        <v>2500</v>
      </c>
      <c r="AG422" s="11">
        <f>$AG$378</f>
        <v>2500</v>
      </c>
      <c r="AH422" s="11">
        <f>$AH$378</f>
        <v>2500</v>
      </c>
      <c r="AI422" s="11">
        <f>$AI$378</f>
        <v>2500</v>
      </c>
      <c r="AJ422" s="11">
        <f>$AJ$378</f>
        <v>2500</v>
      </c>
      <c r="AK422" s="11">
        <f>$AK$378</f>
        <v>2500</v>
      </c>
      <c r="AL422" s="11">
        <f>$AL$378</f>
        <v>2500</v>
      </c>
      <c r="AM422" s="11">
        <f>$AM$378</f>
        <v>2500</v>
      </c>
      <c r="AN422" s="11">
        <f>$AN$378</f>
        <v>1675</v>
      </c>
      <c r="AO422" s="11">
        <f>$AO$378</f>
        <v>0</v>
      </c>
      <c r="AP422" s="11">
        <f>$AP$378</f>
        <v>0</v>
      </c>
      <c r="AQ422" s="11">
        <f>$AQ$378</f>
        <v>0</v>
      </c>
      <c r="AR422" s="11">
        <f>$AR$378</f>
        <v>0</v>
      </c>
      <c r="AS422" s="11">
        <f>$AS$378</f>
        <v>110825</v>
      </c>
      <c r="AT422" s="11">
        <f>$AT$378</f>
        <v>151126</v>
      </c>
      <c r="IS422" s="3"/>
    </row>
    <row r="423" spans="2:253">
      <c r="B423" s="2" t="s">
        <v>260</v>
      </c>
      <c r="C423" s="11">
        <f>$C$379</f>
        <v>20000</v>
      </c>
      <c r="D423" s="11"/>
      <c r="E423" s="11">
        <f>$E$379</f>
        <v>0</v>
      </c>
      <c r="F423" s="11">
        <f>$F$379</f>
        <v>0</v>
      </c>
      <c r="G423" s="11">
        <f>$G$379</f>
        <v>0</v>
      </c>
      <c r="H423" s="11">
        <f>$H$379</f>
        <v>0</v>
      </c>
      <c r="I423" s="11">
        <f>$I$379</f>
        <v>0</v>
      </c>
      <c r="J423" s="11">
        <f>$J$379</f>
        <v>0</v>
      </c>
      <c r="K423" s="11">
        <f>$K$379</f>
        <v>0</v>
      </c>
      <c r="L423" s="11">
        <f>$L$379</f>
        <v>0</v>
      </c>
      <c r="M423" s="11">
        <f>$M$379</f>
        <v>0</v>
      </c>
      <c r="N423" s="11">
        <f>$N$379</f>
        <v>0</v>
      </c>
      <c r="O423" s="11">
        <f>$O$379</f>
        <v>0</v>
      </c>
      <c r="P423" s="11">
        <f>$P$379</f>
        <v>0</v>
      </c>
      <c r="Q423" s="11">
        <f>$Q$379</f>
        <v>0</v>
      </c>
      <c r="R423" s="11">
        <f>$R$379</f>
        <v>0</v>
      </c>
      <c r="S423" s="11">
        <f>$S$379</f>
        <v>0</v>
      </c>
      <c r="T423" s="11">
        <f>$T$379</f>
        <v>0</v>
      </c>
      <c r="U423" s="11">
        <f>$U$379</f>
        <v>0</v>
      </c>
      <c r="V423" s="11">
        <f>$V$379</f>
        <v>0</v>
      </c>
      <c r="W423" s="11">
        <f>$W$379</f>
        <v>0</v>
      </c>
      <c r="X423" s="11">
        <f>$X$379</f>
        <v>0</v>
      </c>
      <c r="Y423" s="11">
        <f>$Y$379</f>
        <v>0</v>
      </c>
      <c r="Z423" s="11">
        <f>$Z$379</f>
        <v>0</v>
      </c>
      <c r="AA423" s="11">
        <f>$AA$379</f>
        <v>0</v>
      </c>
      <c r="AB423" s="11">
        <f>$AB$379</f>
        <v>0</v>
      </c>
      <c r="AC423" s="11">
        <f>$AC$379</f>
        <v>0</v>
      </c>
      <c r="AD423" s="11">
        <f>$AD$379</f>
        <v>0</v>
      </c>
      <c r="AE423" s="11">
        <f>$AE$379</f>
        <v>0</v>
      </c>
      <c r="AF423" s="11">
        <f>$AF$379</f>
        <v>0</v>
      </c>
      <c r="AG423" s="11">
        <f>$AG$379</f>
        <v>0</v>
      </c>
      <c r="AH423" s="11">
        <f>$AH$379</f>
        <v>0</v>
      </c>
      <c r="AI423" s="11">
        <f>$AI$379</f>
        <v>0</v>
      </c>
      <c r="AJ423" s="11">
        <f>$AJ$379</f>
        <v>0</v>
      </c>
      <c r="AK423" s="11">
        <f>$AK$379</f>
        <v>0</v>
      </c>
      <c r="AL423" s="11">
        <f>$AL$379</f>
        <v>0</v>
      </c>
      <c r="AM423" s="11">
        <f>$AM$379</f>
        <v>0</v>
      </c>
      <c r="AN423" s="11">
        <f>$AN$379</f>
        <v>0</v>
      </c>
      <c r="AO423" s="11">
        <f>$AO$379</f>
        <v>0</v>
      </c>
      <c r="AP423" s="11">
        <f>$AP$379</f>
        <v>0</v>
      </c>
      <c r="AQ423" s="11">
        <f>$AQ$379</f>
        <v>0</v>
      </c>
      <c r="AR423" s="11">
        <f>$AR$379</f>
        <v>0</v>
      </c>
      <c r="AS423" s="11">
        <f>$AS$379</f>
        <v>20000</v>
      </c>
      <c r="AT423" s="11">
        <f>$AT$379</f>
        <v>20000</v>
      </c>
      <c r="IS423" s="3"/>
    </row>
    <row r="424" spans="2:253">
      <c r="C424" s="11" t="s">
        <v>273</v>
      </c>
      <c r="D424" s="11"/>
      <c r="E424" s="11" t="s">
        <v>273</v>
      </c>
      <c r="F424" s="11" t="s">
        <v>273</v>
      </c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 t="s">
        <v>273</v>
      </c>
      <c r="W424" s="11"/>
      <c r="X424" s="11"/>
      <c r="Y424" s="11"/>
      <c r="Z424" s="11"/>
      <c r="AA424" s="11"/>
      <c r="AB424" s="11"/>
      <c r="AC424" s="11"/>
      <c r="AD424" s="11"/>
      <c r="AE424" s="11"/>
      <c r="AF424" s="11" t="s">
        <v>273</v>
      </c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2" t="s">
        <v>278</v>
      </c>
      <c r="IS424" s="3"/>
    </row>
    <row r="425" spans="2:253">
      <c r="C425" s="11">
        <f t="shared" ref="C425:AT425" si="71">SUM(C396:C424)</f>
        <v>2301304.1919999998</v>
      </c>
      <c r="D425" s="11"/>
      <c r="E425" s="11">
        <f t="shared" si="71"/>
        <v>115020</v>
      </c>
      <c r="F425" s="11">
        <f t="shared" si="71"/>
        <v>5590</v>
      </c>
      <c r="G425" s="11">
        <f t="shared" si="71"/>
        <v>5590</v>
      </c>
      <c r="H425" s="11">
        <f t="shared" si="71"/>
        <v>12078</v>
      </c>
      <c r="I425" s="11">
        <f t="shared" si="71"/>
        <v>6090</v>
      </c>
      <c r="J425" s="11">
        <f t="shared" si="71"/>
        <v>5868.5714285714284</v>
      </c>
      <c r="K425" s="11">
        <f t="shared" si="71"/>
        <v>54744.571428571428</v>
      </c>
      <c r="L425" s="11">
        <f t="shared" si="71"/>
        <v>16858.571428571428</v>
      </c>
      <c r="M425" s="11">
        <f t="shared" si="71"/>
        <v>14098.349206349207</v>
      </c>
      <c r="N425" s="11">
        <f t="shared" si="71"/>
        <v>8888.3492063492067</v>
      </c>
      <c r="O425" s="11">
        <f t="shared" si="71"/>
        <v>13363.015873015875</v>
      </c>
      <c r="P425" s="11">
        <f t="shared" si="71"/>
        <v>7203.0158730158728</v>
      </c>
      <c r="Q425" s="11">
        <f t="shared" si="71"/>
        <v>26217.658730158731</v>
      </c>
      <c r="R425" s="11">
        <f t="shared" si="71"/>
        <v>14924.492063492065</v>
      </c>
      <c r="S425" s="11">
        <f t="shared" si="71"/>
        <v>32801.425396825391</v>
      </c>
      <c r="T425" s="11">
        <f t="shared" si="71"/>
        <v>30403.125396825395</v>
      </c>
      <c r="U425" s="11">
        <f t="shared" si="71"/>
        <v>75736.458730158731</v>
      </c>
      <c r="V425" s="11">
        <f t="shared" si="71"/>
        <v>108126.75873015876</v>
      </c>
      <c r="W425" s="11">
        <f t="shared" si="71"/>
        <v>97782.752063492066</v>
      </c>
      <c r="X425" s="11">
        <f t="shared" si="71"/>
        <v>296465.81904761906</v>
      </c>
      <c r="Y425" s="11">
        <f t="shared" si="71"/>
        <v>199812.06904761906</v>
      </c>
      <c r="Z425" s="11">
        <f t="shared" si="71"/>
        <v>197667.40238095241</v>
      </c>
      <c r="AA425" s="11">
        <f t="shared" si="71"/>
        <v>221196.26904761908</v>
      </c>
      <c r="AB425" s="11">
        <f t="shared" si="71"/>
        <v>247764.26771428576</v>
      </c>
      <c r="AC425" s="11">
        <f t="shared" si="71"/>
        <v>42116.463492063493</v>
      </c>
      <c r="AD425" s="11">
        <f t="shared" si="71"/>
        <v>41018.963492063493</v>
      </c>
      <c r="AE425" s="11">
        <f t="shared" si="71"/>
        <v>14003.415873015874</v>
      </c>
      <c r="AF425" s="11">
        <f t="shared" si="71"/>
        <v>13063.415873015874</v>
      </c>
      <c r="AG425" s="11">
        <f t="shared" si="71"/>
        <v>33013.415873015874</v>
      </c>
      <c r="AH425" s="11">
        <f t="shared" si="71"/>
        <v>12313.415873015874</v>
      </c>
      <c r="AI425" s="11">
        <f t="shared" si="71"/>
        <v>12313.415873015874</v>
      </c>
      <c r="AJ425" s="11">
        <f t="shared" si="71"/>
        <v>13135.638095238095</v>
      </c>
      <c r="AK425" s="11">
        <f t="shared" si="71"/>
        <v>-17654.186904761937</v>
      </c>
      <c r="AL425" s="11">
        <f t="shared" si="71"/>
        <v>17950.613095238095</v>
      </c>
      <c r="AM425" s="11">
        <f t="shared" si="71"/>
        <v>17950.613095238095</v>
      </c>
      <c r="AN425" s="11">
        <f t="shared" si="71"/>
        <v>17125.613095238095</v>
      </c>
      <c r="AO425" s="11">
        <f t="shared" si="71"/>
        <v>15450.613095238095</v>
      </c>
      <c r="AP425" s="11">
        <f t="shared" si="71"/>
        <v>15450.613095238095</v>
      </c>
      <c r="AQ425" s="11">
        <f t="shared" si="71"/>
        <v>17726.613095238095</v>
      </c>
      <c r="AR425" s="11">
        <f t="shared" si="71"/>
        <v>91209.613095238092</v>
      </c>
      <c r="AS425" s="11">
        <f t="shared" si="71"/>
        <v>130825</v>
      </c>
      <c r="AT425" s="11">
        <f t="shared" si="71"/>
        <v>2301304.1919999998</v>
      </c>
      <c r="IS425" s="3"/>
    </row>
    <row r="426" spans="2:253">
      <c r="B426" s="2" t="s">
        <v>261</v>
      </c>
      <c r="C426" s="11"/>
      <c r="D426" s="11"/>
      <c r="E426" s="11">
        <f>SUMIF($D13:$D379,$D$8,E13:E379)*0.2</f>
        <v>18938</v>
      </c>
      <c r="F426" s="11">
        <f>SUMIF($D13:$D379,$D$8,F13:F379)*0.2</f>
        <v>1098</v>
      </c>
      <c r="G426" s="11">
        <f t="shared" ref="G426:AS426" si="72">SUMIF($D13:$D379,$D$8,G13:G379)*0.2</f>
        <v>1098</v>
      </c>
      <c r="H426" s="11">
        <f t="shared" si="72"/>
        <v>1098</v>
      </c>
      <c r="I426" s="11">
        <f t="shared" si="72"/>
        <v>1098</v>
      </c>
      <c r="J426" s="11">
        <f t="shared" si="72"/>
        <v>1148</v>
      </c>
      <c r="K426" s="11">
        <f t="shared" si="72"/>
        <v>7348</v>
      </c>
      <c r="L426" s="11">
        <f t="shared" si="72"/>
        <v>2164</v>
      </c>
      <c r="M426" s="11">
        <f t="shared" si="72"/>
        <v>1164</v>
      </c>
      <c r="N426" s="11">
        <f t="shared" si="72"/>
        <v>1164</v>
      </c>
      <c r="O426" s="11">
        <f t="shared" si="72"/>
        <v>1270.6666666666667</v>
      </c>
      <c r="P426" s="11">
        <f t="shared" si="72"/>
        <v>1190.6666666666667</v>
      </c>
      <c r="Q426" s="11">
        <f t="shared" si="72"/>
        <v>4142.666666666667</v>
      </c>
      <c r="R426" s="11">
        <f t="shared" si="72"/>
        <v>2272.666666666667</v>
      </c>
      <c r="S426" s="11">
        <f t="shared" si="72"/>
        <v>4572.666666666667</v>
      </c>
      <c r="T426" s="11">
        <f t="shared" si="72"/>
        <v>2297.666666666667</v>
      </c>
      <c r="U426" s="11">
        <f t="shared" si="72"/>
        <v>7837.6666666666679</v>
      </c>
      <c r="V426" s="11">
        <f t="shared" si="72"/>
        <v>7017.3466666666682</v>
      </c>
      <c r="W426" s="11">
        <f t="shared" si="72"/>
        <v>4393.666666666667</v>
      </c>
      <c r="X426" s="11">
        <f t="shared" si="72"/>
        <v>38126.456666666672</v>
      </c>
      <c r="Y426" s="11">
        <f t="shared" si="72"/>
        <v>21326.456666666665</v>
      </c>
      <c r="Z426" s="11">
        <f t="shared" si="72"/>
        <v>20326.456666666665</v>
      </c>
      <c r="AA426" s="11">
        <f t="shared" si="72"/>
        <v>20326.456666666665</v>
      </c>
      <c r="AB426" s="11">
        <f t="shared" si="72"/>
        <v>9101.5066666666662</v>
      </c>
      <c r="AC426" s="11">
        <f t="shared" si="72"/>
        <v>4394.666666666667</v>
      </c>
      <c r="AD426" s="11">
        <f t="shared" si="72"/>
        <v>5950.666666666667</v>
      </c>
      <c r="AE426" s="11">
        <f t="shared" si="72"/>
        <v>1890.666666666667</v>
      </c>
      <c r="AF426" s="11">
        <f t="shared" si="72"/>
        <v>1722.666666666667</v>
      </c>
      <c r="AG426" s="11">
        <f t="shared" si="72"/>
        <v>5722.666666666667</v>
      </c>
      <c r="AH426" s="11">
        <f t="shared" si="72"/>
        <v>1602.6666666666667</v>
      </c>
      <c r="AI426" s="11">
        <f t="shared" si="72"/>
        <v>1602.6666666666667</v>
      </c>
      <c r="AJ426" s="11">
        <f t="shared" si="72"/>
        <v>1558.6666666666667</v>
      </c>
      <c r="AK426" s="11">
        <f t="shared" si="72"/>
        <v>4068.0616666666665</v>
      </c>
      <c r="AL426" s="11">
        <f t="shared" si="72"/>
        <v>3047.7416666666668</v>
      </c>
      <c r="AM426" s="11">
        <f t="shared" si="72"/>
        <v>3047.7416666666668</v>
      </c>
      <c r="AN426" s="11">
        <f t="shared" si="72"/>
        <v>3047.7416666666668</v>
      </c>
      <c r="AO426" s="11">
        <f t="shared" si="72"/>
        <v>3047.7416666666668</v>
      </c>
      <c r="AP426" s="11">
        <f t="shared" si="72"/>
        <v>3047.7416666666668</v>
      </c>
      <c r="AQ426" s="11">
        <f t="shared" si="72"/>
        <v>3512.9416666666666</v>
      </c>
      <c r="AR426" s="11">
        <f t="shared" si="72"/>
        <v>8585.7416666666668</v>
      </c>
      <c r="AS426" s="11">
        <f t="shared" si="72"/>
        <v>0</v>
      </c>
      <c r="AT426" s="11">
        <f t="shared" ref="AT426:AT427" si="73">SUM(E426:AS426)</f>
        <v>236371.79999999993</v>
      </c>
      <c r="IS426" s="3"/>
    </row>
    <row r="427" spans="2:253">
      <c r="B427" s="2" t="s">
        <v>262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>
        <f>-SUM(E426:I426)</f>
        <v>-23330</v>
      </c>
      <c r="P427" s="11"/>
      <c r="Q427" s="11"/>
      <c r="R427" s="11"/>
      <c r="S427" s="11"/>
      <c r="T427" s="11">
        <f>-SUM(J426:M426)</f>
        <v>-11824</v>
      </c>
      <c r="U427" s="11"/>
      <c r="V427" s="11"/>
      <c r="W427" s="11"/>
      <c r="X427" s="11">
        <f>-SUM(N426:Q426)</f>
        <v>-7768.0000000000009</v>
      </c>
      <c r="Y427" s="11"/>
      <c r="Z427" s="11"/>
      <c r="AA427" s="11"/>
      <c r="AB427" s="11"/>
      <c r="AC427" s="11">
        <f>-SUM(R426:V426)</f>
        <v>-23998.013333333336</v>
      </c>
      <c r="AD427" s="11"/>
      <c r="AE427" s="11"/>
      <c r="AF427" s="11"/>
      <c r="AG427" s="11">
        <f>-SUM(W426:Z426)</f>
        <v>-84173.036666666667</v>
      </c>
      <c r="AH427" s="11"/>
      <c r="AI427" s="11"/>
      <c r="AJ427" s="11"/>
      <c r="AK427" s="11">
        <f>-SUM(AA426:AD426)</f>
        <v>-39773.296666666662</v>
      </c>
      <c r="AL427" s="11"/>
      <c r="AM427" s="11"/>
      <c r="AN427" s="11"/>
      <c r="AO427" s="11"/>
      <c r="AP427" s="11">
        <f>-SUM(AE426:AI426)</f>
        <v>-12541.333333333332</v>
      </c>
      <c r="AQ427" s="11"/>
      <c r="AR427" s="11"/>
      <c r="AS427" s="11">
        <f>-SUM(AJ426:AR426)</f>
        <v>-32964.120000000003</v>
      </c>
      <c r="AT427" s="11">
        <f t="shared" si="73"/>
        <v>-236371.8</v>
      </c>
      <c r="IS427" s="3"/>
    </row>
    <row r="428" spans="2:253">
      <c r="C428" s="11" t="s">
        <v>273</v>
      </c>
      <c r="D428" s="11"/>
      <c r="E428" s="11" t="s">
        <v>273</v>
      </c>
      <c r="F428" s="11" t="s">
        <v>273</v>
      </c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 t="s">
        <v>273</v>
      </c>
      <c r="W428" s="11"/>
      <c r="X428" s="11"/>
      <c r="Y428" s="11"/>
      <c r="Z428" s="11"/>
      <c r="AA428" s="11"/>
      <c r="AB428" s="11"/>
      <c r="AC428" s="11"/>
      <c r="AD428" s="11"/>
      <c r="AE428" s="11"/>
      <c r="AF428" s="11" t="s">
        <v>273</v>
      </c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2" t="s">
        <v>278</v>
      </c>
      <c r="IS428" s="3"/>
    </row>
    <row r="429" spans="2:253">
      <c r="B429" s="2" t="s">
        <v>263</v>
      </c>
      <c r="C429" s="11">
        <f>$C$425</f>
        <v>2301304.1919999998</v>
      </c>
      <c r="D429" s="11"/>
      <c r="E429" s="11">
        <f>$E$425</f>
        <v>115020</v>
      </c>
      <c r="F429" s="11">
        <f>$E$429+$F$425</f>
        <v>120610</v>
      </c>
      <c r="G429" s="11">
        <f>$F$429+$G$425</f>
        <v>126200</v>
      </c>
      <c r="H429" s="11">
        <f>$G$429+$H$425</f>
        <v>138278</v>
      </c>
      <c r="I429" s="11">
        <f>$H$429+$I$425</f>
        <v>144368</v>
      </c>
      <c r="J429" s="11">
        <f>$I$429+$J$425</f>
        <v>150236.57142857142</v>
      </c>
      <c r="K429" s="11">
        <f>$J$429+$K$425</f>
        <v>204981.14285714284</v>
      </c>
      <c r="L429" s="11">
        <f>$K$429+$L$425</f>
        <v>221839.71428571426</v>
      </c>
      <c r="M429" s="11">
        <f>$L$429+$M$425</f>
        <v>235938.06349206346</v>
      </c>
      <c r="N429" s="11">
        <f>$M$429+$N$425</f>
        <v>244826.41269841266</v>
      </c>
      <c r="O429" s="11">
        <f>$N$429+$O$425</f>
        <v>258189.42857142855</v>
      </c>
      <c r="P429" s="11">
        <f>$O$429+$P$425</f>
        <v>265392.44444444444</v>
      </c>
      <c r="Q429" s="11">
        <f>$P$429+$Q$425</f>
        <v>291610.10317460319</v>
      </c>
      <c r="R429" s="11">
        <f>$Q$429+$R$425</f>
        <v>306534.59523809527</v>
      </c>
      <c r="S429" s="11">
        <f>$R$429+$S$425</f>
        <v>339336.02063492069</v>
      </c>
      <c r="T429" s="11">
        <f>$S$429+$T$425</f>
        <v>369739.14603174606</v>
      </c>
      <c r="U429" s="11">
        <f>$T$429+$U$425</f>
        <v>445475.6047619048</v>
      </c>
      <c r="V429" s="11">
        <f>$U$429+$V$425</f>
        <v>553602.3634920636</v>
      </c>
      <c r="W429" s="11">
        <f>$V$429+$W$425</f>
        <v>651385.11555555568</v>
      </c>
      <c r="X429" s="11">
        <f>$W$429+$X$425</f>
        <v>947850.93460317468</v>
      </c>
      <c r="Y429" s="11">
        <f>$X$429+$Y$425</f>
        <v>1147663.0036507938</v>
      </c>
      <c r="Z429" s="11">
        <f>$Y$429+$Z$425</f>
        <v>1345330.4060317462</v>
      </c>
      <c r="AA429" s="11">
        <f>$Z$429+$AA$425</f>
        <v>1566526.6750793653</v>
      </c>
      <c r="AB429" s="11">
        <f>$AA$429+$AB$425</f>
        <v>1814290.942793651</v>
      </c>
      <c r="AC429" s="11">
        <f>$AB$429+$AC$425</f>
        <v>1856407.4062857146</v>
      </c>
      <c r="AD429" s="11">
        <f>$AC$429+$AD$425</f>
        <v>1897426.3697777782</v>
      </c>
      <c r="AE429" s="11">
        <f>$AD$429+$AE$425</f>
        <v>1911429.7856507939</v>
      </c>
      <c r="AF429" s="11">
        <f>$AE$429+$AF$425</f>
        <v>1924493.2015238097</v>
      </c>
      <c r="AG429" s="11">
        <f>$AF$429+$AG$425</f>
        <v>1957506.6173968255</v>
      </c>
      <c r="AH429" s="11">
        <f>$AG$429+$AH$425</f>
        <v>1969820.0332698412</v>
      </c>
      <c r="AI429" s="11">
        <f>$AH$429+$AI$425</f>
        <v>1982133.449142857</v>
      </c>
      <c r="AJ429" s="11">
        <f>$AI$429+$AJ$425</f>
        <v>1995269.087238095</v>
      </c>
      <c r="AK429" s="11">
        <f>$AJ$429+$AK$425</f>
        <v>1977614.9003333331</v>
      </c>
      <c r="AL429" s="11">
        <f>$AK$429+$AL$425</f>
        <v>1995565.5134285712</v>
      </c>
      <c r="AM429" s="11">
        <f>$AL$429+$AM$425</f>
        <v>2013516.1265238093</v>
      </c>
      <c r="AN429" s="11">
        <f>$AM$429+$AN$425</f>
        <v>2030641.7396190474</v>
      </c>
      <c r="AO429" s="11">
        <f>$AN$429+$AO$425</f>
        <v>2046092.3527142855</v>
      </c>
      <c r="AP429" s="11">
        <f>$AO$429+$AP$425</f>
        <v>2061542.9658095236</v>
      </c>
      <c r="AQ429" s="11">
        <f>$AP$429+$AQ$425</f>
        <v>2079269.5789047617</v>
      </c>
      <c r="AR429" s="11">
        <f>$AQ$429+$AR$425</f>
        <v>2170479.1919999998</v>
      </c>
      <c r="AS429" s="11">
        <f>$AR$429+$AS$425</f>
        <v>2301304.1919999998</v>
      </c>
      <c r="AT429" s="11">
        <f>$AR$429+$AS$425</f>
        <v>2301304.1919999998</v>
      </c>
      <c r="IS429" s="3"/>
    </row>
    <row r="430" spans="2:253">
      <c r="C430" s="11" t="s">
        <v>273</v>
      </c>
      <c r="D430" s="11"/>
      <c r="E430" s="11" t="s">
        <v>273</v>
      </c>
      <c r="F430" s="11" t="s">
        <v>273</v>
      </c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 t="s">
        <v>273</v>
      </c>
      <c r="W430" s="11"/>
      <c r="X430" s="11"/>
      <c r="Y430" s="11"/>
      <c r="Z430" s="11"/>
      <c r="AA430" s="11"/>
      <c r="AB430" s="11"/>
      <c r="AC430" s="11"/>
      <c r="AD430" s="11"/>
      <c r="AE430" s="11"/>
      <c r="AF430" s="11" t="s">
        <v>273</v>
      </c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2" t="s">
        <v>278</v>
      </c>
      <c r="IS430" s="3"/>
    </row>
    <row r="431" spans="2:253">
      <c r="B431" s="2" t="s">
        <v>264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IS431" s="3"/>
    </row>
    <row r="432" spans="2:253">
      <c r="B432" s="2" t="s">
        <v>265</v>
      </c>
      <c r="C432" s="11">
        <f>SUM(E432:AS432)</f>
        <v>1901232</v>
      </c>
      <c r="D432" s="11"/>
      <c r="E432" s="11">
        <f>17530+74600+2800+15000+39940</f>
        <v>149870</v>
      </c>
      <c r="F432" s="11"/>
      <c r="G432" s="11"/>
      <c r="H432" s="11"/>
      <c r="I432" s="11"/>
      <c r="J432" s="11">
        <v>200000</v>
      </c>
      <c r="K432" s="11"/>
      <c r="L432" s="11"/>
      <c r="M432" s="11"/>
      <c r="N432" s="11"/>
      <c r="O432" s="11"/>
      <c r="P432" s="11"/>
      <c r="Q432" s="11">
        <v>200000</v>
      </c>
      <c r="R432" s="11"/>
      <c r="S432" s="11"/>
      <c r="T432" s="11"/>
      <c r="U432" s="11"/>
      <c r="V432" s="11">
        <f>1400000-200000</f>
        <v>1200000</v>
      </c>
      <c r="W432" s="11"/>
      <c r="X432" s="11"/>
      <c r="Y432" s="11"/>
      <c r="Z432" s="11"/>
      <c r="AA432" s="11"/>
      <c r="AB432" s="11">
        <v>131649</v>
      </c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>
        <v>19713</v>
      </c>
      <c r="AT432" s="11">
        <f>SUM(E432:AS432)</f>
        <v>1901232</v>
      </c>
      <c r="IS432" s="3"/>
    </row>
    <row r="433" spans="2:253">
      <c r="B433" s="2" t="s">
        <v>266</v>
      </c>
      <c r="C433" s="11">
        <f>SUM(E433:AS433)</f>
        <v>400072</v>
      </c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>
        <v>322000</v>
      </c>
      <c r="AO433" s="11"/>
      <c r="AP433" s="11"/>
      <c r="AQ433" s="11"/>
      <c r="AR433" s="11"/>
      <c r="AS433" s="11">
        <v>78072</v>
      </c>
      <c r="AT433" s="11">
        <f>SUM(E433:AS433)</f>
        <v>400072</v>
      </c>
      <c r="AU433" s="18"/>
      <c r="IS433" s="3"/>
    </row>
    <row r="434" spans="2:253">
      <c r="C434" s="11" t="s">
        <v>273</v>
      </c>
      <c r="D434" s="11"/>
      <c r="E434" s="11" t="s">
        <v>273</v>
      </c>
      <c r="F434" s="11" t="s">
        <v>273</v>
      </c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 t="s">
        <v>273</v>
      </c>
      <c r="W434" s="11"/>
      <c r="X434" s="11"/>
      <c r="Y434" s="11"/>
      <c r="Z434" s="11"/>
      <c r="AA434" s="11"/>
      <c r="AB434" s="11"/>
      <c r="AC434" s="11"/>
      <c r="AD434" s="11"/>
      <c r="AE434" s="11"/>
      <c r="AF434" s="11" t="s">
        <v>273</v>
      </c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2" t="s">
        <v>278</v>
      </c>
      <c r="IS434" s="3"/>
    </row>
    <row r="435" spans="2:253">
      <c r="C435" s="11">
        <f t="shared" ref="C435:AT435" si="74">SUM(C431:C434)</f>
        <v>2301304</v>
      </c>
      <c r="D435" s="11"/>
      <c r="E435" s="11">
        <f t="shared" si="74"/>
        <v>149870</v>
      </c>
      <c r="F435" s="11">
        <f t="shared" si="74"/>
        <v>0</v>
      </c>
      <c r="G435" s="11">
        <f t="shared" si="74"/>
        <v>0</v>
      </c>
      <c r="H435" s="11">
        <f t="shared" si="74"/>
        <v>0</v>
      </c>
      <c r="I435" s="11">
        <f t="shared" si="74"/>
        <v>0</v>
      </c>
      <c r="J435" s="11">
        <f t="shared" si="74"/>
        <v>200000</v>
      </c>
      <c r="K435" s="11">
        <f t="shared" si="74"/>
        <v>0</v>
      </c>
      <c r="L435" s="11">
        <f t="shared" si="74"/>
        <v>0</v>
      </c>
      <c r="M435" s="11">
        <f t="shared" si="74"/>
        <v>0</v>
      </c>
      <c r="N435" s="11">
        <f t="shared" si="74"/>
        <v>0</v>
      </c>
      <c r="O435" s="11">
        <f t="shared" si="74"/>
        <v>0</v>
      </c>
      <c r="P435" s="11">
        <f t="shared" si="74"/>
        <v>0</v>
      </c>
      <c r="Q435" s="11">
        <f t="shared" si="74"/>
        <v>200000</v>
      </c>
      <c r="R435" s="11">
        <f t="shared" si="74"/>
        <v>0</v>
      </c>
      <c r="S435" s="11">
        <f t="shared" si="74"/>
        <v>0</v>
      </c>
      <c r="T435" s="11">
        <f t="shared" si="74"/>
        <v>0</v>
      </c>
      <c r="U435" s="11">
        <f t="shared" si="74"/>
        <v>0</v>
      </c>
      <c r="V435" s="11">
        <f t="shared" si="74"/>
        <v>1200000</v>
      </c>
      <c r="W435" s="11">
        <f t="shared" si="74"/>
        <v>0</v>
      </c>
      <c r="X435" s="11">
        <f t="shared" si="74"/>
        <v>0</v>
      </c>
      <c r="Y435" s="11">
        <f t="shared" si="74"/>
        <v>0</v>
      </c>
      <c r="Z435" s="11">
        <f t="shared" si="74"/>
        <v>0</v>
      </c>
      <c r="AA435" s="11">
        <f t="shared" si="74"/>
        <v>0</v>
      </c>
      <c r="AB435" s="11">
        <f t="shared" si="74"/>
        <v>131649</v>
      </c>
      <c r="AC435" s="11">
        <f t="shared" si="74"/>
        <v>0</v>
      </c>
      <c r="AD435" s="11">
        <f t="shared" si="74"/>
        <v>0</v>
      </c>
      <c r="AE435" s="11">
        <f t="shared" si="74"/>
        <v>0</v>
      </c>
      <c r="AF435" s="11">
        <f t="shared" si="74"/>
        <v>0</v>
      </c>
      <c r="AG435" s="11">
        <f t="shared" si="74"/>
        <v>0</v>
      </c>
      <c r="AH435" s="11">
        <f t="shared" si="74"/>
        <v>0</v>
      </c>
      <c r="AI435" s="11">
        <f t="shared" si="74"/>
        <v>0</v>
      </c>
      <c r="AJ435" s="11">
        <f t="shared" si="74"/>
        <v>0</v>
      </c>
      <c r="AK435" s="11">
        <f t="shared" si="74"/>
        <v>0</v>
      </c>
      <c r="AL435" s="11">
        <f t="shared" si="74"/>
        <v>0</v>
      </c>
      <c r="AM435" s="11">
        <f t="shared" si="74"/>
        <v>0</v>
      </c>
      <c r="AN435" s="11">
        <f t="shared" si="74"/>
        <v>322000</v>
      </c>
      <c r="AO435" s="11">
        <f t="shared" si="74"/>
        <v>0</v>
      </c>
      <c r="AP435" s="11">
        <f t="shared" si="74"/>
        <v>0</v>
      </c>
      <c r="AQ435" s="11">
        <f t="shared" si="74"/>
        <v>0</v>
      </c>
      <c r="AR435" s="11">
        <f t="shared" si="74"/>
        <v>0</v>
      </c>
      <c r="AS435" s="11">
        <f t="shared" si="74"/>
        <v>97785</v>
      </c>
      <c r="AT435" s="11">
        <f t="shared" si="74"/>
        <v>2301304</v>
      </c>
      <c r="IS435" s="3"/>
    </row>
    <row r="436" spans="2:253">
      <c r="C436" s="11" t="s">
        <v>273</v>
      </c>
      <c r="D436" s="11"/>
      <c r="E436" s="11" t="s">
        <v>273</v>
      </c>
      <c r="F436" s="11" t="s">
        <v>273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 t="s">
        <v>273</v>
      </c>
      <c r="W436" s="11"/>
      <c r="X436" s="11"/>
      <c r="Y436" s="11"/>
      <c r="Z436" s="11"/>
      <c r="AA436" s="11"/>
      <c r="AB436" s="11"/>
      <c r="AC436" s="11"/>
      <c r="AD436" s="11"/>
      <c r="AE436" s="11"/>
      <c r="AF436" s="11" t="s">
        <v>273</v>
      </c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2" t="s">
        <v>278</v>
      </c>
      <c r="IS436" s="3"/>
    </row>
    <row r="437" spans="2:253">
      <c r="B437" s="2" t="s">
        <v>267</v>
      </c>
      <c r="C437" s="11">
        <f>$C$435</f>
        <v>2301304</v>
      </c>
      <c r="D437" s="11"/>
      <c r="E437" s="11">
        <f>$E$435</f>
        <v>149870</v>
      </c>
      <c r="F437" s="11">
        <f>$E$437+$F$435</f>
        <v>149870</v>
      </c>
      <c r="G437" s="11">
        <f>$F$437+$G$435</f>
        <v>149870</v>
      </c>
      <c r="H437" s="11">
        <f>$G$437+$H$435</f>
        <v>149870</v>
      </c>
      <c r="I437" s="11">
        <f>$H$437+$I$435</f>
        <v>149870</v>
      </c>
      <c r="J437" s="11">
        <f>$I$437+$J$435</f>
        <v>349870</v>
      </c>
      <c r="K437" s="11">
        <f>$J$437+$K$435</f>
        <v>349870</v>
      </c>
      <c r="L437" s="11">
        <f>$K$437+$L$435</f>
        <v>349870</v>
      </c>
      <c r="M437" s="11">
        <f>$L$437+$M$435</f>
        <v>349870</v>
      </c>
      <c r="N437" s="11">
        <f>$M$437+$N$435</f>
        <v>349870</v>
      </c>
      <c r="O437" s="11">
        <f>$N$437+$O$435</f>
        <v>349870</v>
      </c>
      <c r="P437" s="11">
        <f>$O$437+$P$435</f>
        <v>349870</v>
      </c>
      <c r="Q437" s="11">
        <f>$P$437+$Q$435</f>
        <v>549870</v>
      </c>
      <c r="R437" s="11">
        <f>$Q$437+$R$435</f>
        <v>549870</v>
      </c>
      <c r="S437" s="11">
        <f>$R$437+$S$435</f>
        <v>549870</v>
      </c>
      <c r="T437" s="11">
        <f>$S$437+$T$435</f>
        <v>549870</v>
      </c>
      <c r="U437" s="11">
        <f>$T$437+$U$435</f>
        <v>549870</v>
      </c>
      <c r="V437" s="11">
        <f>$U$437+$V$435</f>
        <v>1749870</v>
      </c>
      <c r="W437" s="11">
        <f>$V$437+$W$435</f>
        <v>1749870</v>
      </c>
      <c r="X437" s="11">
        <f>$W$437+$X$435</f>
        <v>1749870</v>
      </c>
      <c r="Y437" s="11">
        <f>$X$437+$Y$435</f>
        <v>1749870</v>
      </c>
      <c r="Z437" s="11">
        <f>$Y$437+$Z$435</f>
        <v>1749870</v>
      </c>
      <c r="AA437" s="11">
        <f>$Z$437+$AA$435</f>
        <v>1749870</v>
      </c>
      <c r="AB437" s="11">
        <f>$AA$437+$AB$435</f>
        <v>1881519</v>
      </c>
      <c r="AC437" s="11">
        <f>$AB$437+$AC$435</f>
        <v>1881519</v>
      </c>
      <c r="AD437" s="11">
        <f>$AC$437+$AD$435</f>
        <v>1881519</v>
      </c>
      <c r="AE437" s="11">
        <f>$AD$437+$AE$435</f>
        <v>1881519</v>
      </c>
      <c r="AF437" s="11">
        <f>$AE$437+$AF$435</f>
        <v>1881519</v>
      </c>
      <c r="AG437" s="11">
        <f>$AF$437+$AG$435</f>
        <v>1881519</v>
      </c>
      <c r="AH437" s="11">
        <f>$AG$437+$AH$435</f>
        <v>1881519</v>
      </c>
      <c r="AI437" s="11">
        <f>$AH$437+$AI$435</f>
        <v>1881519</v>
      </c>
      <c r="AJ437" s="11">
        <f>$AI$437+$AJ$435</f>
        <v>1881519</v>
      </c>
      <c r="AK437" s="11">
        <f>$AJ$437+$AK$435</f>
        <v>1881519</v>
      </c>
      <c r="AL437" s="11">
        <f>$AK$437+$AL$435</f>
        <v>1881519</v>
      </c>
      <c r="AM437" s="11">
        <f>$AL$437+$AM$435</f>
        <v>1881519</v>
      </c>
      <c r="AN437" s="11">
        <f>$AM$437+$AN$435</f>
        <v>2203519</v>
      </c>
      <c r="AO437" s="11">
        <f>$AN$437+$AO$435</f>
        <v>2203519</v>
      </c>
      <c r="AP437" s="11">
        <f>$AO$437+$AP$435</f>
        <v>2203519</v>
      </c>
      <c r="AQ437" s="11">
        <f>$AP$437+$AQ$435</f>
        <v>2203519</v>
      </c>
      <c r="AR437" s="11">
        <f>$AQ$437+$AR$435</f>
        <v>2203519</v>
      </c>
      <c r="AS437" s="11">
        <f>$AR$437+$AS$435</f>
        <v>2301304</v>
      </c>
      <c r="AT437" s="11"/>
      <c r="IS437" s="3"/>
    </row>
    <row r="438" spans="2:253">
      <c r="C438" s="11" t="s">
        <v>273</v>
      </c>
      <c r="D438" s="11"/>
      <c r="E438" s="11" t="s">
        <v>273</v>
      </c>
      <c r="F438" s="11" t="s">
        <v>273</v>
      </c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 t="s">
        <v>273</v>
      </c>
      <c r="W438" s="11"/>
      <c r="X438" s="11"/>
      <c r="Y438" s="11"/>
      <c r="Z438" s="11"/>
      <c r="AA438" s="11"/>
      <c r="AB438" s="11"/>
      <c r="AC438" s="11"/>
      <c r="AD438" s="11"/>
      <c r="AE438" s="11"/>
      <c r="AF438" s="11" t="s">
        <v>273</v>
      </c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 t="s">
        <v>278</v>
      </c>
      <c r="AU438" s="2" t="s">
        <v>278</v>
      </c>
      <c r="IS438" s="3"/>
    </row>
    <row r="439" spans="2:253">
      <c r="B439" s="2" t="s">
        <v>268</v>
      </c>
      <c r="C439" s="19">
        <f>$C$437-$C$429</f>
        <v>-0.1919999998062849</v>
      </c>
      <c r="D439" s="19"/>
      <c r="E439" s="19">
        <f>$E$437-$E$429</f>
        <v>34850</v>
      </c>
      <c r="F439" s="19">
        <f>$F$437-$F$429</f>
        <v>29260</v>
      </c>
      <c r="G439" s="19">
        <f>$G$437-$G$429</f>
        <v>23670</v>
      </c>
      <c r="H439" s="19">
        <f>$H$437-$H$429</f>
        <v>11592</v>
      </c>
      <c r="I439" s="19">
        <f>$I$437-$I$429</f>
        <v>5502</v>
      </c>
      <c r="J439" s="19">
        <f>$J$437-$J$429</f>
        <v>199633.42857142858</v>
      </c>
      <c r="K439" s="19">
        <f>$K$437-$K$429</f>
        <v>144888.85714285716</v>
      </c>
      <c r="L439" s="19">
        <f>$L$437-$L$429</f>
        <v>128030.28571428574</v>
      </c>
      <c r="M439" s="19">
        <f>$M$437-$M$429</f>
        <v>113931.93650793654</v>
      </c>
      <c r="N439" s="19">
        <f>$N$437-$N$429</f>
        <v>105043.58730158734</v>
      </c>
      <c r="O439" s="19">
        <f>$O$437-$O$429</f>
        <v>91680.571428571449</v>
      </c>
      <c r="P439" s="19">
        <f>$P$437-$P$429</f>
        <v>84477.555555555562</v>
      </c>
      <c r="Q439" s="19">
        <f>$Q$437-$Q$429</f>
        <v>258259.89682539681</v>
      </c>
      <c r="R439" s="19">
        <f>$R$437-$R$429</f>
        <v>243335.40476190473</v>
      </c>
      <c r="S439" s="19">
        <f>$S$437-$S$429</f>
        <v>210533.97936507931</v>
      </c>
      <c r="T439" s="19">
        <f>$T$437-$T$429</f>
        <v>180130.85396825394</v>
      </c>
      <c r="U439" s="19">
        <f>$U$437-$U$429</f>
        <v>104394.3952380952</v>
      </c>
      <c r="V439" s="19">
        <f>$V$437-$V$429</f>
        <v>1196267.6365079363</v>
      </c>
      <c r="W439" s="19">
        <f>$W$437-$W$429</f>
        <v>1098484.8844444444</v>
      </c>
      <c r="X439" s="19">
        <f>$X$437-$X$429</f>
        <v>802019.06539682532</v>
      </c>
      <c r="Y439" s="19">
        <f>$Y$437-$Y$429</f>
        <v>602206.99634920619</v>
      </c>
      <c r="Z439" s="19">
        <f>$Z$437-$Z$429</f>
        <v>404539.59396825382</v>
      </c>
      <c r="AA439" s="19">
        <f>$AA$437-$AA$429</f>
        <v>183343.32492063474</v>
      </c>
      <c r="AB439" s="19">
        <f>$AB$437-$AB$429</f>
        <v>67228.057206348982</v>
      </c>
      <c r="AC439" s="19">
        <f>$AC$437-$AC$429</f>
        <v>25111.593714285409</v>
      </c>
      <c r="AD439" s="19">
        <f>$AD$437-$AD$429</f>
        <v>-15907.369777778164</v>
      </c>
      <c r="AE439" s="19">
        <f>$AE$437-$AE$429</f>
        <v>-29910.785650793929</v>
      </c>
      <c r="AF439" s="19">
        <f>$AF$437-$AF$429</f>
        <v>-42974.201523809694</v>
      </c>
      <c r="AG439" s="19">
        <f>$AG$437-$AG$429</f>
        <v>-75987.617396825459</v>
      </c>
      <c r="AH439" s="19">
        <f>$AH$437-$AH$429</f>
        <v>-88301.033269841224</v>
      </c>
      <c r="AI439" s="19">
        <f>$AI$437-$AI$429</f>
        <v>-100614.44914285699</v>
      </c>
      <c r="AJ439" s="19">
        <f>$AJ$437-$AJ$429</f>
        <v>-113750.087238095</v>
      </c>
      <c r="AK439" s="19">
        <f>$AK$437-$AK$429</f>
        <v>-96095.900333333062</v>
      </c>
      <c r="AL439" s="19">
        <f>$AL$437-$AL$429</f>
        <v>-114046.51342857117</v>
      </c>
      <c r="AM439" s="19">
        <f>$AM$437-$AM$429</f>
        <v>-131997.12652380927</v>
      </c>
      <c r="AN439" s="19">
        <f>$AN$437-$AN$429</f>
        <v>172877.26038095262</v>
      </c>
      <c r="AO439" s="19">
        <f>$AO$437-$AO$429</f>
        <v>157426.64728571451</v>
      </c>
      <c r="AP439" s="19">
        <f>$AP$437-$AP$429</f>
        <v>141976.03419047641</v>
      </c>
      <c r="AQ439" s="19">
        <f>$AQ$437-$AQ$429</f>
        <v>124249.4210952383</v>
      </c>
      <c r="AR439" s="19">
        <f>$AR$437-$AR$429</f>
        <v>33039.808000000194</v>
      </c>
      <c r="AS439" s="19">
        <f>$AS$437-$AS$429</f>
        <v>-0.1919999998062849</v>
      </c>
      <c r="AT439" s="11"/>
      <c r="IS439" s="3"/>
    </row>
    <row r="440" spans="2:253">
      <c r="C440" s="2" t="s">
        <v>273</v>
      </c>
      <c r="E440" s="2" t="s">
        <v>273</v>
      </c>
      <c r="F440" s="2" t="s">
        <v>273</v>
      </c>
      <c r="V440" s="2" t="s">
        <v>273</v>
      </c>
      <c r="AF440" s="2" t="s">
        <v>273</v>
      </c>
      <c r="AT440" s="2" t="s">
        <v>278</v>
      </c>
      <c r="IS440" s="3"/>
    </row>
    <row r="442" spans="2:253">
      <c r="AD442" s="10"/>
    </row>
    <row r="443" spans="2:253">
      <c r="AD443" s="10"/>
    </row>
  </sheetData>
  <pageMargins left="0.46805555555555556" right="0.26180555555555557" top="0.25" bottom="0.58611111111111114" header="0" footer="0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consolidated</vt:lpstr>
      <vt:lpstr>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</dc:creator>
  <cp:lastModifiedBy>Lucy Drake</cp:lastModifiedBy>
  <dcterms:created xsi:type="dcterms:W3CDTF">2012-11-13T15:42:42Z</dcterms:created>
  <dcterms:modified xsi:type="dcterms:W3CDTF">2020-02-05T18:56:00Z</dcterms:modified>
</cp:coreProperties>
</file>