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9465" tabRatio="793" firstSheet="1" activeTab="6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  <sheet name="monoplane_spar_layup" sheetId="7" r:id="rId7"/>
    <sheet name="biplane_spar_layup 20120306" sheetId="8" r:id="rId8"/>
  </sheets>
  <calcPr calcId="145621"/>
</workbook>
</file>

<file path=xl/calcChain.xml><?xml version="1.0" encoding="utf-8"?>
<calcChain xmlns="http://schemas.openxmlformats.org/spreadsheetml/2006/main">
  <c r="U3" i="7" l="1"/>
  <c r="V3" i="7" s="1"/>
  <c r="U4" i="7"/>
  <c r="U5" i="7"/>
  <c r="V5" i="7" s="1"/>
  <c r="U6" i="7"/>
  <c r="U7" i="7"/>
  <c r="U8" i="7"/>
  <c r="U9" i="7"/>
  <c r="U10" i="7"/>
  <c r="V10" i="7" s="1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V25" i="7" s="1"/>
  <c r="U2" i="7"/>
  <c r="V4" i="7"/>
  <c r="V6" i="7"/>
  <c r="V7" i="7"/>
  <c r="V8" i="7"/>
  <c r="V9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" i="7"/>
  <c r="P9" i="4" l="1"/>
  <c r="AF6" i="8" l="1"/>
  <c r="AF5" i="8"/>
  <c r="AF4" i="8"/>
  <c r="AF3" i="8"/>
  <c r="AB4" i="8"/>
  <c r="AB5" i="8"/>
  <c r="AB7" i="8"/>
  <c r="AB6" i="8"/>
  <c r="AB8" i="8"/>
  <c r="V18" i="8"/>
  <c r="W18" i="8" s="1"/>
  <c r="V17" i="8"/>
  <c r="W17" i="8" s="1"/>
  <c r="M16" i="8"/>
  <c r="M15" i="8"/>
  <c r="V15" i="8" s="1"/>
  <c r="W15" i="8" s="1"/>
  <c r="M14" i="8"/>
  <c r="M13" i="8"/>
  <c r="V13" i="8" s="1"/>
  <c r="W13" i="8" s="1"/>
  <c r="M12" i="8"/>
  <c r="V12" i="8" s="1"/>
  <c r="W12" i="8" s="1"/>
  <c r="M11" i="8"/>
  <c r="V11" i="8" s="1"/>
  <c r="W11" i="8" s="1"/>
  <c r="M10" i="8"/>
  <c r="V10" i="8" s="1"/>
  <c r="W10" i="8" s="1"/>
  <c r="M9" i="8"/>
  <c r="M8" i="8"/>
  <c r="V8" i="8" s="1"/>
  <c r="W8" i="8" s="1"/>
  <c r="M7" i="8"/>
  <c r="M6" i="8"/>
  <c r="M5" i="8"/>
  <c r="K7" i="8"/>
  <c r="K6" i="8"/>
  <c r="V6" i="8" s="1"/>
  <c r="W6" i="8" s="1"/>
  <c r="K5" i="8"/>
  <c r="V9" i="8"/>
  <c r="V14" i="8"/>
  <c r="W14" i="8" s="1"/>
  <c r="V16" i="8"/>
  <c r="V5" i="8"/>
  <c r="I16" i="8"/>
  <c r="W16" i="8" s="1"/>
  <c r="I15" i="8"/>
  <c r="I14" i="8"/>
  <c r="I13" i="8"/>
  <c r="I12" i="8"/>
  <c r="I11" i="8"/>
  <c r="I10" i="8"/>
  <c r="I9" i="8"/>
  <c r="I8" i="8"/>
  <c r="I7" i="8"/>
  <c r="I6" i="8"/>
  <c r="I5" i="8"/>
  <c r="E5" i="8"/>
  <c r="E6" i="8"/>
  <c r="E7" i="8"/>
  <c r="E8" i="8"/>
  <c r="E9" i="8"/>
  <c r="E10" i="8"/>
  <c r="E16" i="8"/>
  <c r="E12" i="8"/>
  <c r="E13" i="8"/>
  <c r="E14" i="8"/>
  <c r="E15" i="8"/>
  <c r="E11" i="8"/>
  <c r="AB3" i="8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4" i="8"/>
  <c r="W4" i="8" s="1"/>
  <c r="V3" i="8"/>
  <c r="W3" i="8" s="1"/>
  <c r="V2" i="8"/>
  <c r="W2" i="8" s="1"/>
  <c r="V7" i="8" l="1"/>
  <c r="W7" i="8" s="1"/>
  <c r="W5" i="8"/>
  <c r="W9" i="8"/>
  <c r="P9" i="5"/>
  <c r="P22" i="5"/>
  <c r="P24" i="5"/>
  <c r="P25" i="5"/>
  <c r="P26" i="5"/>
  <c r="P27" i="5"/>
  <c r="P28" i="5"/>
  <c r="P29" i="5"/>
  <c r="P30" i="5"/>
  <c r="P31" i="5"/>
  <c r="P32" i="5"/>
  <c r="P23" i="5"/>
  <c r="P11" i="5"/>
  <c r="P12" i="5"/>
  <c r="P13" i="5"/>
  <c r="P14" i="5"/>
  <c r="P15" i="5"/>
  <c r="P16" i="5"/>
  <c r="P17" i="5"/>
  <c r="P18" i="5"/>
  <c r="P19" i="5"/>
  <c r="P20" i="5"/>
  <c r="P21" i="5"/>
  <c r="P10" i="5"/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T29" i="5"/>
  <c r="T12" i="5"/>
  <c r="Y12" i="5" s="1"/>
  <c r="Z12" i="5" s="1"/>
  <c r="H4" i="5"/>
  <c r="T11" i="5"/>
  <c r="Y11" i="5" s="1"/>
  <c r="T17" i="5"/>
  <c r="H22" i="5"/>
  <c r="T30" i="5"/>
  <c r="Y31" i="5"/>
  <c r="Z31" i="5" s="1"/>
  <c r="T10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H15" i="5"/>
  <c r="H19" i="5"/>
  <c r="H5" i="5"/>
  <c r="Y28" i="5"/>
  <c r="Z28" i="5" s="1"/>
  <c r="Y32" i="5"/>
  <c r="Z32" i="5" s="1"/>
  <c r="H36" i="5"/>
  <c r="P3" i="6"/>
  <c r="H20" i="5"/>
  <c r="H10" i="5"/>
  <c r="H12" i="5"/>
  <c r="H33" i="5"/>
  <c r="H3" i="5"/>
  <c r="H21" i="5"/>
  <c r="H7" i="5"/>
  <c r="H14" i="5"/>
  <c r="H31" i="5"/>
  <c r="H35" i="5"/>
  <c r="H23" i="5"/>
  <c r="H27" i="5"/>
  <c r="H18" i="5"/>
  <c r="H26" i="5"/>
  <c r="H9" i="5"/>
  <c r="H13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<sst xmlns="http://schemas.openxmlformats.org/spreadsheetml/2006/main" count="311" uniqueCount="161">
  <si>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</si>
  <si>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</si>
  <si>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</si>
  <si>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</si>
  <si>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</si>
  <si>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</si>
  <si>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</si>
  <si>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</si>
  <si>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</si>
  <si>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</si>
  <si>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</si>
  <si>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</si>
  <si>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</si>
  <si>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</si>
  <si>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</si>
  <si>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</si>
  <si>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</si>
  <si>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</si>
  <si>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</si>
  <si>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</si>
  <si>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</si>
  <si>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</si>
  <si>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</si>
  <si>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</si>
  <si>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</si>
  <si>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</si>
  <si>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</si>
  <si>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</si>
  <si>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</si>
  <si>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</si>
  <si>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</si>
  <si>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</si>
  <si>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</si>
  <si>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</si>
  <si>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</si>
  <si>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</si>
  <si>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</si>
  <si>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</si>
  <si>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</si>
  <si>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</si>
  <si>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</si>
  <si>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</si>
  <si>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</si>
  <si>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</si>
  <si>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</si>
  <si>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</si>
  <si>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</si>
  <si>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</si>
  <si>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</si>
  <si>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</si>
  <si>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</si>
  <si>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</si>
  <si>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</si>
  <si>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</si>
  <si>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</si>
  <si>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</si>
  <si>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</si>
  <si>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</si>
  <si>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</si>
  <si>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</si>
  <si>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</si>
  <si>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</si>
  <si>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</si>
  <si>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</si>
  <si>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</si>
  <si>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</si>
  <si>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</si>
  <si>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</si>
  <si>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</si>
  <si>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</si>
  <si>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</si>
  <si>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</si>
  <si>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</si>
  <si>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</si>
  <si>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</si>
  <si>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</si>
  <si>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</si>
  <si>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</si>
  <si>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</si>
  <si>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</si>
  <si>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</si>
  <si>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</si>
  <si>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</si>
  <si>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</si>
  <si>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</si>
  <si>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</si>
  <si>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</si>
  <si>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</si>
  <si>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</si>
  <si>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</si>
  <si>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</si>
  <si>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</si>
  <si>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</si>
  <si>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</si>
  <si>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</si>
  <si>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</si>
  <si>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</si>
  <si>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</si>
  <si>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</si>
  <si>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</si>
  <si>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</si>
  <si>
    <t>spar stn</t>
  </si>
  <si>
    <t>x1 (m)</t>
  </si>
  <si>
    <t>eta (-)</t>
  </si>
  <si>
    <t>spar frac (%)</t>
  </si>
  <si>
    <t>sparcap bse (m)</t>
  </si>
  <si>
    <t>sparcap ht (m)</t>
  </si>
  <si>
    <t>rtbldup bse (m)</t>
  </si>
  <si>
    <t>rtbldup ht (m)</t>
  </si>
  <si>
    <t>shearwb bse (m)</t>
  </si>
  <si>
    <t>shearwb ht (m)</t>
  </si>
  <si>
    <t>sw foam bse (m)</t>
  </si>
  <si>
    <t>sw biax bse (m)</t>
  </si>
  <si>
    <t>twist (deg)</t>
  </si>
  <si>
    <t>twist rate k1 (rad/m)</t>
  </si>
  <si>
    <t>blde stn</t>
  </si>
  <si>
    <t>blade frac (%)</t>
  </si>
  <si>
    <t>chord (m)</t>
  </si>
  <si>
    <t>twist (rad)</t>
  </si>
  <si>
    <t>min gap (m)</t>
  </si>
  <si>
    <t>min g/c (-)</t>
  </si>
  <si>
    <t>x3 (m)</t>
  </si>
  <si>
    <r>
      <t>x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(m)</t>
    </r>
  </si>
  <si>
    <r>
      <t>twist rate k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(rad/m)</t>
    </r>
  </si>
  <si>
    <t>g/c (-)</t>
  </si>
  <si>
    <t>description</t>
  </si>
  <si>
    <t>symbol</t>
  </si>
  <si>
    <t>span</t>
  </si>
  <si>
    <t>R</t>
  </si>
  <si>
    <t>joint length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</si>
  <si>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</si>
  <si>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</si>
  <si>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</si>
  <si>
    <t>joint transition length</t>
  </si>
  <si>
    <t>root transition length</t>
  </si>
  <si>
    <t>value (m)</t>
  </si>
  <si>
    <t>NON-DIMENSIONAL PARAMETERS</t>
  </si>
  <si>
    <t>DIMENSIONAL PARAMETERS</t>
  </si>
  <si>
    <t>value (-)</t>
  </si>
  <si>
    <t>joint length-to-span ratio</t>
  </si>
  <si>
    <t>joint transition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</si>
  <si>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</si>
  <si>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/R</t>
    </r>
  </si>
  <si>
    <t>root transition length-to-joint length ratio</t>
  </si>
  <si>
    <t>(max) gap-to-chord ratio</t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</si>
  <si>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</si>
  <si>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t>root transition region</t>
  </si>
  <si>
    <t>monoplane outboard region</t>
  </si>
  <si>
    <t>(max) gap</t>
  </si>
  <si>
    <r>
      <t>g</t>
    </r>
    <r>
      <rPr>
        <vertAlign val="subscript"/>
        <sz val="11"/>
        <color theme="1"/>
        <rFont val="Calibri"/>
        <family val="2"/>
        <scheme val="minor"/>
      </rPr>
      <t>max</t>
    </r>
  </si>
  <si>
    <r>
      <t>(g/c)</t>
    </r>
    <r>
      <rPr>
        <vertAlign val="subscript"/>
        <sz val="11"/>
        <color theme="1"/>
        <rFont val="Calibri"/>
        <family val="2"/>
        <scheme val="minor"/>
      </rPr>
      <t>max</t>
    </r>
  </si>
  <si>
    <t>joint transition region</t>
  </si>
  <si>
    <t>straight biplane region</t>
  </si>
  <si>
    <t>root region</t>
  </si>
  <si>
    <t>root length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</si>
  <si>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</si>
  <si>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root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</si>
  <si>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</si>
  <si>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t>I_x</t>
  </si>
  <si>
    <t>I_x (outer)</t>
  </si>
  <si>
    <t>I_x (inner)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</si>
</sst>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%"/>
    <numFmt numFmtId="167" formatCode="0.00000E+00"/>
    <numFmt numFmtId="168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1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166" fontId="0" fillId="3" borderId="0" xfId="1" applyNumberFormat="1" applyFont="1" applyFill="1"/>
    <xf numFmtId="166" fontId="0" fillId="3" borderId="4" xfId="1" applyNumberFormat="1" applyFont="1" applyFill="1" applyBorder="1"/>
    <xf numFmtId="0" fontId="19" fillId="7" borderId="0" xfId="5"/>
    <xf numFmtId="168" fontId="0" fillId="0" borderId="0" xfId="0" applyNumberFormat="1"/>
    <xf numFmtId="167" fontId="0" fillId="0" borderId="0" xfId="0" applyNumberFormat="1"/>
    <xf numFmtId="0" fontId="19" fillId="7" borderId="0" xfId="5" applyAlignment="1">
      <alignment horizontal="center" wrapText="1"/>
    </xf>
    <xf numFmtId="0" fontId="19" fillId="11" borderId="0" xfId="9"/>
    <xf numFmtId="0" fontId="19" fillId="13" borderId="0" xfId="11"/>
    <xf numFmtId="0" fontId="0" fillId="15" borderId="0" xfId="0" applyFill="1"/>
    <xf numFmtId="165" fontId="0" fillId="15" borderId="0" xfId="0" applyNumberFormat="1" applyFill="1"/>
    <xf numFmtId="167" fontId="0" fillId="15" borderId="0" xfId="0" applyNumberFormat="1" applyFill="1"/>
    <xf numFmtId="164" fontId="0" fillId="15" borderId="0" xfId="0" applyNumberFormat="1" applyFill="1"/>
    <xf numFmtId="2" fontId="1" fillId="8" borderId="0" xfId="6" applyNumberFormat="1"/>
    <xf numFmtId="0" fontId="19" fillId="9" borderId="0" xfId="7" applyAlignment="1">
      <alignment horizontal="center" wrapText="1"/>
    </xf>
    <xf numFmtId="0" fontId="19" fillId="14" borderId="0" xfId="12" applyAlignment="1">
      <alignment horizontal="center" wrapText="1"/>
    </xf>
    <xf numFmtId="168" fontId="0" fillId="15" borderId="0" xfId="0" applyNumberFormat="1" applyFill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10" borderId="0" xfId="8" applyAlignment="1">
      <alignment horizontal="center" vertical="center"/>
    </xf>
    <xf numFmtId="0" fontId="19" fillId="12" borderId="0" xfId="10" applyAlignment="1">
      <alignment horizontal="center" vertical="center"/>
    </xf>
    <xf numFmtId="0" fontId="18" fillId="6" borderId="0" xfId="4" applyAlignment="1">
      <alignment horizontal="center" vertical="center" textRotation="90" wrapText="1"/>
    </xf>
    <xf numFmtId="0" fontId="17" fillId="5" borderId="0" xfId="3" applyAlignment="1">
      <alignment horizontal="center" vertical="center" textRotation="90" wrapText="1"/>
    </xf>
    <xf numFmtId="0" fontId="16" fillId="4" borderId="0" xfId="2" applyAlignment="1">
      <alignment horizontal="center" vertical="center" textRotation="90" wrapText="1"/>
    </xf>
    <xf numFmtId="0" fontId="17" fillId="5" borderId="0" xfId="3" applyAlignment="1">
      <alignment horizontal="center" vertical="center" wrapText="1"/>
    </xf>
    <xf numFmtId="0" fontId="18" fillId="6" borderId="0" xfId="4" applyAlignment="1">
      <alignment horizontal="center" vertical="center" textRotation="90"/>
    </xf>
  </cellXfs>
  <cellStyles count="13">
    <cellStyle name="20% - Accent1" xfId="6" builtinId="30"/>
    <cellStyle name="60% - Accent4" xfId="9" builtinId="44"/>
    <cellStyle name="60% - Accent5" xfId="11" builtinId="48"/>
    <cellStyle name="Accent1" xfId="5" builtinId="29"/>
    <cellStyle name="Accent2" xfId="7" builtinId="33"/>
    <cellStyle name="Accent4" xfId="8" builtinId="41"/>
    <cellStyle name="Accent5" xfId="10" builtinId="45"/>
    <cellStyle name="Accent6" xfId="12" builtinId="49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4832"/>
        <c:axId val="43787008"/>
      </c:scatterChart>
      <c:valAx>
        <c:axId val="437848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787008"/>
        <c:crosses val="autoZero"/>
        <c:crossBetween val="midCat"/>
      </c:valAx>
      <c:valAx>
        <c:axId val="4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78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720"/>
        <c:axId val="43809024"/>
      </c:scatterChart>
      <c:valAx>
        <c:axId val="438067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09024"/>
        <c:crosses val="autoZero"/>
        <c:crossBetween val="midCat"/>
      </c:valAx>
      <c:valAx>
        <c:axId val="43809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06720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8160"/>
        <c:axId val="43870080"/>
      </c:scatterChart>
      <c:valAx>
        <c:axId val="43868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870080"/>
        <c:crosses val="autoZero"/>
        <c:crossBetween val="midCat"/>
      </c:valAx>
      <c:valAx>
        <c:axId val="43870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86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4592"/>
        <c:axId val="44096896"/>
      </c:scatterChart>
      <c:valAx>
        <c:axId val="44094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096896"/>
        <c:crosses val="autoZero"/>
        <c:crossBetween val="midCat"/>
      </c:valAx>
      <c:valAx>
        <c:axId val="44096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094592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9488"/>
        <c:axId val="44725760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9856"/>
        <c:axId val="44727680"/>
      </c:scatterChart>
      <c:valAx>
        <c:axId val="447194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725760"/>
        <c:crosses val="autoZero"/>
        <c:crossBetween val="midCat"/>
      </c:valAx>
      <c:valAx>
        <c:axId val="44725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719488"/>
        <c:crosses val="autoZero"/>
        <c:crossBetween val="midCat"/>
      </c:valAx>
      <c:valAx>
        <c:axId val="44727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729856"/>
        <c:crosses val="max"/>
        <c:crossBetween val="midCat"/>
        <c:majorUnit val="2.0000000000000004E-2"/>
      </c:valAx>
      <c:valAx>
        <c:axId val="447298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472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9328"/>
        <c:axId val="44501632"/>
      </c:scatterChart>
      <c:valAx>
        <c:axId val="444993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501632"/>
        <c:crossesAt val="-5.0000000000000012E-4"/>
        <c:crossBetween val="midCat"/>
      </c:valAx>
      <c:valAx>
        <c:axId val="44501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449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9808"/>
        <c:axId val="44522880"/>
      </c:scatterChart>
      <c:valAx>
        <c:axId val="44519808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522880"/>
        <c:crosses val="autoZero"/>
        <c:crossBetween val="midCat"/>
      </c:valAx>
      <c:valAx>
        <c:axId val="44522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51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9184"/>
        <c:axId val="44684800"/>
      </c:scatterChart>
      <c:valAx>
        <c:axId val="44669184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684800"/>
        <c:crosses val="autoZero"/>
        <c:crossBetween val="midCat"/>
      </c:valAx>
      <c:valAx>
        <c:axId val="4468480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6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110" t="s">
        <v>0</v>
      </c>
      <c r="B1" s="110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110"/>
      <c r="B2" s="110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111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P9" sqref="P9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3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ref="P10:P32" si="4">D10*I10</f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3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4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3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4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3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4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3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4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3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4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3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4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3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4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3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4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3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4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3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4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3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4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3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4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3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4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3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4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3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4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3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4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3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4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3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4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3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4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3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4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3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4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3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4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114" t="s">
        <v>16</v>
      </c>
      <c r="B2" s="114"/>
      <c r="C2" s="114"/>
      <c r="D2" s="116" t="s">
        <v>27</v>
      </c>
      <c r="E2" s="116"/>
      <c r="F2" s="116"/>
      <c r="G2" s="116"/>
      <c r="H2" s="116"/>
      <c r="I2" s="116"/>
      <c r="J2" s="116"/>
      <c r="K2" s="116"/>
      <c r="L2" s="114" t="s">
        <v>35</v>
      </c>
      <c r="M2" s="113" t="s">
        <v>88</v>
      </c>
    </row>
    <row r="3" spans="1:13" x14ac:dyDescent="0.25">
      <c r="A3" s="115"/>
      <c r="B3" s="115"/>
      <c r="C3" s="115"/>
      <c r="D3" s="112" t="s">
        <v>28</v>
      </c>
      <c r="E3" s="112"/>
      <c r="F3" s="112"/>
      <c r="G3" s="112"/>
      <c r="H3" s="112" t="s">
        <v>33</v>
      </c>
      <c r="I3" s="112"/>
      <c r="J3" s="112" t="s">
        <v>34</v>
      </c>
      <c r="K3" s="112"/>
      <c r="L3" s="115"/>
      <c r="M3" s="110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111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zoomScaleNormal="100" workbookViewId="0">
      <pane ySplit="2" topLeftCell="A3" activePane="bottomLeft" state="frozen"/>
      <selection pane="bottomLeft" activeCell="AQ25" sqref="AQ25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D9*I9-2*M9</f>
        <v>5.2663519999999995</v>
      </c>
      <c r="Q9" s="3"/>
      <c r="R9" s="9" t="s">
        <v>71</v>
      </c>
      <c r="S9" s="69" t="s">
        <v>91</v>
      </c>
      <c r="T9" s="7">
        <f t="shared" ref="T9:T32" si="3">C9-$C$9</f>
        <v>0</v>
      </c>
      <c r="U9" s="92">
        <f>T9/$T$32</f>
        <v>0</v>
      </c>
      <c r="V9" s="94">
        <f>U9</f>
        <v>0</v>
      </c>
      <c r="W9" s="3">
        <f t="shared" ref="W9:W32" si="4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5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>D10*I10-2*M10</f>
        <v>5.2651750000000002</v>
      </c>
      <c r="Q10" s="3"/>
      <c r="R10" s="9"/>
      <c r="S10" s="69" t="s">
        <v>91</v>
      </c>
      <c r="T10" s="7">
        <f t="shared" si="3"/>
        <v>0.20000000000000018</v>
      </c>
      <c r="U10" s="92">
        <f t="shared" ref="U10:U32" si="6">T10/$T$32</f>
        <v>2.1762785636561502E-3</v>
      </c>
      <c r="V10" s="94">
        <f t="shared" ref="V10:V21" si="7">U10</f>
        <v>2.1762785636561502E-3</v>
      </c>
      <c r="W10" s="3">
        <f t="shared" si="4"/>
        <v>6.8000000000000005E-2</v>
      </c>
      <c r="X10" s="3">
        <f t="shared" ref="X10:X32" si="8">W10</f>
        <v>6.8000000000000005E-2</v>
      </c>
      <c r="Y10">
        <f t="shared" ref="Y10:Y32" si="9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5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ref="P11:P21" si="10">D11*I11-2*M11</f>
        <v>5.0087199999999994</v>
      </c>
      <c r="Q11" s="3"/>
      <c r="R11" s="9"/>
      <c r="S11" s="69" t="s">
        <v>91</v>
      </c>
      <c r="T11" s="7">
        <f t="shared" si="3"/>
        <v>2.3000000000000003</v>
      </c>
      <c r="U11" s="92">
        <f t="shared" si="6"/>
        <v>2.5027203482045707E-2</v>
      </c>
      <c r="V11" s="94">
        <f t="shared" si="7"/>
        <v>2.5027203482045707E-2</v>
      </c>
      <c r="W11" s="3">
        <f t="shared" si="4"/>
        <v>0.06</v>
      </c>
      <c r="X11" s="3">
        <f t="shared" si="8"/>
        <v>0.06</v>
      </c>
      <c r="Y11">
        <f t="shared" si="9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5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10"/>
        <v>4.7410400000000008</v>
      </c>
      <c r="Q12" s="3"/>
      <c r="R12" s="9"/>
      <c r="S12" s="69" t="s">
        <v>91</v>
      </c>
      <c r="T12" s="7">
        <f t="shared" si="3"/>
        <v>4.4000000000000004</v>
      </c>
      <c r="U12" s="92">
        <f t="shared" si="6"/>
        <v>4.7878128400435267E-2</v>
      </c>
      <c r="V12" s="94">
        <f t="shared" si="7"/>
        <v>4.7878128400435267E-2</v>
      </c>
      <c r="W12" s="3">
        <f t="shared" si="4"/>
        <v>5.5E-2</v>
      </c>
      <c r="X12" s="3">
        <f t="shared" si="8"/>
        <v>5.5E-2</v>
      </c>
      <c r="Y12">
        <f t="shared" si="9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5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10"/>
        <v>4.4246800000000004</v>
      </c>
      <c r="Q13" s="3"/>
      <c r="R13" s="9" t="s">
        <v>75</v>
      </c>
      <c r="S13" s="69" t="s">
        <v>91</v>
      </c>
      <c r="T13" s="7">
        <f t="shared" si="3"/>
        <v>6.5</v>
      </c>
      <c r="U13" s="92">
        <f t="shared" si="6"/>
        <v>7.0729053318824814E-2</v>
      </c>
      <c r="V13" s="94">
        <f t="shared" si="7"/>
        <v>7.0729053318824814E-2</v>
      </c>
      <c r="W13" s="3">
        <f t="shared" si="4"/>
        <v>6.6000000000000003E-2</v>
      </c>
      <c r="X13" s="3">
        <f t="shared" si="8"/>
        <v>6.6000000000000003E-2</v>
      </c>
      <c r="Y13">
        <f t="shared" si="9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5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10"/>
        <v>4.0910000000000002</v>
      </c>
      <c r="Q14" s="3"/>
      <c r="R14" s="9"/>
      <c r="S14" s="69" t="s">
        <v>91</v>
      </c>
      <c r="T14" s="7">
        <f t="shared" si="3"/>
        <v>9</v>
      </c>
      <c r="U14" s="92">
        <f t="shared" si="6"/>
        <v>9.7932535364526674E-2</v>
      </c>
      <c r="V14" s="94">
        <f t="shared" si="7"/>
        <v>9.7932535364526674E-2</v>
      </c>
      <c r="W14" s="3">
        <f t="shared" si="4"/>
        <v>7.3000000000000009E-2</v>
      </c>
      <c r="X14" s="3">
        <f t="shared" si="8"/>
        <v>7.3000000000000009E-2</v>
      </c>
      <c r="Y14">
        <f t="shared" si="9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5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10"/>
        <v>3.6796500000000001</v>
      </c>
      <c r="Q15" s="3"/>
      <c r="R15" s="9" t="s">
        <v>74</v>
      </c>
      <c r="S15" s="69" t="s">
        <v>91</v>
      </c>
      <c r="T15" s="7">
        <f t="shared" si="3"/>
        <v>12.2</v>
      </c>
      <c r="U15" s="92">
        <f t="shared" si="6"/>
        <v>0.13275299238302504</v>
      </c>
      <c r="V15" s="94">
        <f t="shared" si="7"/>
        <v>0.13275299238302504</v>
      </c>
      <c r="W15" s="3">
        <f t="shared" si="4"/>
        <v>9.4E-2</v>
      </c>
      <c r="X15" s="3">
        <f>O15</f>
        <v>8.5999999999999993E-2</v>
      </c>
      <c r="Y15">
        <f t="shared" si="9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5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10"/>
        <v>3.4798799999999996</v>
      </c>
      <c r="Q16" s="3"/>
      <c r="R16" s="9"/>
      <c r="S16" s="69" t="s">
        <v>91</v>
      </c>
      <c r="T16" s="7">
        <f t="shared" si="3"/>
        <v>13.9</v>
      </c>
      <c r="U16" s="92">
        <f t="shared" si="6"/>
        <v>0.15125136017410229</v>
      </c>
      <c r="V16" s="94">
        <f t="shared" si="7"/>
        <v>0.15125136017410229</v>
      </c>
      <c r="W16" s="3">
        <f t="shared" si="4"/>
        <v>0.111</v>
      </c>
      <c r="X16" s="3">
        <f t="shared" ref="X16:X24" si="12">O16</f>
        <v>8.5999999999999993E-2</v>
      </c>
      <c r="Y16">
        <f t="shared" si="9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5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10"/>
        <v>3.2851199999999996</v>
      </c>
      <c r="Q17" s="3"/>
      <c r="R17" s="9"/>
      <c r="S17" s="69" t="s">
        <v>91</v>
      </c>
      <c r="T17" s="7">
        <f t="shared" si="3"/>
        <v>15.499999999999998</v>
      </c>
      <c r="U17" s="92">
        <f>T17/$T$32</f>
        <v>0.16866158868335146</v>
      </c>
      <c r="V17" s="94">
        <f t="shared" si="7"/>
        <v>0.16866158868335146</v>
      </c>
      <c r="W17" s="3">
        <f t="shared" si="4"/>
        <v>0.11899999999999999</v>
      </c>
      <c r="X17" s="3">
        <f t="shared" si="12"/>
        <v>8.5999999999999993E-2</v>
      </c>
      <c r="Y17">
        <f t="shared" si="9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5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10"/>
        <v>3.0893400000000004</v>
      </c>
      <c r="Q18" s="3"/>
      <c r="R18" s="9" t="s">
        <v>76</v>
      </c>
      <c r="S18" s="69" t="s">
        <v>91</v>
      </c>
      <c r="T18" s="7">
        <f t="shared" si="3"/>
        <v>17.100000000000001</v>
      </c>
      <c r="U18" s="92">
        <f t="shared" si="6"/>
        <v>0.18607181719260069</v>
      </c>
      <c r="V18" s="94">
        <f t="shared" si="7"/>
        <v>0.18607181719260069</v>
      </c>
      <c r="W18" s="3">
        <f t="shared" si="4"/>
        <v>0.13600000000000001</v>
      </c>
      <c r="X18" s="3">
        <f t="shared" si="12"/>
        <v>8.5999999999999993E-2</v>
      </c>
      <c r="Y18">
        <f t="shared" si="9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5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10"/>
        <v>2.8822999999999999</v>
      </c>
      <c r="Q19" s="3"/>
      <c r="R19" s="9"/>
      <c r="S19" s="69" t="s">
        <v>91</v>
      </c>
      <c r="T19" s="7">
        <f t="shared" si="3"/>
        <v>19.8</v>
      </c>
      <c r="U19" s="92">
        <f t="shared" si="6"/>
        <v>0.21545157780195867</v>
      </c>
      <c r="V19" s="94">
        <f t="shared" si="7"/>
        <v>0.21545157780195867</v>
      </c>
      <c r="W19" s="3">
        <f t="shared" si="4"/>
        <v>0.13600000000000001</v>
      </c>
      <c r="X19" s="3">
        <f t="shared" si="12"/>
        <v>8.5999999999999993E-2</v>
      </c>
      <c r="Y19">
        <f t="shared" si="9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5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10"/>
        <v>2.6956799999999999</v>
      </c>
      <c r="Q20" s="3"/>
      <c r="R20" s="9"/>
      <c r="S20" s="69" t="s">
        <v>91</v>
      </c>
      <c r="T20" s="7">
        <f t="shared" si="3"/>
        <v>22.5</v>
      </c>
      <c r="U20" s="92">
        <f t="shared" si="6"/>
        <v>0.24483133841131668</v>
      </c>
      <c r="V20" s="94">
        <f t="shared" si="7"/>
        <v>0.24483133841131668</v>
      </c>
      <c r="W20" s="3">
        <f t="shared" si="4"/>
        <v>0.13600000000000001</v>
      </c>
      <c r="X20" s="3">
        <f t="shared" si="12"/>
        <v>8.5999999999999993E-2</v>
      </c>
      <c r="Y20">
        <f t="shared" si="9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5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10"/>
        <v>2.4979800000000005</v>
      </c>
      <c r="Q21" s="3"/>
      <c r="R21" s="9"/>
      <c r="S21" s="69" t="s">
        <v>91</v>
      </c>
      <c r="T21" s="7">
        <f t="shared" si="3"/>
        <v>25.200000000000003</v>
      </c>
      <c r="U21" s="92">
        <f t="shared" si="6"/>
        <v>0.2742110990206747</v>
      </c>
      <c r="V21" s="94">
        <f t="shared" si="7"/>
        <v>0.2742110990206747</v>
      </c>
      <c r="W21" s="3">
        <f t="shared" si="4"/>
        <v>0.128</v>
      </c>
      <c r="X21" s="3">
        <f t="shared" si="12"/>
        <v>8.5999999999999993E-2</v>
      </c>
      <c r="Y21">
        <f t="shared" si="9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5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>D22*I22-2*M22</f>
        <v>2.0768999999999997</v>
      </c>
      <c r="Q22" s="82"/>
      <c r="R22" s="83"/>
      <c r="S22" s="84" t="s">
        <v>91</v>
      </c>
      <c r="T22" s="90">
        <f t="shared" si="3"/>
        <v>33.4</v>
      </c>
      <c r="U22" s="93">
        <f t="shared" si="6"/>
        <v>0.36343852013057676</v>
      </c>
      <c r="V22" s="95">
        <f>U22</f>
        <v>0.36343852013057676</v>
      </c>
      <c r="W22" s="82">
        <f t="shared" si="4"/>
        <v>0.11899999999999999</v>
      </c>
      <c r="X22" s="82">
        <f t="shared" si="12"/>
        <v>8.5999999999999993E-2</v>
      </c>
      <c r="Y22" s="81">
        <f t="shared" si="9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5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>D23*I23-2*M23</f>
        <v>1.67154</v>
      </c>
      <c r="Q23" s="3"/>
      <c r="R23" s="9"/>
      <c r="S23" s="69" t="s">
        <v>92</v>
      </c>
      <c r="T23" s="7">
        <f t="shared" si="3"/>
        <v>41.5</v>
      </c>
      <c r="U23" s="92">
        <f t="shared" si="6"/>
        <v>0.45157780195865077</v>
      </c>
      <c r="V23" s="94">
        <f>U23</f>
        <v>0.45157780195865077</v>
      </c>
      <c r="W23" s="3">
        <f t="shared" si="4"/>
        <v>0.111</v>
      </c>
      <c r="X23" s="3">
        <f t="shared" si="12"/>
        <v>8.5999999999999993E-2</v>
      </c>
      <c r="Y23">
        <f t="shared" si="9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5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ref="P24:P32" si="13">D24*I24-2*M24</f>
        <v>1.3604500000000002</v>
      </c>
      <c r="Q24" s="3"/>
      <c r="R24" s="9"/>
      <c r="S24" s="69" t="s">
        <v>92</v>
      </c>
      <c r="T24" s="7">
        <f t="shared" si="3"/>
        <v>49.6</v>
      </c>
      <c r="U24" s="92">
        <f t="shared" si="6"/>
        <v>0.53971708378672478</v>
      </c>
      <c r="V24" s="94">
        <f>U24</f>
        <v>0.53971708378672478</v>
      </c>
      <c r="W24" s="3">
        <f t="shared" si="4"/>
        <v>0.10199999999999999</v>
      </c>
      <c r="X24" s="3">
        <f t="shared" si="12"/>
        <v>8.5999999999999993E-2</v>
      </c>
      <c r="Y24">
        <f t="shared" si="9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5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13"/>
        <v>1.13757</v>
      </c>
      <c r="Q25" s="3"/>
      <c r="R25" s="9" t="s">
        <v>73</v>
      </c>
      <c r="S25" s="69" t="s">
        <v>92</v>
      </c>
      <c r="T25" s="7">
        <f t="shared" si="3"/>
        <v>57.8</v>
      </c>
      <c r="U25" s="92">
        <f t="shared" si="6"/>
        <v>0.62894450489662679</v>
      </c>
      <c r="V25" s="94">
        <f t="shared" ref="V25:V32" si="14">U25</f>
        <v>0.62894450489662679</v>
      </c>
      <c r="W25" s="3">
        <f t="shared" si="4"/>
        <v>8.5000000000000006E-2</v>
      </c>
      <c r="X25" s="3">
        <f t="shared" si="8"/>
        <v>8.5000000000000006E-2</v>
      </c>
      <c r="Y25">
        <f t="shared" si="9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5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13"/>
        <v>0.95361000000000007</v>
      </c>
      <c r="Q26" s="3"/>
      <c r="R26" s="9"/>
      <c r="S26" s="69" t="s">
        <v>92</v>
      </c>
      <c r="T26" s="7">
        <f t="shared" si="3"/>
        <v>64.3</v>
      </c>
      <c r="U26" s="92">
        <f t="shared" si="6"/>
        <v>0.69967355821545163</v>
      </c>
      <c r="V26" s="94">
        <f t="shared" si="14"/>
        <v>0.69967355821545163</v>
      </c>
      <c r="W26" s="3">
        <f t="shared" si="4"/>
        <v>6.8000000000000005E-2</v>
      </c>
      <c r="X26" s="3">
        <f t="shared" si="8"/>
        <v>6.8000000000000005E-2</v>
      </c>
      <c r="Y26">
        <f t="shared" si="9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5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13"/>
        <v>0.91020000000000001</v>
      </c>
      <c r="Q27" s="3"/>
      <c r="R27" s="9"/>
      <c r="S27" s="69" t="s">
        <v>92</v>
      </c>
      <c r="T27" s="7">
        <f t="shared" si="3"/>
        <v>65.900000000000006</v>
      </c>
      <c r="U27" s="92">
        <f t="shared" si="6"/>
        <v>0.71708378672470086</v>
      </c>
      <c r="V27" s="94">
        <f t="shared" si="14"/>
        <v>0.71708378672470086</v>
      </c>
      <c r="W27" s="3">
        <f t="shared" si="4"/>
        <v>6.4000000000000001E-2</v>
      </c>
      <c r="X27" s="3">
        <f t="shared" si="8"/>
        <v>6.4000000000000001E-2</v>
      </c>
      <c r="Y27">
        <f t="shared" si="9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5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13"/>
        <v>0.83178000000000007</v>
      </c>
      <c r="Q28" s="3"/>
      <c r="R28" s="9"/>
      <c r="S28" s="69" t="s">
        <v>92</v>
      </c>
      <c r="T28" s="7">
        <f t="shared" si="3"/>
        <v>70.8</v>
      </c>
      <c r="U28" s="92">
        <f t="shared" si="6"/>
        <v>0.77040261153427647</v>
      </c>
      <c r="V28" s="94">
        <f t="shared" si="14"/>
        <v>0.77040261153427647</v>
      </c>
      <c r="W28" s="3">
        <f t="shared" si="4"/>
        <v>4.7E-2</v>
      </c>
      <c r="X28" s="3">
        <f t="shared" si="8"/>
        <v>4.7E-2</v>
      </c>
      <c r="Y28">
        <f t="shared" si="9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5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13"/>
        <v>0.79595999999999989</v>
      </c>
      <c r="Q29" s="3"/>
      <c r="R29" s="9"/>
      <c r="S29" s="69" t="s">
        <v>92</v>
      </c>
      <c r="T29" s="7">
        <f t="shared" si="3"/>
        <v>74</v>
      </c>
      <c r="U29" s="92">
        <f t="shared" si="6"/>
        <v>0.80522306855277481</v>
      </c>
      <c r="V29" s="94">
        <f t="shared" si="14"/>
        <v>0.80522306855277481</v>
      </c>
      <c r="W29" s="3">
        <f t="shared" si="4"/>
        <v>3.4000000000000002E-2</v>
      </c>
      <c r="X29" s="3">
        <f t="shared" si="8"/>
        <v>3.4000000000000002E-2</v>
      </c>
      <c r="Y29">
        <f t="shared" si="9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5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13"/>
        <v>0.70649999999999991</v>
      </c>
      <c r="Q30" s="3"/>
      <c r="R30" s="9"/>
      <c r="S30" s="69" t="s">
        <v>92</v>
      </c>
      <c r="T30" s="7">
        <f t="shared" si="3"/>
        <v>82.199999999999989</v>
      </c>
      <c r="U30" s="92">
        <f t="shared" si="6"/>
        <v>0.89445048966267682</v>
      </c>
      <c r="V30" s="94">
        <f t="shared" si="14"/>
        <v>0.89445048966267682</v>
      </c>
      <c r="W30" s="3">
        <f t="shared" si="4"/>
        <v>1.7000000000000001E-2</v>
      </c>
      <c r="X30" s="3">
        <f t="shared" si="8"/>
        <v>1.7000000000000001E-2</v>
      </c>
      <c r="Y30">
        <f t="shared" si="9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5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13"/>
        <v>0.65142</v>
      </c>
      <c r="Q31" s="3"/>
      <c r="R31" s="9"/>
      <c r="S31" s="69" t="s">
        <v>92</v>
      </c>
      <c r="T31" s="7">
        <f t="shared" si="3"/>
        <v>87</v>
      </c>
      <c r="U31" s="92">
        <f>T31/$T$32</f>
        <v>0.9466811751904245</v>
      </c>
      <c r="V31" s="94">
        <f t="shared" si="14"/>
        <v>0.9466811751904245</v>
      </c>
      <c r="W31" s="3">
        <f t="shared" si="4"/>
        <v>8.9999999999999993E-3</v>
      </c>
      <c r="X31" s="3">
        <f t="shared" si="8"/>
        <v>8.9999999999999993E-3</v>
      </c>
      <c r="Y31">
        <f t="shared" si="9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5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13"/>
        <v>0.50831999999999999</v>
      </c>
      <c r="Q32" s="3"/>
      <c r="R32" s="9" t="s">
        <v>72</v>
      </c>
      <c r="S32" s="69" t="s">
        <v>92</v>
      </c>
      <c r="T32" s="7">
        <f t="shared" si="3"/>
        <v>91.899999999999991</v>
      </c>
      <c r="U32" s="92">
        <f t="shared" si="6"/>
        <v>1</v>
      </c>
      <c r="V32" s="94">
        <f t="shared" si="14"/>
        <v>1</v>
      </c>
      <c r="W32" s="3">
        <f t="shared" si="4"/>
        <v>5.0000000000000001E-3</v>
      </c>
      <c r="X32" s="3">
        <f t="shared" si="8"/>
        <v>5.0000000000000001E-3</v>
      </c>
      <c r="Y32">
        <f t="shared" si="9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29" priority="3" operator="containsText" text="N">
      <formula>NOT(ISERROR(SEARCH("N",S9)))</formula>
    </cfRule>
    <cfRule type="containsText" dxfId="28" priority="4" operator="containsText" text="Y">
      <formula>NOT(ISERROR(SEARCH("Y",S9)))</formula>
    </cfRule>
  </conditionalFormatting>
  <conditionalFormatting sqref="W9:W32">
    <cfRule type="cellIs" dxfId="27" priority="1" operator="greaterThan">
      <formula>$O$9</formula>
    </cfRule>
    <cfRule type="cellIs" dxfId="26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112" t="s">
        <v>77</v>
      </c>
      <c r="L1" s="112"/>
      <c r="M1" s="112"/>
      <c r="N1" s="41"/>
      <c r="O1" s="112" t="s">
        <v>78</v>
      </c>
      <c r="P1" s="112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25" priority="1" operator="containsText" text="N">
      <formula>NOT(ISERROR(SEARCH("N",S3)))</formula>
    </cfRule>
    <cfRule type="containsText" dxfId="24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V2" sqref="V2:V25"/>
    </sheetView>
  </sheetViews>
  <sheetFormatPr defaultRowHeight="15" x14ac:dyDescent="0.25"/>
  <cols>
    <col min="1" max="1" width="7.85546875" customWidth="1"/>
    <col min="2" max="2" width="6.5703125" customWidth="1"/>
    <col min="3" max="3" width="11.5703125" bestFit="1" customWidth="1"/>
    <col min="4" max="4" width="11.85546875" bestFit="1" customWidth="1"/>
    <col min="5" max="5" width="15" bestFit="1" customWidth="1"/>
    <col min="6" max="6" width="13.7109375" bestFit="1" customWidth="1"/>
    <col min="7" max="7" width="14.85546875" bestFit="1" customWidth="1"/>
    <col min="8" max="8" width="13.5703125" bestFit="1" customWidth="1"/>
    <col min="9" max="9" width="15.85546875" bestFit="1" customWidth="1"/>
    <col min="10" max="10" width="14.5703125" bestFit="1" customWidth="1"/>
    <col min="11" max="11" width="15.7109375" bestFit="1" customWidth="1"/>
    <col min="12" max="12" width="14.85546875" bestFit="1" customWidth="1"/>
    <col min="13" max="13" width="10.5703125" bestFit="1" customWidth="1"/>
    <col min="14" max="14" width="10.140625" customWidth="1"/>
    <col min="15" max="15" width="19.42578125" customWidth="1"/>
    <col min="16" max="16" width="8.140625" bestFit="1" customWidth="1"/>
    <col min="17" max="17" width="13.28515625" bestFit="1" customWidth="1"/>
    <col min="18" max="18" width="9.5703125" bestFit="1" customWidth="1"/>
    <col min="19" max="19" width="1.7109375" customWidth="1"/>
    <col min="20" max="20" width="12.5703125" customWidth="1"/>
    <col min="21" max="21" width="12.7109375" customWidth="1"/>
    <col min="22" max="22" width="10.5703125" bestFit="1" customWidth="1"/>
  </cols>
  <sheetData>
    <row r="1" spans="1:22" x14ac:dyDescent="0.25">
      <c r="A1" s="96" t="s">
        <v>101</v>
      </c>
      <c r="B1" s="96" t="s">
        <v>102</v>
      </c>
      <c r="C1" s="96" t="s">
        <v>103</v>
      </c>
      <c r="D1" s="96" t="s">
        <v>104</v>
      </c>
      <c r="E1" s="96" t="s">
        <v>105</v>
      </c>
      <c r="F1" s="96" t="s">
        <v>106</v>
      </c>
      <c r="G1" s="96" t="s">
        <v>107</v>
      </c>
      <c r="H1" s="96" t="s">
        <v>108</v>
      </c>
      <c r="I1" s="96" t="s">
        <v>109</v>
      </c>
      <c r="J1" s="96" t="s">
        <v>110</v>
      </c>
      <c r="K1" s="96" t="s">
        <v>111</v>
      </c>
      <c r="L1" s="96" t="s">
        <v>112</v>
      </c>
      <c r="M1" s="96" t="s">
        <v>113</v>
      </c>
      <c r="N1" s="96" t="s">
        <v>118</v>
      </c>
      <c r="O1" s="96" t="s">
        <v>114</v>
      </c>
      <c r="P1" s="96" t="s">
        <v>115</v>
      </c>
      <c r="Q1" s="96" t="s">
        <v>116</v>
      </c>
      <c r="R1" s="96" t="s">
        <v>117</v>
      </c>
      <c r="T1" s="96" t="s">
        <v>159</v>
      </c>
      <c r="U1" s="96" t="s">
        <v>160</v>
      </c>
      <c r="V1" s="96" t="s">
        <v>158</v>
      </c>
    </row>
    <row r="2" spans="1:22" x14ac:dyDescent="0.25">
      <c r="A2">
        <v>1</v>
      </c>
      <c r="B2" s="7">
        <v>0</v>
      </c>
      <c r="C2" s="98">
        <v>0</v>
      </c>
      <c r="D2" s="7">
        <v>0</v>
      </c>
      <c r="E2">
        <v>1.5</v>
      </c>
      <c r="F2" s="3">
        <v>1.2999999999999999E-2</v>
      </c>
      <c r="G2">
        <v>1.6719999999999999</v>
      </c>
      <c r="H2" s="3">
        <v>6.3E-2</v>
      </c>
      <c r="I2">
        <v>8.5999999999999993E-2</v>
      </c>
      <c r="J2" s="3">
        <v>5.266</v>
      </c>
      <c r="K2" s="3">
        <v>0.08</v>
      </c>
      <c r="L2">
        <v>3.0000000000000001E-3</v>
      </c>
      <c r="M2" s="3">
        <v>13.308</v>
      </c>
      <c r="N2" s="3">
        <v>0.23200000000000001</v>
      </c>
      <c r="O2">
        <v>0</v>
      </c>
      <c r="P2">
        <v>7</v>
      </c>
      <c r="Q2" s="7">
        <v>2.4</v>
      </c>
      <c r="R2" s="3">
        <v>5.7919999999999998</v>
      </c>
      <c r="T2" s="97">
        <f>(1/12)*$G$2*(J2+2*H2)^3</f>
        <v>21.842617349461332</v>
      </c>
      <c r="U2" s="97">
        <f>(1/12)*$E$2*(J2-2*F2)^3</f>
        <v>17.984728000000004</v>
      </c>
      <c r="V2" s="97">
        <f>T2-U2</f>
        <v>3.8578893494613276</v>
      </c>
    </row>
    <row r="3" spans="1:22" x14ac:dyDescent="0.25">
      <c r="A3">
        <v>2</v>
      </c>
      <c r="B3" s="7">
        <v>0.2</v>
      </c>
      <c r="C3" s="98">
        <v>2.1762800000000001E-3</v>
      </c>
      <c r="D3" s="7">
        <v>0.2</v>
      </c>
      <c r="E3">
        <v>1.5</v>
      </c>
      <c r="F3" s="3">
        <v>1.2999999999999999E-2</v>
      </c>
      <c r="G3">
        <v>1.6719999999999999</v>
      </c>
      <c r="H3" s="3">
        <v>5.5E-2</v>
      </c>
      <c r="I3">
        <v>8.5999999999999993E-2</v>
      </c>
      <c r="J3" s="3">
        <v>5.2649999999999997</v>
      </c>
      <c r="K3" s="3">
        <v>0.08</v>
      </c>
      <c r="L3">
        <v>3.0000000000000001E-3</v>
      </c>
      <c r="M3" s="3">
        <v>13.308</v>
      </c>
      <c r="N3" s="3">
        <v>0.23200000000000001</v>
      </c>
      <c r="O3">
        <v>0</v>
      </c>
      <c r="P3">
        <v>8</v>
      </c>
      <c r="Q3" s="7">
        <v>2.6</v>
      </c>
      <c r="R3" s="3">
        <v>5.8109999999999999</v>
      </c>
      <c r="T3" s="97">
        <f t="shared" ref="T3:T26" si="0">(1/12)*$G$2*(J3+2*H3)^3</f>
        <v>21.636670572916664</v>
      </c>
      <c r="U3" s="97">
        <f t="shared" ref="U3:U25" si="1">(1/12)*$E$2*(J3-2*F3)^3</f>
        <v>17.974433364875001</v>
      </c>
      <c r="V3" s="97">
        <f t="shared" ref="V3:V25" si="2">T3-U3</f>
        <v>3.6622372080416632</v>
      </c>
    </row>
    <row r="4" spans="1:22" x14ac:dyDescent="0.25">
      <c r="A4">
        <v>3</v>
      </c>
      <c r="B4" s="7">
        <v>2.2999999999999998</v>
      </c>
      <c r="C4" s="98">
        <v>2.5027199999999999E-2</v>
      </c>
      <c r="D4" s="7">
        <v>2.5</v>
      </c>
      <c r="E4">
        <v>1.5</v>
      </c>
      <c r="F4" s="3">
        <v>0.02</v>
      </c>
      <c r="G4">
        <v>1.6719999999999999</v>
      </c>
      <c r="H4" s="3">
        <v>0.04</v>
      </c>
      <c r="I4">
        <v>8.5999999999999993E-2</v>
      </c>
      <c r="J4" s="3">
        <v>5.0090000000000003</v>
      </c>
      <c r="K4" s="3">
        <v>0.08</v>
      </c>
      <c r="L4">
        <v>3.0000000000000001E-3</v>
      </c>
      <c r="M4" s="3">
        <v>13.308</v>
      </c>
      <c r="N4" s="3">
        <v>0.23200000000000001</v>
      </c>
      <c r="O4">
        <v>0</v>
      </c>
      <c r="P4">
        <v>9</v>
      </c>
      <c r="Q4" s="7">
        <v>4.7</v>
      </c>
      <c r="R4" s="3">
        <v>6.0579999999999998</v>
      </c>
      <c r="T4" s="97">
        <f t="shared" si="0"/>
        <v>18.363369782347334</v>
      </c>
      <c r="U4" s="97">
        <f t="shared" si="1"/>
        <v>15.336173151125001</v>
      </c>
      <c r="V4" s="97">
        <f t="shared" si="2"/>
        <v>3.0271966312223331</v>
      </c>
    </row>
    <row r="5" spans="1:22" x14ac:dyDescent="0.25">
      <c r="A5">
        <v>4</v>
      </c>
      <c r="B5" s="7">
        <v>4.4000000000000004</v>
      </c>
      <c r="C5" s="98">
        <v>4.78781E-2</v>
      </c>
      <c r="D5" s="7">
        <v>4.8</v>
      </c>
      <c r="E5">
        <v>1.5</v>
      </c>
      <c r="F5" s="3">
        <v>0.03</v>
      </c>
      <c r="G5">
        <v>1.6719999999999999</v>
      </c>
      <c r="H5" s="3">
        <v>2.5000000000000001E-2</v>
      </c>
      <c r="I5">
        <v>8.5999999999999993E-2</v>
      </c>
      <c r="J5" s="3">
        <v>4.7409999999999997</v>
      </c>
      <c r="K5" s="3">
        <v>0.08</v>
      </c>
      <c r="L5">
        <v>3.0000000000000001E-3</v>
      </c>
      <c r="M5" s="3">
        <v>13.308</v>
      </c>
      <c r="N5" s="3">
        <v>0.23200000000000001</v>
      </c>
      <c r="O5">
        <v>0</v>
      </c>
      <c r="P5">
        <v>10</v>
      </c>
      <c r="Q5" s="7">
        <v>6.8</v>
      </c>
      <c r="R5" s="3">
        <v>6.3040000000000003</v>
      </c>
      <c r="T5" s="97">
        <f t="shared" si="0"/>
        <v>15.322637936825993</v>
      </c>
      <c r="U5" s="97">
        <f t="shared" si="1"/>
        <v>12.821119155125002</v>
      </c>
      <c r="V5" s="97">
        <f t="shared" si="2"/>
        <v>2.501518781700991</v>
      </c>
    </row>
    <row r="6" spans="1:22" x14ac:dyDescent="0.25">
      <c r="A6">
        <v>5</v>
      </c>
      <c r="B6" s="7">
        <v>6.5</v>
      </c>
      <c r="C6" s="98">
        <v>7.0729100000000003E-2</v>
      </c>
      <c r="D6" s="7">
        <v>7.1</v>
      </c>
      <c r="E6">
        <v>1.5</v>
      </c>
      <c r="F6" s="3">
        <v>5.0999999999999997E-2</v>
      </c>
      <c r="G6">
        <v>1.6719999999999999</v>
      </c>
      <c r="H6" s="3">
        <v>1.4999999999999999E-2</v>
      </c>
      <c r="I6">
        <v>8.5999999999999993E-2</v>
      </c>
      <c r="J6" s="3">
        <v>4.4249999999999998</v>
      </c>
      <c r="K6" s="3">
        <v>0.08</v>
      </c>
      <c r="L6">
        <v>3.0000000000000001E-3</v>
      </c>
      <c r="M6" s="3">
        <v>13.308</v>
      </c>
      <c r="N6" s="3">
        <v>0.23200000000000001</v>
      </c>
      <c r="O6">
        <v>0</v>
      </c>
      <c r="P6">
        <v>11</v>
      </c>
      <c r="Q6" s="7">
        <v>8.9</v>
      </c>
      <c r="R6" s="3">
        <v>6.5510000000000002</v>
      </c>
      <c r="T6" s="97">
        <f t="shared" si="0"/>
        <v>12.319643828250001</v>
      </c>
      <c r="U6" s="97">
        <f t="shared" si="1"/>
        <v>10.098705783374996</v>
      </c>
      <c r="V6" s="97">
        <f t="shared" si="2"/>
        <v>2.2209380448750053</v>
      </c>
    </row>
    <row r="7" spans="1:22" x14ac:dyDescent="0.25">
      <c r="A7">
        <v>6</v>
      </c>
      <c r="B7" s="7">
        <v>9</v>
      </c>
      <c r="C7" s="98">
        <v>9.7932500000000006E-2</v>
      </c>
      <c r="D7" s="7">
        <v>9.8000000000000007</v>
      </c>
      <c r="E7">
        <v>1.5</v>
      </c>
      <c r="F7" s="3">
        <v>6.8000000000000005E-2</v>
      </c>
      <c r="G7">
        <v>1.6719999999999999</v>
      </c>
      <c r="H7" s="3">
        <v>5.0000000000000001E-3</v>
      </c>
      <c r="I7">
        <v>8.5999999999999993E-2</v>
      </c>
      <c r="J7" s="3">
        <v>4.0910000000000002</v>
      </c>
      <c r="K7" s="3">
        <v>0.08</v>
      </c>
      <c r="L7">
        <v>3.0000000000000001E-3</v>
      </c>
      <c r="M7" s="3">
        <v>13.308</v>
      </c>
      <c r="N7" s="3">
        <v>0.23200000000000001</v>
      </c>
      <c r="O7">
        <v>0</v>
      </c>
      <c r="P7">
        <v>12</v>
      </c>
      <c r="Q7" s="7">
        <v>11.4</v>
      </c>
      <c r="R7" s="3">
        <v>6.835</v>
      </c>
      <c r="T7" s="97">
        <f t="shared" si="0"/>
        <v>9.610020960605997</v>
      </c>
      <c r="U7" s="97">
        <f t="shared" si="1"/>
        <v>7.7330261093750003</v>
      </c>
      <c r="V7" s="97">
        <f t="shared" si="2"/>
        <v>1.8769948512309966</v>
      </c>
    </row>
    <row r="8" spans="1:22" x14ac:dyDescent="0.25">
      <c r="A8">
        <v>7</v>
      </c>
      <c r="B8" s="7">
        <v>12.2</v>
      </c>
      <c r="C8" s="98">
        <v>0.13275300000000001</v>
      </c>
      <c r="D8" s="7">
        <v>13.3</v>
      </c>
      <c r="E8">
        <v>1.5</v>
      </c>
      <c r="F8" s="3">
        <v>9.4E-2</v>
      </c>
      <c r="G8">
        <v>0</v>
      </c>
      <c r="H8">
        <v>0</v>
      </c>
      <c r="I8">
        <v>8.5999999999999993E-2</v>
      </c>
      <c r="J8" s="3">
        <v>3.68</v>
      </c>
      <c r="K8" s="3">
        <v>0.08</v>
      </c>
      <c r="L8">
        <v>3.0000000000000001E-3</v>
      </c>
      <c r="M8" s="3">
        <v>13.308</v>
      </c>
      <c r="N8" s="3">
        <v>0.23200000000000001</v>
      </c>
      <c r="O8">
        <v>0</v>
      </c>
      <c r="P8">
        <v>13</v>
      </c>
      <c r="Q8" s="7">
        <v>14.6</v>
      </c>
      <c r="R8" s="3">
        <v>7.2149999999999999</v>
      </c>
      <c r="T8" s="97">
        <f t="shared" si="0"/>
        <v>6.9438204586666661</v>
      </c>
      <c r="U8" s="97">
        <f t="shared" si="1"/>
        <v>5.3227089359999997</v>
      </c>
      <c r="V8" s="97">
        <f t="shared" si="2"/>
        <v>1.6211115226666664</v>
      </c>
    </row>
    <row r="9" spans="1:22" x14ac:dyDescent="0.25">
      <c r="A9">
        <v>8</v>
      </c>
      <c r="B9" s="7">
        <v>13.9</v>
      </c>
      <c r="C9" s="98">
        <v>0.151251</v>
      </c>
      <c r="D9" s="7">
        <v>15.1</v>
      </c>
      <c r="E9">
        <v>1.5</v>
      </c>
      <c r="F9" s="3">
        <v>0.111</v>
      </c>
      <c r="G9">
        <v>0</v>
      </c>
      <c r="H9">
        <v>0</v>
      </c>
      <c r="I9">
        <v>8.5999999999999993E-2</v>
      </c>
      <c r="J9" s="3">
        <v>3.48</v>
      </c>
      <c r="K9" s="3">
        <v>0.08</v>
      </c>
      <c r="L9">
        <v>3.0000000000000001E-3</v>
      </c>
      <c r="M9" s="3">
        <v>13.177</v>
      </c>
      <c r="N9" s="3">
        <v>0.23</v>
      </c>
      <c r="O9">
        <v>-1.34E-3</v>
      </c>
      <c r="P9">
        <v>14</v>
      </c>
      <c r="Q9" s="7">
        <v>16.3</v>
      </c>
      <c r="R9" s="3">
        <v>7.4039999999999999</v>
      </c>
      <c r="T9" s="97">
        <f t="shared" si="0"/>
        <v>5.8720907519999992</v>
      </c>
      <c r="U9" s="97">
        <f t="shared" si="1"/>
        <v>4.3227811889999996</v>
      </c>
      <c r="V9" s="97">
        <f t="shared" si="2"/>
        <v>1.5493095629999996</v>
      </c>
    </row>
    <row r="10" spans="1:22" x14ac:dyDescent="0.25">
      <c r="A10">
        <v>9</v>
      </c>
      <c r="B10" s="7">
        <v>15.5</v>
      </c>
      <c r="C10" s="98">
        <v>0.16866200000000001</v>
      </c>
      <c r="D10" s="7">
        <v>16.899999999999999</v>
      </c>
      <c r="E10">
        <v>1.5</v>
      </c>
      <c r="F10" s="3">
        <v>0.11899999999999999</v>
      </c>
      <c r="G10">
        <v>0</v>
      </c>
      <c r="H10">
        <v>0</v>
      </c>
      <c r="I10">
        <v>8.5999999999999993E-2</v>
      </c>
      <c r="J10" s="3">
        <v>3.2850000000000001</v>
      </c>
      <c r="K10" s="3">
        <v>0.08</v>
      </c>
      <c r="L10">
        <v>3.0000000000000001E-3</v>
      </c>
      <c r="M10" s="3">
        <v>13.045999999999999</v>
      </c>
      <c r="N10" s="3">
        <v>0.22800000000000001</v>
      </c>
      <c r="O10">
        <v>-1.4300000000000001E-3</v>
      </c>
      <c r="P10">
        <v>15</v>
      </c>
      <c r="Q10" s="7">
        <v>17.899999999999999</v>
      </c>
      <c r="R10" s="3">
        <v>7.5519999999999996</v>
      </c>
      <c r="T10" s="97">
        <f t="shared" si="0"/>
        <v>4.93925159475</v>
      </c>
      <c r="U10" s="97">
        <f t="shared" si="1"/>
        <v>3.5361231028750004</v>
      </c>
      <c r="V10" s="97">
        <f t="shared" si="2"/>
        <v>1.4031284918749996</v>
      </c>
    </row>
    <row r="11" spans="1:22" x14ac:dyDescent="0.25">
      <c r="A11">
        <v>10</v>
      </c>
      <c r="B11" s="7">
        <v>17.100000000000001</v>
      </c>
      <c r="C11" s="98">
        <v>0.18607199999999999</v>
      </c>
      <c r="D11" s="7">
        <v>18.600000000000001</v>
      </c>
      <c r="E11">
        <v>1.5</v>
      </c>
      <c r="F11" s="3">
        <v>0.13600000000000001</v>
      </c>
      <c r="G11">
        <v>0</v>
      </c>
      <c r="H11">
        <v>0</v>
      </c>
      <c r="I11">
        <v>8.5999999999999993E-2</v>
      </c>
      <c r="J11" s="3">
        <v>3.089</v>
      </c>
      <c r="K11" s="3">
        <v>0.08</v>
      </c>
      <c r="L11">
        <v>3.0000000000000001E-3</v>
      </c>
      <c r="M11" s="3">
        <v>12.914999999999999</v>
      </c>
      <c r="N11" s="3">
        <v>0.22500000000000001</v>
      </c>
      <c r="O11">
        <v>-1.4300000000000001E-3</v>
      </c>
      <c r="P11">
        <v>16</v>
      </c>
      <c r="Q11" s="7">
        <v>19.5</v>
      </c>
      <c r="R11" s="3">
        <v>7.6280000000000001</v>
      </c>
      <c r="T11" s="97">
        <f t="shared" si="0"/>
        <v>4.1068491596806656</v>
      </c>
      <c r="U11" s="97">
        <f t="shared" si="1"/>
        <v>2.7942840641250006</v>
      </c>
      <c r="V11" s="97">
        <f t="shared" si="2"/>
        <v>1.3125650955556649</v>
      </c>
    </row>
    <row r="12" spans="1:22" x14ac:dyDescent="0.25">
      <c r="A12">
        <v>11</v>
      </c>
      <c r="B12" s="7">
        <v>19.8</v>
      </c>
      <c r="C12" s="98">
        <v>0.215452</v>
      </c>
      <c r="D12" s="7">
        <v>21.5</v>
      </c>
      <c r="E12">
        <v>1.5</v>
      </c>
      <c r="F12" s="3">
        <v>0.13600000000000001</v>
      </c>
      <c r="G12">
        <v>0</v>
      </c>
      <c r="H12">
        <v>0</v>
      </c>
      <c r="I12">
        <v>8.5999999999999993E-2</v>
      </c>
      <c r="J12" s="3">
        <v>2.8820000000000001</v>
      </c>
      <c r="K12" s="3">
        <v>0.08</v>
      </c>
      <c r="L12">
        <v>3.0000000000000001E-3</v>
      </c>
      <c r="M12" s="3">
        <v>12.132999999999999</v>
      </c>
      <c r="N12" s="3">
        <v>0.21199999999999999</v>
      </c>
      <c r="O12">
        <v>-5.0499999999999998E-3</v>
      </c>
      <c r="P12">
        <v>17</v>
      </c>
      <c r="Q12" s="7">
        <v>22.2</v>
      </c>
      <c r="R12" s="3">
        <v>7.585</v>
      </c>
      <c r="T12" s="97">
        <f t="shared" si="0"/>
        <v>3.3353157668746669</v>
      </c>
      <c r="U12" s="97">
        <f t="shared" si="1"/>
        <v>2.2224476250000009</v>
      </c>
      <c r="V12" s="97">
        <f t="shared" si="2"/>
        <v>1.112868141874666</v>
      </c>
    </row>
    <row r="13" spans="1:22" x14ac:dyDescent="0.25">
      <c r="A13">
        <v>12</v>
      </c>
      <c r="B13" s="7">
        <v>22.5</v>
      </c>
      <c r="C13" s="98">
        <v>0.24483099999999999</v>
      </c>
      <c r="D13" s="7">
        <v>24.5</v>
      </c>
      <c r="E13">
        <v>1.5</v>
      </c>
      <c r="F13" s="3">
        <v>0.13600000000000001</v>
      </c>
      <c r="G13">
        <v>0</v>
      </c>
      <c r="H13">
        <v>0</v>
      </c>
      <c r="I13">
        <v>8.5999999999999993E-2</v>
      </c>
      <c r="J13" s="3">
        <v>2.6960000000000002</v>
      </c>
      <c r="K13" s="3">
        <v>0.08</v>
      </c>
      <c r="L13">
        <v>3.0000000000000001E-3</v>
      </c>
      <c r="M13" s="3">
        <v>11.35</v>
      </c>
      <c r="N13" s="3">
        <v>0.19800000000000001</v>
      </c>
      <c r="O13">
        <v>-5.0600000000000003E-3</v>
      </c>
      <c r="P13">
        <v>18</v>
      </c>
      <c r="Q13" s="7">
        <v>24.9</v>
      </c>
      <c r="R13" s="3">
        <v>7.4880000000000004</v>
      </c>
      <c r="T13" s="97">
        <f t="shared" si="0"/>
        <v>2.7303271686826664</v>
      </c>
      <c r="U13" s="97">
        <f t="shared" si="1"/>
        <v>1.7803601280000008</v>
      </c>
      <c r="V13" s="97">
        <f t="shared" si="2"/>
        <v>0.94996704068266569</v>
      </c>
    </row>
    <row r="14" spans="1:22" x14ac:dyDescent="0.25">
      <c r="A14">
        <v>13</v>
      </c>
      <c r="B14" s="7">
        <v>25.2</v>
      </c>
      <c r="C14" s="98">
        <v>0.27421099999999998</v>
      </c>
      <c r="D14" s="7">
        <v>27.4</v>
      </c>
      <c r="E14">
        <v>1.5</v>
      </c>
      <c r="F14" s="3">
        <v>0.128</v>
      </c>
      <c r="G14">
        <v>0</v>
      </c>
      <c r="H14">
        <v>0</v>
      </c>
      <c r="I14">
        <v>8.5999999999999993E-2</v>
      </c>
      <c r="J14" s="3">
        <v>2.4980000000000002</v>
      </c>
      <c r="K14" s="3">
        <v>0.08</v>
      </c>
      <c r="L14">
        <v>3.0000000000000001E-3</v>
      </c>
      <c r="M14" s="3">
        <v>10.568</v>
      </c>
      <c r="N14" s="3">
        <v>0.184</v>
      </c>
      <c r="O14">
        <v>-5.0499999999999998E-3</v>
      </c>
      <c r="P14">
        <v>19</v>
      </c>
      <c r="Q14" s="7">
        <v>27.6</v>
      </c>
      <c r="R14" s="3">
        <v>7.3470000000000004</v>
      </c>
      <c r="T14" s="97">
        <f t="shared" si="0"/>
        <v>2.171862512218667</v>
      </c>
      <c r="U14" s="97">
        <f t="shared" si="1"/>
        <v>1.4086945609999999</v>
      </c>
      <c r="V14" s="97">
        <f t="shared" si="2"/>
        <v>0.7631679512186671</v>
      </c>
    </row>
    <row r="15" spans="1:22" x14ac:dyDescent="0.25">
      <c r="A15">
        <v>14</v>
      </c>
      <c r="B15" s="7">
        <v>33.4</v>
      </c>
      <c r="C15" s="98">
        <v>0.36343900000000001</v>
      </c>
      <c r="D15" s="7">
        <v>36.299999999999997</v>
      </c>
      <c r="E15">
        <v>1.5</v>
      </c>
      <c r="F15" s="3">
        <v>0.11899999999999999</v>
      </c>
      <c r="G15">
        <v>0</v>
      </c>
      <c r="H15">
        <v>0</v>
      </c>
      <c r="I15">
        <v>8.5999999999999993E-2</v>
      </c>
      <c r="J15" s="3">
        <v>2.077</v>
      </c>
      <c r="K15" s="3">
        <v>0.08</v>
      </c>
      <c r="L15">
        <v>3.0000000000000001E-3</v>
      </c>
      <c r="M15" s="3">
        <v>9.1660000000000004</v>
      </c>
      <c r="N15" s="3">
        <v>0.16</v>
      </c>
      <c r="O15">
        <v>-2.98E-3</v>
      </c>
      <c r="P15">
        <v>20</v>
      </c>
      <c r="Q15" s="7">
        <v>35.799999999999997</v>
      </c>
      <c r="R15" s="3">
        <v>6.923</v>
      </c>
      <c r="T15" s="97">
        <f t="shared" si="0"/>
        <v>1.2484309209313331</v>
      </c>
      <c r="U15" s="97">
        <f t="shared" si="1"/>
        <v>0.77741908987499997</v>
      </c>
      <c r="V15" s="97">
        <f t="shared" si="2"/>
        <v>0.47101183105633315</v>
      </c>
    </row>
    <row r="16" spans="1:22" x14ac:dyDescent="0.25">
      <c r="A16">
        <v>15</v>
      </c>
      <c r="B16" s="7">
        <v>41.5</v>
      </c>
      <c r="C16" s="98">
        <v>0.45157799999999998</v>
      </c>
      <c r="D16" s="7">
        <v>45.2</v>
      </c>
      <c r="E16">
        <v>1.5</v>
      </c>
      <c r="F16" s="3">
        <v>0.111</v>
      </c>
      <c r="G16">
        <v>0</v>
      </c>
      <c r="H16">
        <v>0</v>
      </c>
      <c r="I16">
        <v>8.5999999999999993E-2</v>
      </c>
      <c r="J16" s="3">
        <v>1.6719999999999999</v>
      </c>
      <c r="K16" s="3">
        <v>0.08</v>
      </c>
      <c r="L16">
        <v>3.0000000000000001E-3</v>
      </c>
      <c r="M16" s="3">
        <v>7.6879999999999997</v>
      </c>
      <c r="N16" s="3">
        <v>0.13400000000000001</v>
      </c>
      <c r="O16">
        <v>-3.1800000000000001E-3</v>
      </c>
      <c r="P16">
        <v>21</v>
      </c>
      <c r="Q16" s="7">
        <v>43.9</v>
      </c>
      <c r="R16" s="3">
        <v>6.4290000000000003</v>
      </c>
      <c r="T16" s="97">
        <f t="shared" si="0"/>
        <v>0.65127415842133307</v>
      </c>
      <c r="U16" s="97">
        <f t="shared" si="1"/>
        <v>0.38107812499999999</v>
      </c>
      <c r="V16" s="97">
        <f t="shared" si="2"/>
        <v>0.27019603342133308</v>
      </c>
    </row>
    <row r="17" spans="1:22" x14ac:dyDescent="0.25">
      <c r="A17">
        <v>16</v>
      </c>
      <c r="B17" s="7">
        <v>49.6</v>
      </c>
      <c r="C17" s="98">
        <v>0.539717</v>
      </c>
      <c r="D17" s="7">
        <v>54</v>
      </c>
      <c r="E17">
        <v>1.5</v>
      </c>
      <c r="F17" s="3">
        <v>0.10199999999999999</v>
      </c>
      <c r="G17">
        <v>0</v>
      </c>
      <c r="H17">
        <v>0</v>
      </c>
      <c r="I17">
        <v>8.5999999999999993E-2</v>
      </c>
      <c r="J17" s="3">
        <v>1.36</v>
      </c>
      <c r="K17" s="3">
        <v>0.08</v>
      </c>
      <c r="L17">
        <v>3.0000000000000001E-3</v>
      </c>
      <c r="M17" s="3">
        <v>6.18</v>
      </c>
      <c r="N17" s="3">
        <v>0.108</v>
      </c>
      <c r="O17">
        <v>-3.2499999999999999E-3</v>
      </c>
      <c r="P17">
        <v>22</v>
      </c>
      <c r="Q17" s="7">
        <v>52</v>
      </c>
      <c r="R17" s="3">
        <v>5.915</v>
      </c>
      <c r="T17" s="97">
        <f t="shared" si="0"/>
        <v>0.3504868693333334</v>
      </c>
      <c r="U17" s="97">
        <f t="shared" si="1"/>
        <v>0.19310055200000009</v>
      </c>
      <c r="V17" s="97">
        <f t="shared" si="2"/>
        <v>0.1573863173333333</v>
      </c>
    </row>
    <row r="18" spans="1:22" x14ac:dyDescent="0.25">
      <c r="A18">
        <v>17</v>
      </c>
      <c r="B18" s="7">
        <v>57.8</v>
      </c>
      <c r="C18" s="98">
        <v>0.62894499999999998</v>
      </c>
      <c r="D18" s="7">
        <v>62.9</v>
      </c>
      <c r="E18">
        <v>1.5</v>
      </c>
      <c r="F18" s="3">
        <v>8.5000000000000006E-2</v>
      </c>
      <c r="G18">
        <v>0</v>
      </c>
      <c r="H18">
        <v>0</v>
      </c>
      <c r="I18">
        <v>8.5999999999999993E-2</v>
      </c>
      <c r="J18" s="3">
        <v>1.1379999999999999</v>
      </c>
      <c r="K18" s="3">
        <v>0.08</v>
      </c>
      <c r="L18">
        <v>3.0000000000000001E-3</v>
      </c>
      <c r="M18" s="3">
        <v>4.7430000000000003</v>
      </c>
      <c r="N18" s="3">
        <v>8.3000000000000004E-2</v>
      </c>
      <c r="O18">
        <v>-3.0599999999999998E-3</v>
      </c>
      <c r="P18">
        <v>23</v>
      </c>
      <c r="Q18" s="7">
        <v>60.2</v>
      </c>
      <c r="R18" s="3">
        <v>5.4169999999999998</v>
      </c>
      <c r="T18" s="97">
        <f t="shared" si="0"/>
        <v>0.20534390336533326</v>
      </c>
      <c r="U18" s="97">
        <f t="shared" si="1"/>
        <v>0.11337990399999995</v>
      </c>
      <c r="V18" s="97">
        <f t="shared" si="2"/>
        <v>9.196399936533331E-2</v>
      </c>
    </row>
    <row r="19" spans="1:22" x14ac:dyDescent="0.25">
      <c r="A19">
        <v>18</v>
      </c>
      <c r="B19" s="7">
        <v>64.3</v>
      </c>
      <c r="C19" s="98">
        <v>0.69967400000000002</v>
      </c>
      <c r="D19" s="7">
        <v>70</v>
      </c>
      <c r="E19">
        <v>1.5</v>
      </c>
      <c r="F19" s="3">
        <v>6.8000000000000005E-2</v>
      </c>
      <c r="G19">
        <v>0</v>
      </c>
      <c r="H19">
        <v>0</v>
      </c>
      <c r="I19">
        <v>8.5999999999999993E-2</v>
      </c>
      <c r="J19" s="3">
        <v>0.95399999999999996</v>
      </c>
      <c r="K19" s="3">
        <v>0.08</v>
      </c>
      <c r="L19">
        <v>3.0000000000000001E-3</v>
      </c>
      <c r="M19" s="3">
        <v>3.633</v>
      </c>
      <c r="N19" s="3">
        <v>6.3E-2</v>
      </c>
      <c r="O19">
        <v>-2.98E-3</v>
      </c>
      <c r="P19">
        <v>24</v>
      </c>
      <c r="Q19" s="7">
        <v>66.7</v>
      </c>
      <c r="R19" s="3">
        <v>5.0190000000000001</v>
      </c>
      <c r="T19" s="97">
        <f t="shared" si="0"/>
        <v>0.12097625918399996</v>
      </c>
      <c r="U19" s="97">
        <f t="shared" si="1"/>
        <v>6.8417928999999988E-2</v>
      </c>
      <c r="V19" s="97">
        <f t="shared" si="2"/>
        <v>5.2558330183999968E-2</v>
      </c>
    </row>
    <row r="20" spans="1:22" x14ac:dyDescent="0.25">
      <c r="A20">
        <v>19</v>
      </c>
      <c r="B20" s="7">
        <v>65.900000000000006</v>
      </c>
      <c r="C20" s="98">
        <v>0.71708400000000005</v>
      </c>
      <c r="D20" s="7">
        <v>71.7</v>
      </c>
      <c r="E20">
        <v>1.5</v>
      </c>
      <c r="F20" s="3">
        <v>6.4000000000000001E-2</v>
      </c>
      <c r="G20">
        <v>0</v>
      </c>
      <c r="H20">
        <v>0</v>
      </c>
      <c r="I20">
        <v>8.5999999999999993E-2</v>
      </c>
      <c r="J20" s="3">
        <v>0.91</v>
      </c>
      <c r="K20" s="3">
        <v>0.08</v>
      </c>
      <c r="L20">
        <v>3.0000000000000001E-3</v>
      </c>
      <c r="M20" s="3">
        <v>3.383</v>
      </c>
      <c r="N20" s="3">
        <v>5.8999999999999997E-2</v>
      </c>
      <c r="O20">
        <v>-2.7299999999999998E-3</v>
      </c>
      <c r="P20">
        <v>25</v>
      </c>
      <c r="Q20" s="7">
        <v>68.3</v>
      </c>
      <c r="R20" s="3">
        <v>4.92</v>
      </c>
      <c r="T20" s="97">
        <f t="shared" si="0"/>
        <v>0.10499755933333332</v>
      </c>
      <c r="U20" s="97">
        <f t="shared" si="1"/>
        <v>5.9776471000000012E-2</v>
      </c>
      <c r="V20" s="97">
        <f t="shared" si="2"/>
        <v>4.5221088333333312E-2</v>
      </c>
    </row>
    <row r="21" spans="1:22" x14ac:dyDescent="0.25">
      <c r="A21">
        <v>20</v>
      </c>
      <c r="B21" s="7">
        <v>70.8</v>
      </c>
      <c r="C21" s="98">
        <v>0.77040299999999995</v>
      </c>
      <c r="D21" s="7">
        <v>77</v>
      </c>
      <c r="E21">
        <v>1.5</v>
      </c>
      <c r="F21" s="3">
        <v>4.7E-2</v>
      </c>
      <c r="G21">
        <v>0</v>
      </c>
      <c r="H21">
        <v>0</v>
      </c>
      <c r="I21">
        <v>8.5999999999999993E-2</v>
      </c>
      <c r="J21" s="3">
        <v>0.83199999999999996</v>
      </c>
      <c r="K21" s="3">
        <v>0.08</v>
      </c>
      <c r="L21">
        <v>3.0000000000000001E-3</v>
      </c>
      <c r="M21" s="3">
        <v>2.7349999999999999</v>
      </c>
      <c r="N21" s="3">
        <v>4.8000000000000001E-2</v>
      </c>
      <c r="O21">
        <v>-2.31E-3</v>
      </c>
      <c r="P21">
        <v>26</v>
      </c>
      <c r="Q21" s="7">
        <v>73.2</v>
      </c>
      <c r="R21" s="3">
        <v>4.6210000000000004</v>
      </c>
      <c r="T21" s="97">
        <f t="shared" si="0"/>
        <v>8.0246297941333311E-2</v>
      </c>
      <c r="U21" s="97">
        <f t="shared" si="1"/>
        <v>5.0243409000000003E-2</v>
      </c>
      <c r="V21" s="97">
        <f t="shared" si="2"/>
        <v>3.0002888941333308E-2</v>
      </c>
    </row>
    <row r="22" spans="1:22" x14ac:dyDescent="0.25">
      <c r="A22">
        <v>21</v>
      </c>
      <c r="B22" s="7">
        <v>74</v>
      </c>
      <c r="C22" s="98">
        <v>0.80522300000000002</v>
      </c>
      <c r="D22" s="7">
        <v>80.5</v>
      </c>
      <c r="E22">
        <v>1.5</v>
      </c>
      <c r="F22" s="3">
        <v>3.4000000000000002E-2</v>
      </c>
      <c r="G22">
        <v>0</v>
      </c>
      <c r="H22">
        <v>0</v>
      </c>
      <c r="I22">
        <v>8.5999999999999993E-2</v>
      </c>
      <c r="J22" s="3">
        <v>0.79600000000000004</v>
      </c>
      <c r="K22" s="3">
        <v>0.08</v>
      </c>
      <c r="L22">
        <v>3.0000000000000001E-3</v>
      </c>
      <c r="M22" s="3">
        <v>2.3479999999999999</v>
      </c>
      <c r="N22" s="3">
        <v>4.1000000000000002E-2</v>
      </c>
      <c r="O22">
        <v>-2.1099999999999999E-3</v>
      </c>
      <c r="P22">
        <v>27</v>
      </c>
      <c r="Q22" s="7">
        <v>76.400000000000006</v>
      </c>
      <c r="R22" s="3">
        <v>4.4219999999999997</v>
      </c>
      <c r="T22" s="97">
        <f t="shared" si="0"/>
        <v>7.0273928149333337E-2</v>
      </c>
      <c r="U22" s="97">
        <f t="shared" si="1"/>
        <v>4.8228543999999998E-2</v>
      </c>
      <c r="V22" s="97">
        <f t="shared" si="2"/>
        <v>2.2045384149333339E-2</v>
      </c>
    </row>
    <row r="23" spans="1:22" x14ac:dyDescent="0.25">
      <c r="A23">
        <v>22</v>
      </c>
      <c r="B23" s="7">
        <v>82.2</v>
      </c>
      <c r="C23" s="98">
        <v>0.89444999999999997</v>
      </c>
      <c r="D23" s="7">
        <v>89.4</v>
      </c>
      <c r="E23">
        <v>1.5</v>
      </c>
      <c r="F23" s="3">
        <v>1.7000000000000001E-2</v>
      </c>
      <c r="G23">
        <v>0</v>
      </c>
      <c r="H23">
        <v>0</v>
      </c>
      <c r="I23">
        <v>8.5999999999999993E-2</v>
      </c>
      <c r="J23" s="3">
        <v>0.70699999999999996</v>
      </c>
      <c r="K23" s="3">
        <v>0.08</v>
      </c>
      <c r="L23">
        <v>3.0000000000000001E-3</v>
      </c>
      <c r="M23" s="3">
        <v>1.38</v>
      </c>
      <c r="N23" s="3">
        <v>2.4E-2</v>
      </c>
      <c r="O23">
        <v>-2.0600000000000002E-3</v>
      </c>
      <c r="P23">
        <v>28</v>
      </c>
      <c r="Q23" s="7">
        <v>84.6</v>
      </c>
      <c r="R23" s="3">
        <v>3.9249999999999998</v>
      </c>
      <c r="T23" s="97">
        <f t="shared" si="0"/>
        <v>4.9239458524666643E-2</v>
      </c>
      <c r="U23" s="97">
        <f t="shared" si="1"/>
        <v>3.810265212499999E-2</v>
      </c>
      <c r="V23" s="97">
        <f t="shared" si="2"/>
        <v>1.1136806399666653E-2</v>
      </c>
    </row>
    <row r="24" spans="1:22" x14ac:dyDescent="0.25">
      <c r="A24">
        <v>23</v>
      </c>
      <c r="B24" s="7">
        <v>87</v>
      </c>
      <c r="C24" s="98">
        <v>0.94668099999999999</v>
      </c>
      <c r="D24" s="7">
        <v>94.7</v>
      </c>
      <c r="E24">
        <v>1.5</v>
      </c>
      <c r="F24" s="3">
        <v>8.9999999999999993E-3</v>
      </c>
      <c r="G24">
        <v>0</v>
      </c>
      <c r="H24">
        <v>0</v>
      </c>
      <c r="I24">
        <v>8.5999999999999993E-2</v>
      </c>
      <c r="J24" s="3">
        <v>0.65100000000000002</v>
      </c>
      <c r="K24" s="3">
        <v>0.08</v>
      </c>
      <c r="L24">
        <v>3.0000000000000001E-3</v>
      </c>
      <c r="M24" s="3">
        <v>0.79900000000000004</v>
      </c>
      <c r="N24" s="3">
        <v>1.4E-2</v>
      </c>
      <c r="O24">
        <v>-2.1099999999999999E-3</v>
      </c>
      <c r="P24">
        <v>29</v>
      </c>
      <c r="Q24" s="7">
        <v>89.4</v>
      </c>
      <c r="R24" s="3">
        <v>3.6190000000000002</v>
      </c>
      <c r="T24" s="97">
        <f t="shared" si="0"/>
        <v>3.8441293506E-2</v>
      </c>
      <c r="U24" s="97">
        <f t="shared" si="1"/>
        <v>3.1704517125000005E-2</v>
      </c>
      <c r="V24" s="97">
        <f t="shared" si="2"/>
        <v>6.7367763809999953E-3</v>
      </c>
    </row>
    <row r="25" spans="1:22" x14ac:dyDescent="0.25">
      <c r="A25">
        <v>24</v>
      </c>
      <c r="B25" s="7">
        <v>91.9</v>
      </c>
      <c r="C25" s="98">
        <v>1</v>
      </c>
      <c r="D25" s="7">
        <v>100</v>
      </c>
      <c r="E25">
        <v>1.5</v>
      </c>
      <c r="F25" s="3">
        <v>5.0000000000000001E-3</v>
      </c>
      <c r="G25">
        <v>0</v>
      </c>
      <c r="H25">
        <v>0</v>
      </c>
      <c r="I25">
        <v>8.5999999999999993E-2</v>
      </c>
      <c r="J25" s="3">
        <v>0.50800000000000001</v>
      </c>
      <c r="K25" s="3">
        <v>0.08</v>
      </c>
      <c r="L25">
        <v>3.0000000000000001E-3</v>
      </c>
      <c r="M25" s="3">
        <v>0.28000000000000003</v>
      </c>
      <c r="N25" s="3">
        <v>5.0000000000000001E-3</v>
      </c>
      <c r="O25">
        <v>-1.8500000000000001E-3</v>
      </c>
      <c r="P25">
        <v>30</v>
      </c>
      <c r="Q25" s="7">
        <v>94.3</v>
      </c>
      <c r="R25" s="3">
        <v>2.8239999999999998</v>
      </c>
      <c r="T25" s="97">
        <f t="shared" si="0"/>
        <v>1.8266114005333331E-2</v>
      </c>
      <c r="U25" s="97">
        <f t="shared" si="1"/>
        <v>1.5438248999999999E-2</v>
      </c>
      <c r="V25" s="97">
        <f t="shared" si="2"/>
        <v>2.8278650053333316E-3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M2" sqref="M2:M25"/>
    </sheetView>
  </sheetViews>
  <sheetFormatPr defaultRowHeight="15" x14ac:dyDescent="0.25"/>
  <cols>
    <col min="1" max="1" width="9.28515625" customWidth="1"/>
    <col min="2" max="2" width="6.140625" customWidth="1"/>
    <col min="3" max="3" width="4.7109375" customWidth="1"/>
    <col min="4" max="4" width="4.5703125" customWidth="1"/>
    <col min="5" max="5" width="4.5703125" bestFit="1" customWidth="1"/>
    <col min="6" max="6" width="11.5703125" customWidth="1"/>
    <col min="7" max="10" width="7.7109375" customWidth="1"/>
    <col min="11" max="11" width="7.5703125" customWidth="1"/>
    <col min="12" max="13" width="8.5703125" customWidth="1"/>
    <col min="14" max="14" width="8.42578125" customWidth="1"/>
    <col min="15" max="15" width="7.7109375" customWidth="1"/>
    <col min="16" max="16" width="6.5703125" customWidth="1"/>
    <col min="17" max="17" width="5.42578125" customWidth="1"/>
    <col min="18" max="18" width="10" customWidth="1"/>
    <col min="19" max="19" width="5" customWidth="1"/>
    <col min="20" max="20" width="7.7109375" customWidth="1"/>
    <col min="21" max="21" width="5.7109375" customWidth="1"/>
    <col min="22" max="22" width="7.7109375" customWidth="1"/>
    <col min="23" max="23" width="6.28515625" customWidth="1"/>
    <col min="25" max="25" width="2.85546875" customWidth="1"/>
    <col min="26" max="26" width="20.5703125" bestFit="1" customWidth="1"/>
    <col min="27" max="27" width="7.42578125" bestFit="1" customWidth="1"/>
    <col min="28" max="28" width="9.42578125" bestFit="1" customWidth="1"/>
    <col min="29" max="29" width="2.5703125" customWidth="1"/>
    <col min="30" max="30" width="39.42578125" bestFit="1" customWidth="1"/>
    <col min="31" max="31" width="7.5703125" bestFit="1" customWidth="1"/>
    <col min="32" max="32" width="8.42578125" bestFit="1" customWidth="1"/>
  </cols>
  <sheetData>
    <row r="1" spans="1:32" ht="36" customHeight="1" x14ac:dyDescent="0.35">
      <c r="C1" s="99" t="s">
        <v>101</v>
      </c>
      <c r="D1" s="99" t="s">
        <v>122</v>
      </c>
      <c r="E1" s="107" t="s">
        <v>121</v>
      </c>
      <c r="F1" s="99" t="s">
        <v>103</v>
      </c>
      <c r="G1" s="99" t="s">
        <v>104</v>
      </c>
      <c r="H1" s="99" t="s">
        <v>105</v>
      </c>
      <c r="I1" s="107" t="s">
        <v>106</v>
      </c>
      <c r="J1" s="99" t="s">
        <v>107</v>
      </c>
      <c r="K1" s="107" t="s">
        <v>108</v>
      </c>
      <c r="L1" s="99" t="s">
        <v>109</v>
      </c>
      <c r="M1" s="107" t="s">
        <v>110</v>
      </c>
      <c r="N1" s="99" t="s">
        <v>111</v>
      </c>
      <c r="O1" s="99" t="s">
        <v>112</v>
      </c>
      <c r="P1" s="99" t="s">
        <v>113</v>
      </c>
      <c r="Q1" s="99" t="s">
        <v>118</v>
      </c>
      <c r="R1" s="99" t="s">
        <v>123</v>
      </c>
      <c r="S1" s="99" t="s">
        <v>115</v>
      </c>
      <c r="T1" s="99" t="s">
        <v>116</v>
      </c>
      <c r="U1" s="107" t="s">
        <v>117</v>
      </c>
      <c r="V1" s="108" t="s">
        <v>119</v>
      </c>
      <c r="W1" s="108" t="s">
        <v>120</v>
      </c>
      <c r="X1" s="107" t="s">
        <v>124</v>
      </c>
      <c r="Z1" s="117" t="s">
        <v>137</v>
      </c>
      <c r="AA1" s="117"/>
      <c r="AB1" s="117"/>
      <c r="AD1" s="118" t="s">
        <v>136</v>
      </c>
      <c r="AE1" s="118"/>
      <c r="AF1" s="118"/>
    </row>
    <row r="2" spans="1:32" ht="18" customHeight="1" x14ac:dyDescent="0.25">
      <c r="B2" s="119" t="s">
        <v>153</v>
      </c>
      <c r="C2">
        <v>1</v>
      </c>
      <c r="D2" s="7">
        <v>0</v>
      </c>
      <c r="E2" s="106">
        <v>0</v>
      </c>
      <c r="F2" s="98">
        <v>0</v>
      </c>
      <c r="G2" s="7">
        <v>0</v>
      </c>
      <c r="H2">
        <v>1.5</v>
      </c>
      <c r="I2" s="3">
        <v>1.2999999999999999E-2</v>
      </c>
      <c r="J2">
        <v>1.6719999999999999</v>
      </c>
      <c r="K2" s="97">
        <v>6.3E-2</v>
      </c>
      <c r="L2">
        <v>8.5999999999999993E-2</v>
      </c>
      <c r="M2" s="3">
        <v>5.266</v>
      </c>
      <c r="N2" s="3">
        <v>0.08</v>
      </c>
      <c r="O2">
        <v>3.0000000000000001E-3</v>
      </c>
      <c r="P2" s="3">
        <v>13.308</v>
      </c>
      <c r="Q2" s="3">
        <v>0.23200000000000001</v>
      </c>
      <c r="R2">
        <v>0</v>
      </c>
      <c r="S2">
        <v>7</v>
      </c>
      <c r="T2" s="7">
        <v>2.4</v>
      </c>
      <c r="U2" s="3">
        <v>5.7919999999999998</v>
      </c>
      <c r="V2" s="3">
        <f>(K2+I2+M2/2)</f>
        <v>2.7090000000000001</v>
      </c>
      <c r="W2" s="3">
        <f>V2/U2</f>
        <v>0.46771408839779011</v>
      </c>
      <c r="X2" s="3">
        <v>0</v>
      </c>
      <c r="Z2" s="100" t="s">
        <v>125</v>
      </c>
      <c r="AA2" s="100" t="s">
        <v>126</v>
      </c>
      <c r="AB2" s="100" t="s">
        <v>135</v>
      </c>
      <c r="AD2" s="101" t="s">
        <v>125</v>
      </c>
      <c r="AE2" s="101" t="s">
        <v>126</v>
      </c>
      <c r="AF2" s="101" t="s">
        <v>138</v>
      </c>
    </row>
    <row r="3" spans="1:32" ht="18" x14ac:dyDescent="0.35">
      <c r="B3" s="119"/>
      <c r="C3">
        <v>2</v>
      </c>
      <c r="D3" s="7">
        <v>0.2</v>
      </c>
      <c r="E3" s="106">
        <v>0</v>
      </c>
      <c r="F3" s="98">
        <v>2.1762800000000001E-3</v>
      </c>
      <c r="G3" s="7">
        <v>0.2</v>
      </c>
      <c r="H3">
        <v>1.5</v>
      </c>
      <c r="I3" s="3">
        <v>1.2999999999999999E-2</v>
      </c>
      <c r="J3">
        <v>1.6719999999999999</v>
      </c>
      <c r="K3" s="97">
        <v>5.5E-2</v>
      </c>
      <c r="L3">
        <v>8.5999999999999993E-2</v>
      </c>
      <c r="M3" s="3">
        <v>5.2649999999999997</v>
      </c>
      <c r="N3" s="3">
        <v>0.08</v>
      </c>
      <c r="O3">
        <v>3.0000000000000001E-3</v>
      </c>
      <c r="P3" s="3">
        <v>13.308</v>
      </c>
      <c r="Q3" s="3">
        <v>0.23200000000000001</v>
      </c>
      <c r="R3">
        <v>0</v>
      </c>
      <c r="S3">
        <v>8</v>
      </c>
      <c r="T3" s="7">
        <v>2.6</v>
      </c>
      <c r="U3" s="3">
        <v>5.8109999999999999</v>
      </c>
      <c r="V3" s="3">
        <f t="shared" ref="V3:V25" si="0">(K3+I3+M3/2)</f>
        <v>2.7004999999999999</v>
      </c>
      <c r="W3" s="3">
        <f t="shared" ref="W3:W25" si="1">V3/U3</f>
        <v>0.46472207881603855</v>
      </c>
      <c r="X3" s="3">
        <v>0</v>
      </c>
      <c r="Z3" t="s">
        <v>127</v>
      </c>
      <c r="AA3" s="1" t="s">
        <v>128</v>
      </c>
      <c r="AB3" s="7">
        <f>D25</f>
        <v>91.9</v>
      </c>
      <c r="AD3" t="s">
        <v>139</v>
      </c>
      <c r="AE3" s="1" t="s">
        <v>142</v>
      </c>
      <c r="AF3" s="3">
        <f>AB4/AB3</f>
        <v>0.53971708378672467</v>
      </c>
    </row>
    <row r="4" spans="1:32" ht="18" x14ac:dyDescent="0.35">
      <c r="A4" s="120" t="s">
        <v>146</v>
      </c>
      <c r="B4" s="119"/>
      <c r="C4" s="102">
        <v>3</v>
      </c>
      <c r="D4" s="103">
        <v>2.2999999999999998</v>
      </c>
      <c r="E4" s="106">
        <v>0</v>
      </c>
      <c r="F4" s="104">
        <v>2.5027199999999999E-2</v>
      </c>
      <c r="G4" s="103">
        <v>2.5</v>
      </c>
      <c r="H4" s="102">
        <v>1.5</v>
      </c>
      <c r="I4" s="105">
        <v>0.02</v>
      </c>
      <c r="J4" s="102">
        <v>1.6719999999999999</v>
      </c>
      <c r="K4" s="109">
        <v>0.04</v>
      </c>
      <c r="L4" s="102">
        <v>8.5999999999999993E-2</v>
      </c>
      <c r="M4" s="105">
        <v>5.0090000000000003</v>
      </c>
      <c r="N4" s="105">
        <v>0.08</v>
      </c>
      <c r="O4" s="102">
        <v>3.0000000000000001E-3</v>
      </c>
      <c r="P4" s="105">
        <v>13.308</v>
      </c>
      <c r="Q4" s="105">
        <v>0.23200000000000001</v>
      </c>
      <c r="R4" s="102">
        <v>0</v>
      </c>
      <c r="S4" s="102">
        <v>9</v>
      </c>
      <c r="T4" s="103">
        <v>4.7</v>
      </c>
      <c r="U4" s="105">
        <v>6.0579999999999998</v>
      </c>
      <c r="V4" s="105">
        <f t="shared" si="0"/>
        <v>2.5645000000000002</v>
      </c>
      <c r="W4" s="105">
        <f t="shared" si="1"/>
        <v>0.42332452954770555</v>
      </c>
      <c r="X4" s="105">
        <v>0</v>
      </c>
      <c r="Z4" t="s">
        <v>129</v>
      </c>
      <c r="AA4" s="1" t="s">
        <v>130</v>
      </c>
      <c r="AB4" s="7">
        <f>D17-D2</f>
        <v>49.6</v>
      </c>
      <c r="AD4" t="s">
        <v>140</v>
      </c>
      <c r="AE4" s="1" t="s">
        <v>141</v>
      </c>
      <c r="AF4" s="3">
        <f>AB6/AB4</f>
        <v>0.32661290322580649</v>
      </c>
    </row>
    <row r="5" spans="1:32" ht="18" x14ac:dyDescent="0.35">
      <c r="A5" s="120"/>
      <c r="C5">
        <v>4</v>
      </c>
      <c r="D5" s="7">
        <v>4.4000000000000004</v>
      </c>
      <c r="E5" s="106">
        <f t="shared" ref="E5:E10" si="2">X5*U5</f>
        <v>2.5216000000000003</v>
      </c>
      <c r="F5" s="98">
        <v>4.78781E-2</v>
      </c>
      <c r="G5" s="7">
        <v>4.8</v>
      </c>
      <c r="H5">
        <v>1.5</v>
      </c>
      <c r="I5" s="3">
        <f>0.03/2</f>
        <v>1.4999999999999999E-2</v>
      </c>
      <c r="J5">
        <v>1.6719999999999999</v>
      </c>
      <c r="K5" s="97">
        <f>0.025/2</f>
        <v>1.2500000000000001E-2</v>
      </c>
      <c r="L5">
        <v>8.5999999999999993E-2</v>
      </c>
      <c r="M5" s="3">
        <f>4.741/2</f>
        <v>2.3704999999999998</v>
      </c>
      <c r="N5" s="3">
        <v>0.08</v>
      </c>
      <c r="O5">
        <v>3.0000000000000001E-3</v>
      </c>
      <c r="P5" s="3">
        <v>13.308</v>
      </c>
      <c r="Q5" s="3">
        <v>0.23200000000000001</v>
      </c>
      <c r="R5">
        <v>0</v>
      </c>
      <c r="S5">
        <v>10</v>
      </c>
      <c r="T5" s="7">
        <v>6.8</v>
      </c>
      <c r="U5" s="3">
        <v>6.3040000000000003</v>
      </c>
      <c r="V5" s="3">
        <f>2*(K5+I5+M5/2)</f>
        <v>2.4255</v>
      </c>
      <c r="W5" s="3">
        <f t="shared" si="1"/>
        <v>0.38475571065989844</v>
      </c>
      <c r="X5" s="3">
        <v>0.4</v>
      </c>
      <c r="Z5" t="s">
        <v>154</v>
      </c>
      <c r="AA5" s="1" t="s">
        <v>155</v>
      </c>
      <c r="AB5" s="7">
        <f>D4-D2</f>
        <v>2.2999999999999998</v>
      </c>
      <c r="AD5" t="s">
        <v>143</v>
      </c>
      <c r="AE5" s="1" t="s">
        <v>145</v>
      </c>
      <c r="AF5" s="3">
        <f>AB7/AB4</f>
        <v>0.29838709677419356</v>
      </c>
    </row>
    <row r="6" spans="1:32" ht="18" x14ac:dyDescent="0.35">
      <c r="A6" s="120"/>
      <c r="C6">
        <v>5</v>
      </c>
      <c r="D6" s="7">
        <v>6.5</v>
      </c>
      <c r="E6" s="106">
        <f t="shared" si="2"/>
        <v>3.2755000000000001</v>
      </c>
      <c r="F6" s="98">
        <v>7.0729100000000003E-2</v>
      </c>
      <c r="G6" s="7">
        <v>7.1</v>
      </c>
      <c r="H6">
        <v>1.5</v>
      </c>
      <c r="I6" s="3">
        <f>0.051/2</f>
        <v>2.5499999999999998E-2</v>
      </c>
      <c r="J6">
        <v>1.6719999999999999</v>
      </c>
      <c r="K6" s="97">
        <f>0.015/2</f>
        <v>7.4999999999999997E-3</v>
      </c>
      <c r="L6">
        <v>8.5999999999999993E-2</v>
      </c>
      <c r="M6" s="3">
        <f>4.425/2</f>
        <v>2.2124999999999999</v>
      </c>
      <c r="N6" s="3">
        <v>0.08</v>
      </c>
      <c r="O6">
        <v>3.0000000000000001E-3</v>
      </c>
      <c r="P6" s="3">
        <v>13.308</v>
      </c>
      <c r="Q6" s="3">
        <v>0.23200000000000001</v>
      </c>
      <c r="R6">
        <v>0</v>
      </c>
      <c r="S6">
        <v>11</v>
      </c>
      <c r="T6" s="7">
        <v>8.9</v>
      </c>
      <c r="U6" s="3">
        <v>6.5510000000000002</v>
      </c>
      <c r="V6" s="3">
        <f t="shared" ref="V6:V16" si="3">2*(K6+I6+M6/2)</f>
        <v>2.2784999999999997</v>
      </c>
      <c r="W6" s="3">
        <f t="shared" si="1"/>
        <v>0.34780949473362843</v>
      </c>
      <c r="X6" s="3">
        <v>0.5</v>
      </c>
      <c r="Z6" t="s">
        <v>133</v>
      </c>
      <c r="AA6" s="1" t="s">
        <v>131</v>
      </c>
      <c r="AB6" s="7">
        <f>D17-D15</f>
        <v>16.200000000000003</v>
      </c>
      <c r="AD6" t="s">
        <v>156</v>
      </c>
      <c r="AE6" s="1" t="s">
        <v>157</v>
      </c>
      <c r="AF6" s="3">
        <f>AB5/AB4</f>
        <v>4.6370967741935477E-2</v>
      </c>
    </row>
    <row r="7" spans="1:32" ht="18" customHeight="1" x14ac:dyDescent="0.35">
      <c r="A7" s="120"/>
      <c r="C7">
        <v>6</v>
      </c>
      <c r="D7" s="7">
        <v>9</v>
      </c>
      <c r="E7" s="106">
        <f t="shared" si="2"/>
        <v>4.101</v>
      </c>
      <c r="F7" s="98">
        <v>9.7932500000000006E-2</v>
      </c>
      <c r="G7" s="7">
        <v>9.8000000000000007</v>
      </c>
      <c r="H7">
        <v>1.5</v>
      </c>
      <c r="I7" s="3">
        <f>0.068/2</f>
        <v>3.4000000000000002E-2</v>
      </c>
      <c r="J7">
        <v>1.6719999999999999</v>
      </c>
      <c r="K7" s="97">
        <f>0.005/2</f>
        <v>2.5000000000000001E-3</v>
      </c>
      <c r="L7">
        <v>8.5999999999999993E-2</v>
      </c>
      <c r="M7" s="3">
        <f>4.091/2</f>
        <v>2.0455000000000001</v>
      </c>
      <c r="N7" s="3">
        <v>0.08</v>
      </c>
      <c r="O7">
        <v>3.0000000000000001E-3</v>
      </c>
      <c r="P7" s="3">
        <v>13.308</v>
      </c>
      <c r="Q7" s="3">
        <v>0.23200000000000001</v>
      </c>
      <c r="R7">
        <v>0</v>
      </c>
      <c r="S7">
        <v>12</v>
      </c>
      <c r="T7" s="7">
        <v>11.4</v>
      </c>
      <c r="U7" s="3">
        <v>6.835</v>
      </c>
      <c r="V7" s="3">
        <f t="shared" si="3"/>
        <v>2.1185</v>
      </c>
      <c r="W7" s="3">
        <f t="shared" si="1"/>
        <v>0.30994879297732264</v>
      </c>
      <c r="X7" s="3">
        <v>0.6</v>
      </c>
      <c r="Z7" t="s">
        <v>134</v>
      </c>
      <c r="AA7" s="1" t="s">
        <v>132</v>
      </c>
      <c r="AB7" s="7">
        <f>D11-D4</f>
        <v>14.8</v>
      </c>
      <c r="AD7" t="s">
        <v>144</v>
      </c>
      <c r="AE7" s="1" t="s">
        <v>150</v>
      </c>
      <c r="AF7" s="3">
        <v>1</v>
      </c>
    </row>
    <row r="8" spans="1:32" ht="18" customHeight="1" x14ac:dyDescent="0.35">
      <c r="A8" s="120"/>
      <c r="C8">
        <v>7</v>
      </c>
      <c r="D8" s="7">
        <v>12.2</v>
      </c>
      <c r="E8" s="106">
        <f t="shared" si="2"/>
        <v>5.0504999999999995</v>
      </c>
      <c r="F8" s="98">
        <v>0.13275300000000001</v>
      </c>
      <c r="G8" s="7">
        <v>13.3</v>
      </c>
      <c r="H8">
        <v>1.5</v>
      </c>
      <c r="I8" s="3">
        <f>0.094/2</f>
        <v>4.7E-2</v>
      </c>
      <c r="J8">
        <v>0</v>
      </c>
      <c r="K8">
        <v>0</v>
      </c>
      <c r="L8">
        <v>8.5999999999999993E-2</v>
      </c>
      <c r="M8" s="3">
        <f>3.68/2</f>
        <v>1.84</v>
      </c>
      <c r="N8" s="3">
        <v>0.08</v>
      </c>
      <c r="O8">
        <v>3.0000000000000001E-3</v>
      </c>
      <c r="P8" s="3">
        <v>13.308</v>
      </c>
      <c r="Q8" s="3">
        <v>0.23200000000000001</v>
      </c>
      <c r="R8">
        <v>0</v>
      </c>
      <c r="S8">
        <v>13</v>
      </c>
      <c r="T8" s="7">
        <v>14.6</v>
      </c>
      <c r="U8" s="3">
        <v>7.2149999999999999</v>
      </c>
      <c r="V8" s="3">
        <f t="shared" si="3"/>
        <v>1.9340000000000002</v>
      </c>
      <c r="W8" s="3">
        <f t="shared" si="1"/>
        <v>0.26805266805266809</v>
      </c>
      <c r="X8" s="3">
        <v>0.7</v>
      </c>
      <c r="Z8" t="s">
        <v>148</v>
      </c>
      <c r="AA8" s="1" t="s">
        <v>149</v>
      </c>
      <c r="AB8">
        <f>2*E11</f>
        <v>15.256</v>
      </c>
    </row>
    <row r="9" spans="1:32" x14ac:dyDescent="0.25">
      <c r="A9" s="120"/>
      <c r="C9">
        <v>8</v>
      </c>
      <c r="D9" s="7">
        <v>13.9</v>
      </c>
      <c r="E9" s="106">
        <f t="shared" si="2"/>
        <v>5.9232000000000005</v>
      </c>
      <c r="F9" s="98">
        <v>0.151251</v>
      </c>
      <c r="G9" s="7">
        <v>15.1</v>
      </c>
      <c r="H9">
        <v>1.5</v>
      </c>
      <c r="I9" s="3">
        <f>0.111/2</f>
        <v>5.5500000000000001E-2</v>
      </c>
      <c r="J9">
        <v>0</v>
      </c>
      <c r="K9">
        <v>0</v>
      </c>
      <c r="L9">
        <v>8.5999999999999993E-2</v>
      </c>
      <c r="M9" s="3">
        <f>3.48/2</f>
        <v>1.74</v>
      </c>
      <c r="N9" s="3">
        <v>0.08</v>
      </c>
      <c r="O9">
        <v>3.0000000000000001E-3</v>
      </c>
      <c r="P9" s="3">
        <v>13.177</v>
      </c>
      <c r="Q9" s="3">
        <v>0.23</v>
      </c>
      <c r="R9">
        <v>-1.34E-3</v>
      </c>
      <c r="S9">
        <v>14</v>
      </c>
      <c r="T9" s="7">
        <v>16.3</v>
      </c>
      <c r="U9" s="3">
        <v>7.4039999999999999</v>
      </c>
      <c r="V9" s="3">
        <f t="shared" si="3"/>
        <v>1.851</v>
      </c>
      <c r="W9" s="3">
        <f t="shared" si="1"/>
        <v>0.25</v>
      </c>
      <c r="X9" s="3">
        <v>0.8</v>
      </c>
    </row>
    <row r="10" spans="1:32" x14ac:dyDescent="0.25">
      <c r="A10" s="120"/>
      <c r="C10">
        <v>9</v>
      </c>
      <c r="D10" s="7">
        <v>15.5</v>
      </c>
      <c r="E10" s="106">
        <f t="shared" si="2"/>
        <v>6.7968000000000002</v>
      </c>
      <c r="F10" s="98">
        <v>0.16866200000000001</v>
      </c>
      <c r="G10" s="7">
        <v>16.899999999999999</v>
      </c>
      <c r="H10">
        <v>1.5</v>
      </c>
      <c r="I10" s="3">
        <f>0.119/2</f>
        <v>5.9499999999999997E-2</v>
      </c>
      <c r="J10">
        <v>0</v>
      </c>
      <c r="K10">
        <v>0</v>
      </c>
      <c r="L10">
        <v>8.5999999999999993E-2</v>
      </c>
      <c r="M10" s="3">
        <f>3.285/2</f>
        <v>1.6425000000000001</v>
      </c>
      <c r="N10" s="3">
        <v>0.08</v>
      </c>
      <c r="O10">
        <v>3.0000000000000001E-3</v>
      </c>
      <c r="P10" s="3">
        <v>13.045999999999999</v>
      </c>
      <c r="Q10" s="3">
        <v>0.22800000000000001</v>
      </c>
      <c r="R10">
        <v>-1.4300000000000001E-3</v>
      </c>
      <c r="S10">
        <v>15</v>
      </c>
      <c r="T10" s="7">
        <v>17.899999999999999</v>
      </c>
      <c r="U10" s="3">
        <v>7.5519999999999996</v>
      </c>
      <c r="V10" s="3">
        <f t="shared" si="3"/>
        <v>1.7615000000000001</v>
      </c>
      <c r="W10" s="3">
        <f t="shared" si="1"/>
        <v>0.23324947033898308</v>
      </c>
      <c r="X10" s="3">
        <v>0.9</v>
      </c>
    </row>
    <row r="11" spans="1:32" x14ac:dyDescent="0.25">
      <c r="A11" s="120"/>
      <c r="B11" s="121" t="s">
        <v>152</v>
      </c>
      <c r="C11" s="102">
        <v>10</v>
      </c>
      <c r="D11" s="103">
        <v>17.100000000000001</v>
      </c>
      <c r="E11" s="106">
        <f>X11*U11</f>
        <v>7.6280000000000001</v>
      </c>
      <c r="F11" s="104">
        <v>0.18607199999999999</v>
      </c>
      <c r="G11" s="103">
        <v>18.600000000000001</v>
      </c>
      <c r="H11" s="102">
        <v>1.5</v>
      </c>
      <c r="I11" s="105">
        <f>0.136/2</f>
        <v>6.8000000000000005E-2</v>
      </c>
      <c r="J11" s="102">
        <v>0</v>
      </c>
      <c r="K11" s="102">
        <v>0</v>
      </c>
      <c r="L11" s="102">
        <v>8.5999999999999993E-2</v>
      </c>
      <c r="M11" s="105">
        <f>3.089/2</f>
        <v>1.5445</v>
      </c>
      <c r="N11" s="105">
        <v>0.08</v>
      </c>
      <c r="O11" s="102">
        <v>3.0000000000000001E-3</v>
      </c>
      <c r="P11" s="105">
        <v>12.914999999999999</v>
      </c>
      <c r="Q11" s="105">
        <v>0.22500000000000001</v>
      </c>
      <c r="R11" s="102">
        <v>-1.4300000000000001E-3</v>
      </c>
      <c r="S11" s="102">
        <v>16</v>
      </c>
      <c r="T11" s="103">
        <v>19.5</v>
      </c>
      <c r="U11" s="105">
        <v>7.6280000000000001</v>
      </c>
      <c r="V11" s="105">
        <f t="shared" si="3"/>
        <v>1.6804999999999999</v>
      </c>
      <c r="W11" s="105">
        <f t="shared" si="1"/>
        <v>0.2203067645516518</v>
      </c>
      <c r="X11" s="105">
        <v>1</v>
      </c>
    </row>
    <row r="12" spans="1:32" x14ac:dyDescent="0.25">
      <c r="B12" s="121"/>
      <c r="C12">
        <v>11</v>
      </c>
      <c r="D12" s="7">
        <v>19.8</v>
      </c>
      <c r="E12" s="106">
        <f t="shared" ref="E12:E15" si="4">X12*U12</f>
        <v>7.585</v>
      </c>
      <c r="F12" s="98">
        <v>0.215452</v>
      </c>
      <c r="G12" s="7">
        <v>21.5</v>
      </c>
      <c r="H12">
        <v>1.5</v>
      </c>
      <c r="I12" s="3">
        <f>0.136/2</f>
        <v>6.8000000000000005E-2</v>
      </c>
      <c r="J12">
        <v>0</v>
      </c>
      <c r="K12">
        <v>0</v>
      </c>
      <c r="L12">
        <v>8.5999999999999993E-2</v>
      </c>
      <c r="M12" s="3">
        <f>2.882/2</f>
        <v>1.4410000000000001</v>
      </c>
      <c r="N12" s="3">
        <v>0.08</v>
      </c>
      <c r="O12">
        <v>3.0000000000000001E-3</v>
      </c>
      <c r="P12" s="3">
        <v>12.132999999999999</v>
      </c>
      <c r="Q12" s="3">
        <v>0.21199999999999999</v>
      </c>
      <c r="R12">
        <v>-5.0499999999999998E-3</v>
      </c>
      <c r="S12">
        <v>17</v>
      </c>
      <c r="T12" s="7">
        <v>22.2</v>
      </c>
      <c r="U12" s="3">
        <v>7.585</v>
      </c>
      <c r="V12" s="3">
        <f t="shared" si="3"/>
        <v>1.577</v>
      </c>
      <c r="W12" s="3">
        <f t="shared" si="1"/>
        <v>0.20791034937376401</v>
      </c>
      <c r="X12" s="3">
        <v>1</v>
      </c>
    </row>
    <row r="13" spans="1:32" x14ac:dyDescent="0.25">
      <c r="B13" s="121"/>
      <c r="C13">
        <v>12</v>
      </c>
      <c r="D13" s="7">
        <v>22.5</v>
      </c>
      <c r="E13" s="106">
        <f t="shared" si="4"/>
        <v>7.4880000000000004</v>
      </c>
      <c r="F13" s="98">
        <v>0.24483099999999999</v>
      </c>
      <c r="G13" s="7">
        <v>24.5</v>
      </c>
      <c r="H13">
        <v>1.5</v>
      </c>
      <c r="I13" s="3">
        <f>0.136/2</f>
        <v>6.8000000000000005E-2</v>
      </c>
      <c r="J13">
        <v>0</v>
      </c>
      <c r="K13">
        <v>0</v>
      </c>
      <c r="L13">
        <v>8.5999999999999993E-2</v>
      </c>
      <c r="M13" s="3">
        <f>2.696/2</f>
        <v>1.3480000000000001</v>
      </c>
      <c r="N13" s="3">
        <v>0.08</v>
      </c>
      <c r="O13">
        <v>3.0000000000000001E-3</v>
      </c>
      <c r="P13" s="3">
        <v>11.35</v>
      </c>
      <c r="Q13" s="3">
        <v>0.19800000000000001</v>
      </c>
      <c r="R13">
        <v>-5.0600000000000003E-3</v>
      </c>
      <c r="S13">
        <v>18</v>
      </c>
      <c r="T13" s="7">
        <v>24.9</v>
      </c>
      <c r="U13" s="3">
        <v>7.4880000000000004</v>
      </c>
      <c r="V13" s="3">
        <f t="shared" si="3"/>
        <v>1.484</v>
      </c>
      <c r="W13" s="3">
        <f t="shared" si="1"/>
        <v>0.19818376068376067</v>
      </c>
      <c r="X13" s="3">
        <v>1</v>
      </c>
    </row>
    <row r="14" spans="1:32" x14ac:dyDescent="0.25">
      <c r="B14" s="121"/>
      <c r="C14">
        <v>13</v>
      </c>
      <c r="D14" s="7">
        <v>25.2</v>
      </c>
      <c r="E14" s="106">
        <f t="shared" si="4"/>
        <v>7.3470000000000004</v>
      </c>
      <c r="F14" s="98">
        <v>0.27421099999999998</v>
      </c>
      <c r="G14" s="7">
        <v>27.4</v>
      </c>
      <c r="H14">
        <v>1.5</v>
      </c>
      <c r="I14" s="3">
        <f>0.128/2</f>
        <v>6.4000000000000001E-2</v>
      </c>
      <c r="J14">
        <v>0</v>
      </c>
      <c r="K14">
        <v>0</v>
      </c>
      <c r="L14">
        <v>8.5999999999999993E-2</v>
      </c>
      <c r="M14" s="3">
        <f>2.498/2</f>
        <v>1.2490000000000001</v>
      </c>
      <c r="N14" s="3">
        <v>0.08</v>
      </c>
      <c r="O14">
        <v>3.0000000000000001E-3</v>
      </c>
      <c r="P14" s="3">
        <v>10.568</v>
      </c>
      <c r="Q14" s="3">
        <v>0.184</v>
      </c>
      <c r="R14">
        <v>-5.0499999999999998E-3</v>
      </c>
      <c r="S14">
        <v>19</v>
      </c>
      <c r="T14" s="7">
        <v>27.6</v>
      </c>
      <c r="U14" s="3">
        <v>7.3470000000000004</v>
      </c>
      <c r="V14" s="3">
        <f t="shared" si="3"/>
        <v>1.3770000000000002</v>
      </c>
      <c r="W14" s="3">
        <f t="shared" si="1"/>
        <v>0.18742343813801554</v>
      </c>
      <c r="X14" s="3">
        <v>1</v>
      </c>
    </row>
    <row r="15" spans="1:32" x14ac:dyDescent="0.25">
      <c r="A15" s="122" t="s">
        <v>151</v>
      </c>
      <c r="B15" s="121"/>
      <c r="C15" s="102">
        <v>14</v>
      </c>
      <c r="D15" s="103">
        <v>33.4</v>
      </c>
      <c r="E15" s="106">
        <f t="shared" si="4"/>
        <v>6.923</v>
      </c>
      <c r="F15" s="104">
        <v>0.36343900000000001</v>
      </c>
      <c r="G15" s="103">
        <v>36.299999999999997</v>
      </c>
      <c r="H15" s="102">
        <v>1.5</v>
      </c>
      <c r="I15" s="105">
        <f>0.119/2</f>
        <v>5.9499999999999997E-2</v>
      </c>
      <c r="J15" s="102">
        <v>0</v>
      </c>
      <c r="K15" s="102">
        <v>0</v>
      </c>
      <c r="L15" s="102">
        <v>8.5999999999999993E-2</v>
      </c>
      <c r="M15" s="105">
        <f>2.077/2</f>
        <v>1.0385</v>
      </c>
      <c r="N15" s="105">
        <v>0.08</v>
      </c>
      <c r="O15" s="102">
        <v>3.0000000000000001E-3</v>
      </c>
      <c r="P15" s="105">
        <v>9.1660000000000004</v>
      </c>
      <c r="Q15" s="105">
        <v>0.16</v>
      </c>
      <c r="R15" s="102">
        <v>-2.98E-3</v>
      </c>
      <c r="S15" s="102">
        <v>20</v>
      </c>
      <c r="T15" s="103">
        <v>35.799999999999997</v>
      </c>
      <c r="U15" s="105">
        <v>6.923</v>
      </c>
      <c r="V15" s="105">
        <f t="shared" si="3"/>
        <v>1.1575</v>
      </c>
      <c r="W15" s="105">
        <f t="shared" si="1"/>
        <v>0.16719630218113535</v>
      </c>
      <c r="X15" s="105">
        <v>1</v>
      </c>
    </row>
    <row r="16" spans="1:32" x14ac:dyDescent="0.25">
      <c r="A16" s="122"/>
      <c r="C16">
        <v>15</v>
      </c>
      <c r="D16" s="7">
        <v>41.5</v>
      </c>
      <c r="E16" s="106">
        <f>X16*U16</f>
        <v>3.2145000000000001</v>
      </c>
      <c r="F16" s="98">
        <v>0.45157799999999998</v>
      </c>
      <c r="G16" s="7">
        <v>45.2</v>
      </c>
      <c r="H16">
        <v>1.5</v>
      </c>
      <c r="I16" s="3">
        <f>0.111/2</f>
        <v>5.5500000000000001E-2</v>
      </c>
      <c r="J16">
        <v>0</v>
      </c>
      <c r="K16">
        <v>0</v>
      </c>
      <c r="L16">
        <v>8.5999999999999993E-2</v>
      </c>
      <c r="M16" s="3">
        <f>1.672/2</f>
        <v>0.83599999999999997</v>
      </c>
      <c r="N16" s="3">
        <v>0.08</v>
      </c>
      <c r="O16">
        <v>3.0000000000000001E-3</v>
      </c>
      <c r="P16" s="3">
        <v>7.6879999999999997</v>
      </c>
      <c r="Q16" s="3">
        <v>0.13400000000000001</v>
      </c>
      <c r="R16">
        <v>-3.1800000000000001E-3</v>
      </c>
      <c r="S16">
        <v>21</v>
      </c>
      <c r="T16" s="7">
        <v>43.9</v>
      </c>
      <c r="U16" s="3">
        <v>6.4290000000000003</v>
      </c>
      <c r="V16" s="3">
        <f t="shared" si="3"/>
        <v>0.94699999999999995</v>
      </c>
      <c r="W16" s="3">
        <f t="shared" si="1"/>
        <v>0.14730129102504277</v>
      </c>
      <c r="X16" s="3">
        <v>0.5</v>
      </c>
    </row>
    <row r="17" spans="1:24" x14ac:dyDescent="0.25">
      <c r="A17" s="122"/>
      <c r="B17" s="123" t="s">
        <v>147</v>
      </c>
      <c r="C17" s="102">
        <v>16</v>
      </c>
      <c r="D17" s="103">
        <v>49.6</v>
      </c>
      <c r="E17" s="106">
        <v>0</v>
      </c>
      <c r="F17" s="104">
        <v>0.539717</v>
      </c>
      <c r="G17" s="103">
        <v>54</v>
      </c>
      <c r="H17" s="102">
        <v>1.5</v>
      </c>
      <c r="I17" s="105">
        <v>0.10199999999999999</v>
      </c>
      <c r="J17" s="102">
        <v>0</v>
      </c>
      <c r="K17" s="102">
        <v>0</v>
      </c>
      <c r="L17" s="102">
        <v>8.5999999999999993E-2</v>
      </c>
      <c r="M17" s="105">
        <v>1.36</v>
      </c>
      <c r="N17" s="105">
        <v>0.08</v>
      </c>
      <c r="O17" s="102">
        <v>3.0000000000000001E-3</v>
      </c>
      <c r="P17" s="105">
        <v>6.18</v>
      </c>
      <c r="Q17" s="105">
        <v>0.108</v>
      </c>
      <c r="R17" s="102">
        <v>-3.2499999999999999E-3</v>
      </c>
      <c r="S17" s="102">
        <v>22</v>
      </c>
      <c r="T17" s="103">
        <v>52</v>
      </c>
      <c r="U17" s="105">
        <v>5.915</v>
      </c>
      <c r="V17" s="105">
        <f t="shared" si="0"/>
        <v>0.78200000000000003</v>
      </c>
      <c r="W17" s="105">
        <f t="shared" si="1"/>
        <v>0.13220625528317836</v>
      </c>
      <c r="X17" s="105">
        <v>0</v>
      </c>
    </row>
    <row r="18" spans="1:24" ht="15" customHeight="1" x14ac:dyDescent="0.25">
      <c r="B18" s="123"/>
      <c r="C18">
        <v>17</v>
      </c>
      <c r="D18" s="7">
        <v>57.8</v>
      </c>
      <c r="E18" s="106">
        <v>0</v>
      </c>
      <c r="F18" s="98">
        <v>0.62894499999999998</v>
      </c>
      <c r="G18" s="7">
        <v>62.9</v>
      </c>
      <c r="H18">
        <v>1.5</v>
      </c>
      <c r="I18" s="3">
        <v>8.5000000000000006E-2</v>
      </c>
      <c r="J18">
        <v>0</v>
      </c>
      <c r="K18">
        <v>0</v>
      </c>
      <c r="L18">
        <v>8.5999999999999993E-2</v>
      </c>
      <c r="M18" s="3">
        <v>1.1379999999999999</v>
      </c>
      <c r="N18" s="3">
        <v>0.08</v>
      </c>
      <c r="O18">
        <v>3.0000000000000001E-3</v>
      </c>
      <c r="P18" s="3">
        <v>4.7430000000000003</v>
      </c>
      <c r="Q18" s="3">
        <v>8.3000000000000004E-2</v>
      </c>
      <c r="R18">
        <v>-3.0599999999999998E-3</v>
      </c>
      <c r="S18">
        <v>23</v>
      </c>
      <c r="T18" s="7">
        <v>60.2</v>
      </c>
      <c r="U18" s="3">
        <v>5.4169999999999998</v>
      </c>
      <c r="V18" s="3">
        <f t="shared" si="0"/>
        <v>0.65399999999999991</v>
      </c>
      <c r="W18" s="3">
        <f t="shared" si="1"/>
        <v>0.1207310319364962</v>
      </c>
      <c r="X18" s="3">
        <v>0</v>
      </c>
    </row>
    <row r="19" spans="1:24" x14ac:dyDescent="0.25">
      <c r="B19" s="123"/>
      <c r="C19">
        <v>18</v>
      </c>
      <c r="D19" s="7">
        <v>64.3</v>
      </c>
      <c r="E19" s="106">
        <v>0</v>
      </c>
      <c r="F19" s="98">
        <v>0.69967400000000002</v>
      </c>
      <c r="G19" s="7">
        <v>70</v>
      </c>
      <c r="H19">
        <v>1.5</v>
      </c>
      <c r="I19" s="3">
        <v>6.8000000000000005E-2</v>
      </c>
      <c r="J19">
        <v>0</v>
      </c>
      <c r="K19">
        <v>0</v>
      </c>
      <c r="L19">
        <v>8.5999999999999993E-2</v>
      </c>
      <c r="M19" s="3">
        <v>0.95399999999999996</v>
      </c>
      <c r="N19" s="3">
        <v>0.08</v>
      </c>
      <c r="O19">
        <v>3.0000000000000001E-3</v>
      </c>
      <c r="P19" s="3">
        <v>3.633</v>
      </c>
      <c r="Q19" s="3">
        <v>6.3E-2</v>
      </c>
      <c r="R19">
        <v>-2.98E-3</v>
      </c>
      <c r="S19">
        <v>24</v>
      </c>
      <c r="T19" s="7">
        <v>66.7</v>
      </c>
      <c r="U19" s="3">
        <v>5.0190000000000001</v>
      </c>
      <c r="V19" s="3">
        <f t="shared" si="0"/>
        <v>0.54499999999999993</v>
      </c>
      <c r="W19" s="3">
        <f t="shared" si="1"/>
        <v>0.10858736800159392</v>
      </c>
      <c r="X19" s="3">
        <v>0</v>
      </c>
    </row>
    <row r="20" spans="1:24" x14ac:dyDescent="0.25">
      <c r="B20" s="123"/>
      <c r="C20">
        <v>19</v>
      </c>
      <c r="D20" s="7">
        <v>65.900000000000006</v>
      </c>
      <c r="E20" s="106">
        <v>0</v>
      </c>
      <c r="F20" s="98">
        <v>0.71708400000000005</v>
      </c>
      <c r="G20" s="7">
        <v>71.7</v>
      </c>
      <c r="H20">
        <v>1.5</v>
      </c>
      <c r="I20" s="3">
        <v>6.4000000000000001E-2</v>
      </c>
      <c r="J20">
        <v>0</v>
      </c>
      <c r="K20">
        <v>0</v>
      </c>
      <c r="L20">
        <v>8.5999999999999993E-2</v>
      </c>
      <c r="M20" s="3">
        <v>0.91</v>
      </c>
      <c r="N20" s="3">
        <v>0.08</v>
      </c>
      <c r="O20">
        <v>3.0000000000000001E-3</v>
      </c>
      <c r="P20" s="3">
        <v>3.383</v>
      </c>
      <c r="Q20" s="3">
        <v>5.8999999999999997E-2</v>
      </c>
      <c r="R20">
        <v>-2.7299999999999998E-3</v>
      </c>
      <c r="S20">
        <v>25</v>
      </c>
      <c r="T20" s="7">
        <v>68.3</v>
      </c>
      <c r="U20" s="3">
        <v>4.92</v>
      </c>
      <c r="V20" s="3">
        <f t="shared" si="0"/>
        <v>0.51900000000000002</v>
      </c>
      <c r="W20" s="3">
        <f t="shared" si="1"/>
        <v>0.10548780487804879</v>
      </c>
      <c r="X20" s="3">
        <v>0</v>
      </c>
    </row>
    <row r="21" spans="1:24" x14ac:dyDescent="0.25">
      <c r="B21" s="123"/>
      <c r="C21">
        <v>20</v>
      </c>
      <c r="D21" s="7">
        <v>70.8</v>
      </c>
      <c r="E21" s="106">
        <v>0</v>
      </c>
      <c r="F21" s="98">
        <v>0.77040299999999995</v>
      </c>
      <c r="G21" s="7">
        <v>77</v>
      </c>
      <c r="H21">
        <v>1.5</v>
      </c>
      <c r="I21" s="3">
        <v>4.7E-2</v>
      </c>
      <c r="J21">
        <v>0</v>
      </c>
      <c r="K21">
        <v>0</v>
      </c>
      <c r="L21">
        <v>8.5999999999999993E-2</v>
      </c>
      <c r="M21" s="3">
        <v>0.83199999999999996</v>
      </c>
      <c r="N21" s="3">
        <v>0.08</v>
      </c>
      <c r="O21">
        <v>3.0000000000000001E-3</v>
      </c>
      <c r="P21" s="3">
        <v>2.7349999999999999</v>
      </c>
      <c r="Q21" s="3">
        <v>4.8000000000000001E-2</v>
      </c>
      <c r="R21">
        <v>-2.31E-3</v>
      </c>
      <c r="S21">
        <v>26</v>
      </c>
      <c r="T21" s="7">
        <v>73.2</v>
      </c>
      <c r="U21" s="3">
        <v>4.6210000000000004</v>
      </c>
      <c r="V21" s="3">
        <f t="shared" si="0"/>
        <v>0.46299999999999997</v>
      </c>
      <c r="W21" s="3">
        <f t="shared" si="1"/>
        <v>0.10019476303830338</v>
      </c>
      <c r="X21" s="3">
        <v>0</v>
      </c>
    </row>
    <row r="22" spans="1:24" x14ac:dyDescent="0.25">
      <c r="B22" s="123"/>
      <c r="C22">
        <v>21</v>
      </c>
      <c r="D22" s="7">
        <v>74</v>
      </c>
      <c r="E22" s="106">
        <v>0</v>
      </c>
      <c r="F22" s="98">
        <v>0.80522300000000002</v>
      </c>
      <c r="G22" s="7">
        <v>80.5</v>
      </c>
      <c r="H22">
        <v>1.5</v>
      </c>
      <c r="I22" s="3">
        <v>3.4000000000000002E-2</v>
      </c>
      <c r="J22">
        <v>0</v>
      </c>
      <c r="K22">
        <v>0</v>
      </c>
      <c r="L22">
        <v>8.5999999999999993E-2</v>
      </c>
      <c r="M22" s="3">
        <v>0.79600000000000004</v>
      </c>
      <c r="N22" s="3">
        <v>0.08</v>
      </c>
      <c r="O22">
        <v>3.0000000000000001E-3</v>
      </c>
      <c r="P22" s="3">
        <v>2.3479999999999999</v>
      </c>
      <c r="Q22" s="3">
        <v>4.1000000000000002E-2</v>
      </c>
      <c r="R22">
        <v>-2.1099999999999999E-3</v>
      </c>
      <c r="S22">
        <v>27</v>
      </c>
      <c r="T22" s="7">
        <v>76.400000000000006</v>
      </c>
      <c r="U22" s="3">
        <v>4.4219999999999997</v>
      </c>
      <c r="V22" s="3">
        <f t="shared" si="0"/>
        <v>0.43200000000000005</v>
      </c>
      <c r="W22" s="3">
        <f t="shared" si="1"/>
        <v>9.7693351424694722E-2</v>
      </c>
      <c r="X22" s="3">
        <v>0</v>
      </c>
    </row>
    <row r="23" spans="1:24" x14ac:dyDescent="0.25">
      <c r="B23" s="123"/>
      <c r="C23">
        <v>22</v>
      </c>
      <c r="D23" s="7">
        <v>82.2</v>
      </c>
      <c r="E23" s="106">
        <v>0</v>
      </c>
      <c r="F23" s="98">
        <v>0.89444999999999997</v>
      </c>
      <c r="G23" s="7">
        <v>89.4</v>
      </c>
      <c r="H23">
        <v>1.5</v>
      </c>
      <c r="I23" s="3">
        <v>1.7000000000000001E-2</v>
      </c>
      <c r="J23">
        <v>0</v>
      </c>
      <c r="K23">
        <v>0</v>
      </c>
      <c r="L23">
        <v>8.5999999999999993E-2</v>
      </c>
      <c r="M23" s="3">
        <v>0.70699999999999996</v>
      </c>
      <c r="N23" s="3">
        <v>0.08</v>
      </c>
      <c r="O23">
        <v>3.0000000000000001E-3</v>
      </c>
      <c r="P23" s="3">
        <v>1.38</v>
      </c>
      <c r="Q23" s="3">
        <v>2.4E-2</v>
      </c>
      <c r="R23">
        <v>-2.0600000000000002E-3</v>
      </c>
      <c r="S23">
        <v>28</v>
      </c>
      <c r="T23" s="7">
        <v>84.6</v>
      </c>
      <c r="U23" s="3">
        <v>3.9249999999999998</v>
      </c>
      <c r="V23" s="3">
        <f t="shared" si="0"/>
        <v>0.3705</v>
      </c>
      <c r="W23" s="3">
        <f t="shared" si="1"/>
        <v>9.439490445859873E-2</v>
      </c>
      <c r="X23" s="3">
        <v>0</v>
      </c>
    </row>
    <row r="24" spans="1:24" x14ac:dyDescent="0.25">
      <c r="B24" s="123"/>
      <c r="C24">
        <v>23</v>
      </c>
      <c r="D24" s="7">
        <v>87</v>
      </c>
      <c r="E24" s="106">
        <v>0</v>
      </c>
      <c r="F24" s="98">
        <v>0.94668099999999999</v>
      </c>
      <c r="G24" s="7">
        <v>94.7</v>
      </c>
      <c r="H24">
        <v>1.5</v>
      </c>
      <c r="I24" s="3">
        <v>8.9999999999999993E-3</v>
      </c>
      <c r="J24">
        <v>0</v>
      </c>
      <c r="K24">
        <v>0</v>
      </c>
      <c r="L24">
        <v>8.5999999999999993E-2</v>
      </c>
      <c r="M24" s="3">
        <v>0.65100000000000002</v>
      </c>
      <c r="N24" s="3">
        <v>0.08</v>
      </c>
      <c r="O24">
        <v>3.0000000000000001E-3</v>
      </c>
      <c r="P24" s="3">
        <v>0.79900000000000004</v>
      </c>
      <c r="Q24" s="3">
        <v>1.4E-2</v>
      </c>
      <c r="R24">
        <v>-2.1099999999999999E-3</v>
      </c>
      <c r="S24">
        <v>29</v>
      </c>
      <c r="T24" s="7">
        <v>89.4</v>
      </c>
      <c r="U24" s="3">
        <v>3.6190000000000002</v>
      </c>
      <c r="V24" s="3">
        <f t="shared" si="0"/>
        <v>0.33450000000000002</v>
      </c>
      <c r="W24" s="3">
        <f t="shared" si="1"/>
        <v>9.2428847747996687E-2</v>
      </c>
      <c r="X24" s="3">
        <v>0</v>
      </c>
    </row>
    <row r="25" spans="1:24" x14ac:dyDescent="0.25">
      <c r="B25" s="123"/>
      <c r="C25">
        <v>24</v>
      </c>
      <c r="D25" s="7">
        <v>91.9</v>
      </c>
      <c r="E25" s="106">
        <v>0</v>
      </c>
      <c r="F25" s="98">
        <v>1</v>
      </c>
      <c r="G25" s="7">
        <v>100</v>
      </c>
      <c r="H25">
        <v>1.5</v>
      </c>
      <c r="I25" s="3">
        <v>5.0000000000000001E-3</v>
      </c>
      <c r="J25">
        <v>0</v>
      </c>
      <c r="K25">
        <v>0</v>
      </c>
      <c r="L25">
        <v>8.5999999999999993E-2</v>
      </c>
      <c r="M25" s="3">
        <v>0.50800000000000001</v>
      </c>
      <c r="N25" s="3">
        <v>0.08</v>
      </c>
      <c r="O25">
        <v>3.0000000000000001E-3</v>
      </c>
      <c r="P25" s="3">
        <v>0.28000000000000003</v>
      </c>
      <c r="Q25" s="3">
        <v>5.0000000000000001E-3</v>
      </c>
      <c r="R25">
        <v>-1.8500000000000001E-3</v>
      </c>
      <c r="S25">
        <v>30</v>
      </c>
      <c r="T25" s="7">
        <v>94.3</v>
      </c>
      <c r="U25" s="3">
        <v>2.8239999999999998</v>
      </c>
      <c r="V25" s="3">
        <f t="shared" si="0"/>
        <v>0.25900000000000001</v>
      </c>
      <c r="W25" s="3">
        <f t="shared" si="1"/>
        <v>9.1713881019830037E-2</v>
      </c>
      <c r="X25" s="3">
        <v>0</v>
      </c>
    </row>
  </sheetData>
  <mergeCells count="7">
    <mergeCell ref="Z1:AB1"/>
    <mergeCell ref="AD1:AF1"/>
    <mergeCell ref="B2:B4"/>
    <mergeCell ref="A4:A11"/>
    <mergeCell ref="B11:B15"/>
    <mergeCell ref="A15:A17"/>
    <mergeCell ref="B17:B25"/>
  </mergeCells>
  <conditionalFormatting sqref="X5">
    <cfRule type="cellIs" dxfId="23" priority="24" operator="lessThan">
      <formula>$W$5</formula>
    </cfRule>
  </conditionalFormatting>
  <conditionalFormatting sqref="X6">
    <cfRule type="cellIs" dxfId="22" priority="23" operator="lessThan">
      <formula>$W$6</formula>
    </cfRule>
  </conditionalFormatting>
  <conditionalFormatting sqref="X7">
    <cfRule type="cellIs" dxfId="21" priority="22" operator="lessThan">
      <formula>$W$7</formula>
    </cfRule>
  </conditionalFormatting>
  <conditionalFormatting sqref="X8">
    <cfRule type="cellIs" dxfId="20" priority="21" operator="lessThan">
      <formula>$W$8</formula>
    </cfRule>
  </conditionalFormatting>
  <conditionalFormatting sqref="X9">
    <cfRule type="cellIs" dxfId="19" priority="20" operator="lessThan">
      <formula>$W$9</formula>
    </cfRule>
  </conditionalFormatting>
  <conditionalFormatting sqref="X10">
    <cfRule type="cellIs" dxfId="18" priority="19" operator="lessThan">
      <formula>$W$10</formula>
    </cfRule>
  </conditionalFormatting>
  <conditionalFormatting sqref="X11">
    <cfRule type="cellIs" dxfId="17" priority="18" operator="lessThan">
      <formula>$W$11</formula>
    </cfRule>
  </conditionalFormatting>
  <conditionalFormatting sqref="X12">
    <cfRule type="cellIs" dxfId="16" priority="17" operator="lessThan">
      <formula>$W$12</formula>
    </cfRule>
  </conditionalFormatting>
  <conditionalFormatting sqref="X13">
    <cfRule type="cellIs" dxfId="15" priority="16" operator="lessThan">
      <formula>$W$13</formula>
    </cfRule>
  </conditionalFormatting>
  <conditionalFormatting sqref="X14">
    <cfRule type="cellIs" dxfId="14" priority="15" operator="lessThan">
      <formula>$W$14</formula>
    </cfRule>
  </conditionalFormatting>
  <conditionalFormatting sqref="X15">
    <cfRule type="cellIs" dxfId="13" priority="14" operator="lessThan">
      <formula>$W$15</formula>
    </cfRule>
  </conditionalFormatting>
  <conditionalFormatting sqref="X16">
    <cfRule type="cellIs" dxfId="12" priority="13" operator="lessThan">
      <formula>$W$16</formula>
    </cfRule>
  </conditionalFormatting>
  <conditionalFormatting sqref="E5">
    <cfRule type="cellIs" dxfId="11" priority="12" operator="lessThan">
      <formula>$V$5</formula>
    </cfRule>
  </conditionalFormatting>
  <conditionalFormatting sqref="E6">
    <cfRule type="cellIs" dxfId="10" priority="11" operator="lessThan">
      <formula>$V$6</formula>
    </cfRule>
  </conditionalFormatting>
  <conditionalFormatting sqref="E7">
    <cfRule type="cellIs" dxfId="9" priority="10" operator="lessThan">
      <formula>$V$7</formula>
    </cfRule>
  </conditionalFormatting>
  <conditionalFormatting sqref="E8">
    <cfRule type="cellIs" dxfId="8" priority="9" operator="lessThan">
      <formula>$V$8</formula>
    </cfRule>
  </conditionalFormatting>
  <conditionalFormatting sqref="E9">
    <cfRule type="cellIs" dxfId="7" priority="8" operator="lessThan">
      <formula>$V$9</formula>
    </cfRule>
  </conditionalFormatting>
  <conditionalFormatting sqref="E10">
    <cfRule type="cellIs" dxfId="6" priority="7" operator="lessThan">
      <formula>$V$10</formula>
    </cfRule>
  </conditionalFormatting>
  <conditionalFormatting sqref="E11">
    <cfRule type="cellIs" dxfId="5" priority="6" operator="lessThan">
      <formula>$V$11</formula>
    </cfRule>
  </conditionalFormatting>
  <conditionalFormatting sqref="E12">
    <cfRule type="cellIs" dxfId="4" priority="5" operator="lessThan">
      <formula>$V$12</formula>
    </cfRule>
  </conditionalFormatting>
  <conditionalFormatting sqref="E13">
    <cfRule type="cellIs" dxfId="3" priority="4" operator="lessThan">
      <formula>$V$13</formula>
    </cfRule>
  </conditionalFormatting>
  <conditionalFormatting sqref="E14">
    <cfRule type="cellIs" dxfId="2" priority="3" operator="lessThan">
      <formula>$V$14</formula>
    </cfRule>
  </conditionalFormatting>
  <conditionalFormatting sqref="E15">
    <cfRule type="cellIs" dxfId="1" priority="2" operator="lessThan">
      <formula>$V$15</formula>
    </cfRule>
  </conditionalFormatting>
  <conditionalFormatting sqref="E16">
    <cfRule type="cellIs" dxfId="0" priority="1" operator="lessThan">
      <formula>$V$16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  <vt:lpstr>monoplane_spar_layup</vt:lpstr>
      <vt:lpstr>biplane_spar_layup 20120306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2012-05-15T22:07:10Z</dcterms:modified>
</cp:coreProperties>
</file>