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240" windowHeight="9465" tabRatio="793" firstSheet="1" activeTab="8"/>
  </bookViews>
  <sheets>
    <sheet name="Airfoil &amp; Chord Properties" sheetId="1" r:id="rId1"/>
    <sheet name="Laminate Schedule" sheetId="3" r:id="rId2"/>
    <sheet name="My Schedule" sheetId="4" r:id="rId3"/>
    <sheet name="Material Properties" sheetId="2" r:id="rId4"/>
    <sheet name="My Schedule (VABS outputs)" sheetId="5" r:id="rId5"/>
    <sheet name="twist vs. torsional stiffness" sheetId="6" r:id="rId6"/>
    <sheet name="monoplane_spar_layup" sheetId="7" r:id="rId7"/>
    <sheet name="biplane_spar_layup 20120306" sheetId="8" r:id="rId8"/>
    <sheet name="biplane_spar_layup 20120517" sheetId="9" r:id="rId9"/>
  </sheets>
  <calcPr calcId="145621"/>
</workbook>
</file>

<file path=xl/calcChain.xml><?xml version="1.0" encoding="utf-8"?>
<calcChain xmlns="http://schemas.openxmlformats.org/spreadsheetml/2006/main">
  <c r="I3" i="9" l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" i="9"/>
  <c r="H3" i="9"/>
  <c r="H4" i="9"/>
  <c r="H5" i="9"/>
  <c r="H6" i="9"/>
  <c r="H7" i="9"/>
  <c r="H2" i="9"/>
  <c r="G3" i="9"/>
  <c r="G4" i="9"/>
  <c r="G5" i="9"/>
  <c r="G6" i="9"/>
  <c r="G7" i="9"/>
  <c r="G2" i="9"/>
  <c r="T21" i="9" s="1"/>
  <c r="F3" i="9"/>
  <c r="F4" i="9"/>
  <c r="F5" i="9"/>
  <c r="F6" i="9"/>
  <c r="F7" i="9"/>
  <c r="F8" i="9"/>
  <c r="U8" i="9" s="1"/>
  <c r="F9" i="9"/>
  <c r="U9" i="9" s="1"/>
  <c r="F10" i="9"/>
  <c r="F11" i="9"/>
  <c r="U11" i="9" s="1"/>
  <c r="F12" i="9"/>
  <c r="F13" i="9"/>
  <c r="U13" i="9" s="1"/>
  <c r="F14" i="9"/>
  <c r="F15" i="9"/>
  <c r="F16" i="9"/>
  <c r="U16" i="9" s="1"/>
  <c r="F17" i="9"/>
  <c r="F18" i="9"/>
  <c r="U18" i="9" s="1"/>
  <c r="F19" i="9"/>
  <c r="U19" i="9" s="1"/>
  <c r="F20" i="9"/>
  <c r="F21" i="9"/>
  <c r="F22" i="9"/>
  <c r="F23" i="9"/>
  <c r="F24" i="9"/>
  <c r="U24" i="9" s="1"/>
  <c r="F25" i="9"/>
  <c r="F2" i="9"/>
  <c r="U2" i="9" s="1"/>
  <c r="U25" i="9"/>
  <c r="U23" i="9"/>
  <c r="U22" i="9"/>
  <c r="U21" i="9"/>
  <c r="U20" i="9"/>
  <c r="U17" i="9"/>
  <c r="U15" i="9"/>
  <c r="U14" i="9"/>
  <c r="U12" i="9"/>
  <c r="U10" i="9"/>
  <c r="U7" i="9"/>
  <c r="U6" i="9"/>
  <c r="U5" i="9"/>
  <c r="U4" i="9"/>
  <c r="U3" i="9"/>
  <c r="T12" i="9" l="1"/>
  <c r="T6" i="9"/>
  <c r="T16" i="9"/>
  <c r="T2" i="9"/>
  <c r="V2" i="9" s="1"/>
  <c r="T17" i="9"/>
  <c r="V9" i="9"/>
  <c r="T7" i="9"/>
  <c r="V7" i="9" s="1"/>
  <c r="T13" i="9"/>
  <c r="V13" i="9" s="1"/>
  <c r="T23" i="9"/>
  <c r="V23" i="9" s="1"/>
  <c r="T4" i="9"/>
  <c r="V4" i="9" s="1"/>
  <c r="T14" i="9"/>
  <c r="T9" i="9"/>
  <c r="T20" i="9"/>
  <c r="V20" i="9" s="1"/>
  <c r="T5" i="9"/>
  <c r="V5" i="9" s="1"/>
  <c r="T15" i="9"/>
  <c r="V15" i="9" s="1"/>
  <c r="T25" i="9"/>
  <c r="V25" i="9" s="1"/>
  <c r="T11" i="9"/>
  <c r="V11" i="9" s="1"/>
  <c r="V6" i="9"/>
  <c r="T22" i="9"/>
  <c r="V22" i="9" s="1"/>
  <c r="T3" i="9"/>
  <c r="V3" i="9" s="1"/>
  <c r="V17" i="9"/>
  <c r="T18" i="9"/>
  <c r="T8" i="9"/>
  <c r="T19" i="9"/>
  <c r="V19" i="9" s="1"/>
  <c r="V14" i="9"/>
  <c r="T24" i="9"/>
  <c r="T10" i="9"/>
  <c r="V10" i="9" s="1"/>
  <c r="V24" i="9"/>
  <c r="V18" i="9"/>
  <c r="V8" i="9"/>
  <c r="V12" i="9"/>
  <c r="V16" i="9"/>
  <c r="V21" i="9"/>
  <c r="U3" i="7"/>
  <c r="V3" i="7" s="1"/>
  <c r="U4" i="7"/>
  <c r="U5" i="7"/>
  <c r="V5" i="7" s="1"/>
  <c r="U6" i="7"/>
  <c r="U7" i="7"/>
  <c r="U8" i="7"/>
  <c r="U9" i="7"/>
  <c r="U10" i="7"/>
  <c r="V10" i="7" s="1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V25" i="7" s="1"/>
  <c r="U2" i="7"/>
  <c r="V4" i="7"/>
  <c r="V6" i="7"/>
  <c r="V7" i="7"/>
  <c r="V8" i="7"/>
  <c r="V9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" i="7"/>
  <c r="P9" i="4" l="1"/>
  <c r="AF6" i="8" l="1"/>
  <c r="AF5" i="8"/>
  <c r="AF4" i="8"/>
  <c r="AF3" i="8"/>
  <c r="AB4" i="8"/>
  <c r="AB5" i="8"/>
  <c r="AB7" i="8"/>
  <c r="AB6" i="8"/>
  <c r="AB8" i="8"/>
  <c r="V18" i="8"/>
  <c r="W18" i="8" s="1"/>
  <c r="V17" i="8"/>
  <c r="W17" i="8" s="1"/>
  <c r="M16" i="8"/>
  <c r="M15" i="8"/>
  <c r="V15" i="8" s="1"/>
  <c r="W15" i="8" s="1"/>
  <c r="M14" i="8"/>
  <c r="M13" i="8"/>
  <c r="V13" i="8" s="1"/>
  <c r="W13" i="8" s="1"/>
  <c r="M12" i="8"/>
  <c r="V12" i="8" s="1"/>
  <c r="W12" i="8" s="1"/>
  <c r="M11" i="8"/>
  <c r="V11" i="8" s="1"/>
  <c r="W11" i="8" s="1"/>
  <c r="M10" i="8"/>
  <c r="V10" i="8" s="1"/>
  <c r="W10" i="8" s="1"/>
  <c r="M9" i="8"/>
  <c r="M8" i="8"/>
  <c r="V8" i="8" s="1"/>
  <c r="W8" i="8" s="1"/>
  <c r="M7" i="8"/>
  <c r="M6" i="8"/>
  <c r="M5" i="8"/>
  <c r="K7" i="8"/>
  <c r="K6" i="8"/>
  <c r="V6" i="8" s="1"/>
  <c r="W6" i="8" s="1"/>
  <c r="K5" i="8"/>
  <c r="V9" i="8"/>
  <c r="V14" i="8"/>
  <c r="W14" i="8" s="1"/>
  <c r="V16" i="8"/>
  <c r="V5" i="8"/>
  <c r="I16" i="8"/>
  <c r="W16" i="8" s="1"/>
  <c r="I15" i="8"/>
  <c r="I14" i="8"/>
  <c r="I13" i="8"/>
  <c r="I12" i="8"/>
  <c r="I11" i="8"/>
  <c r="I10" i="8"/>
  <c r="I9" i="8"/>
  <c r="I8" i="8"/>
  <c r="I7" i="8"/>
  <c r="I6" i="8"/>
  <c r="I5" i="8"/>
  <c r="E5" i="8"/>
  <c r="E6" i="8"/>
  <c r="E7" i="8"/>
  <c r="E8" i="8"/>
  <c r="E9" i="8"/>
  <c r="E10" i="8"/>
  <c r="E16" i="8"/>
  <c r="E12" i="8"/>
  <c r="E13" i="8"/>
  <c r="E14" i="8"/>
  <c r="E15" i="8"/>
  <c r="E11" i="8"/>
  <c r="AB3" i="8"/>
  <c r="V25" i="8"/>
  <c r="W25" i="8" s="1"/>
  <c r="V24" i="8"/>
  <c r="W24" i="8" s="1"/>
  <c r="V23" i="8"/>
  <c r="W23" i="8" s="1"/>
  <c r="V22" i="8"/>
  <c r="W22" i="8" s="1"/>
  <c r="V21" i="8"/>
  <c r="W21" i="8" s="1"/>
  <c r="V20" i="8"/>
  <c r="W20" i="8" s="1"/>
  <c r="V19" i="8"/>
  <c r="W19" i="8" s="1"/>
  <c r="V4" i="8"/>
  <c r="W4" i="8" s="1"/>
  <c r="V3" i="8"/>
  <c r="W3" i="8" s="1"/>
  <c r="V2" i="8"/>
  <c r="W2" i="8" s="1"/>
  <c r="V7" i="8" l="1"/>
  <c r="W7" i="8" s="1"/>
  <c r="W5" i="8"/>
  <c r="W9" i="8"/>
  <c r="P9" i="5"/>
  <c r="P22" i="5"/>
  <c r="P24" i="5"/>
  <c r="P25" i="5"/>
  <c r="P26" i="5"/>
  <c r="P27" i="5"/>
  <c r="P28" i="5"/>
  <c r="P29" i="5"/>
  <c r="P30" i="5"/>
  <c r="P31" i="5"/>
  <c r="P32" i="5"/>
  <c r="P23" i="5"/>
  <c r="P11" i="5"/>
  <c r="P12" i="5"/>
  <c r="P13" i="5"/>
  <c r="P14" i="5"/>
  <c r="P15" i="5"/>
  <c r="P16" i="5"/>
  <c r="P17" i="5"/>
  <c r="P18" i="5"/>
  <c r="P19" i="5"/>
  <c r="P20" i="5"/>
  <c r="P21" i="5"/>
  <c r="P10" i="5"/>
  <c r="V25" i="5" l="1"/>
  <c r="V26" i="5"/>
  <c r="V27" i="5"/>
  <c r="V28" i="5"/>
  <c r="V29" i="5"/>
  <c r="V30" i="5"/>
  <c r="V31" i="5"/>
  <c r="V32" i="5"/>
  <c r="V24" i="5"/>
  <c r="V23" i="5"/>
  <c r="V22" i="5"/>
  <c r="V10" i="5"/>
  <c r="V11" i="5"/>
  <c r="V12" i="5"/>
  <c r="V13" i="5"/>
  <c r="V14" i="5"/>
  <c r="V15" i="5"/>
  <c r="V16" i="5"/>
  <c r="V17" i="5"/>
  <c r="V18" i="5"/>
  <c r="V19" i="5"/>
  <c r="V20" i="5"/>
  <c r="V21" i="5"/>
  <c r="V9" i="5"/>
  <c r="U31" i="5" l="1"/>
  <c r="U17" i="5"/>
  <c r="U10" i="5"/>
  <c r="U11" i="5"/>
  <c r="U12" i="5"/>
  <c r="U13" i="5"/>
  <c r="U14" i="5"/>
  <c r="U15" i="5"/>
  <c r="U16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2" i="5"/>
  <c r="U9" i="5"/>
  <c r="X16" i="5" l="1"/>
  <c r="X17" i="5"/>
  <c r="X18" i="5"/>
  <c r="X19" i="5"/>
  <c r="X20" i="5"/>
  <c r="X21" i="5"/>
  <c r="X22" i="5"/>
  <c r="X23" i="5"/>
  <c r="X24" i="5"/>
  <c r="X15" i="5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9" i="6"/>
  <c r="M3" i="6" l="1"/>
  <c r="L3" i="6"/>
  <c r="I3" i="6"/>
  <c r="G3" i="6"/>
  <c r="E3" i="6"/>
  <c r="F3" i="6" s="1"/>
  <c r="D3" i="6"/>
  <c r="H3" i="6" s="1"/>
  <c r="C3" i="6"/>
  <c r="I36" i="5"/>
  <c r="G36" i="5"/>
  <c r="E36" i="5"/>
  <c r="F36" i="5" s="1"/>
  <c r="D36" i="5"/>
  <c r="C36" i="5"/>
  <c r="L35" i="5"/>
  <c r="I35" i="5"/>
  <c r="G35" i="5"/>
  <c r="E35" i="5"/>
  <c r="F35" i="5" s="1"/>
  <c r="D35" i="5"/>
  <c r="C35" i="5"/>
  <c r="L34" i="5"/>
  <c r="I34" i="5"/>
  <c r="G34" i="5"/>
  <c r="E34" i="5"/>
  <c r="F34" i="5" s="1"/>
  <c r="D34" i="5"/>
  <c r="C34" i="5"/>
  <c r="L33" i="5"/>
  <c r="I33" i="5"/>
  <c r="G33" i="5"/>
  <c r="E33" i="5"/>
  <c r="F33" i="5" s="1"/>
  <c r="D33" i="5"/>
  <c r="C33" i="5"/>
  <c r="L32" i="5"/>
  <c r="W32" i="5" s="1"/>
  <c r="X32" i="5" s="1"/>
  <c r="I32" i="5"/>
  <c r="G32" i="5"/>
  <c r="E32" i="5"/>
  <c r="F32" i="5" s="1"/>
  <c r="D32" i="5"/>
  <c r="H32" i="5" s="1"/>
  <c r="C32" i="5"/>
  <c r="L31" i="5"/>
  <c r="W31" i="5" s="1"/>
  <c r="X31" i="5" s="1"/>
  <c r="I31" i="5"/>
  <c r="G31" i="5"/>
  <c r="E31" i="5"/>
  <c r="F31" i="5" s="1"/>
  <c r="D31" i="5"/>
  <c r="C31" i="5"/>
  <c r="L30" i="5"/>
  <c r="W30" i="5" s="1"/>
  <c r="X30" i="5" s="1"/>
  <c r="I30" i="5"/>
  <c r="G30" i="5"/>
  <c r="E30" i="5"/>
  <c r="F30" i="5" s="1"/>
  <c r="D30" i="5"/>
  <c r="C30" i="5"/>
  <c r="L29" i="5"/>
  <c r="W29" i="5" s="1"/>
  <c r="X29" i="5" s="1"/>
  <c r="I29" i="5"/>
  <c r="G29" i="5"/>
  <c r="E29" i="5"/>
  <c r="F29" i="5" s="1"/>
  <c r="D29" i="5"/>
  <c r="H29" i="5" s="1"/>
  <c r="C29" i="5"/>
  <c r="L28" i="5"/>
  <c r="W28" i="5" s="1"/>
  <c r="X28" i="5" s="1"/>
  <c r="I28" i="5"/>
  <c r="G28" i="5"/>
  <c r="E28" i="5"/>
  <c r="F28" i="5" s="1"/>
  <c r="D28" i="5"/>
  <c r="C28" i="5"/>
  <c r="L27" i="5"/>
  <c r="W27" i="5" s="1"/>
  <c r="X27" i="5" s="1"/>
  <c r="I27" i="5"/>
  <c r="G27" i="5"/>
  <c r="E27" i="5"/>
  <c r="F27" i="5" s="1"/>
  <c r="D27" i="5"/>
  <c r="C27" i="5"/>
  <c r="L26" i="5"/>
  <c r="W26" i="5" s="1"/>
  <c r="X26" i="5" s="1"/>
  <c r="I26" i="5"/>
  <c r="G26" i="5"/>
  <c r="E26" i="5"/>
  <c r="F26" i="5" s="1"/>
  <c r="D26" i="5"/>
  <c r="C26" i="5"/>
  <c r="L25" i="5"/>
  <c r="W25" i="5" s="1"/>
  <c r="X25" i="5" s="1"/>
  <c r="I25" i="5"/>
  <c r="G25" i="5"/>
  <c r="E25" i="5"/>
  <c r="F25" i="5" s="1"/>
  <c r="D25" i="5"/>
  <c r="C25" i="5"/>
  <c r="L24" i="5"/>
  <c r="W24" i="5" s="1"/>
  <c r="I24" i="5"/>
  <c r="G24" i="5"/>
  <c r="E24" i="5"/>
  <c r="F24" i="5" s="1"/>
  <c r="D24" i="5"/>
  <c r="H24" i="5" s="1"/>
  <c r="C24" i="5"/>
  <c r="L23" i="5"/>
  <c r="W23" i="5" s="1"/>
  <c r="I23" i="5"/>
  <c r="G23" i="5"/>
  <c r="E23" i="5"/>
  <c r="F23" i="5" s="1"/>
  <c r="D23" i="5"/>
  <c r="C23" i="5"/>
  <c r="L22" i="5"/>
  <c r="W22" i="5" s="1"/>
  <c r="I22" i="5"/>
  <c r="G22" i="5"/>
  <c r="E22" i="5"/>
  <c r="F22" i="5" s="1"/>
  <c r="D22" i="5"/>
  <c r="C22" i="5"/>
  <c r="L21" i="5"/>
  <c r="W21" i="5" s="1"/>
  <c r="I21" i="5"/>
  <c r="G21" i="5"/>
  <c r="E21" i="5"/>
  <c r="F21" i="5" s="1"/>
  <c r="D21" i="5"/>
  <c r="C21" i="5"/>
  <c r="L20" i="5"/>
  <c r="W20" i="5" s="1"/>
  <c r="I20" i="5"/>
  <c r="G20" i="5"/>
  <c r="E20" i="5"/>
  <c r="F20" i="5" s="1"/>
  <c r="D20" i="5"/>
  <c r="C20" i="5"/>
  <c r="L19" i="5"/>
  <c r="W19" i="5" s="1"/>
  <c r="I19" i="5"/>
  <c r="G19" i="5"/>
  <c r="E19" i="5"/>
  <c r="F19" i="5" s="1"/>
  <c r="D19" i="5"/>
  <c r="C19" i="5"/>
  <c r="L18" i="5"/>
  <c r="W18" i="5" s="1"/>
  <c r="I18" i="5"/>
  <c r="G18" i="5"/>
  <c r="E18" i="5"/>
  <c r="F18" i="5" s="1"/>
  <c r="D18" i="5"/>
  <c r="C18" i="5"/>
  <c r="L17" i="5"/>
  <c r="W17" i="5" s="1"/>
  <c r="I17" i="5"/>
  <c r="G17" i="5"/>
  <c r="E17" i="5"/>
  <c r="F17" i="5" s="1"/>
  <c r="D17" i="5"/>
  <c r="C17" i="5"/>
  <c r="L16" i="5"/>
  <c r="W16" i="5" s="1"/>
  <c r="I16" i="5"/>
  <c r="G16" i="5"/>
  <c r="E16" i="5"/>
  <c r="F16" i="5" s="1"/>
  <c r="D16" i="5"/>
  <c r="C16" i="5"/>
  <c r="L15" i="5"/>
  <c r="W15" i="5" s="1"/>
  <c r="I15" i="5"/>
  <c r="G15" i="5"/>
  <c r="E15" i="5"/>
  <c r="F15" i="5" s="1"/>
  <c r="D15" i="5"/>
  <c r="C15" i="5"/>
  <c r="M14" i="5"/>
  <c r="L14" i="5"/>
  <c r="I14" i="5"/>
  <c r="G14" i="5"/>
  <c r="E14" i="5"/>
  <c r="F14" i="5" s="1"/>
  <c r="D14" i="5"/>
  <c r="C14" i="5"/>
  <c r="M13" i="5"/>
  <c r="L13" i="5"/>
  <c r="I13" i="5"/>
  <c r="G13" i="5"/>
  <c r="E13" i="5"/>
  <c r="F13" i="5" s="1"/>
  <c r="D13" i="5"/>
  <c r="C13" i="5"/>
  <c r="M12" i="5"/>
  <c r="L12" i="5"/>
  <c r="W12" i="5" s="1"/>
  <c r="X12" i="5" s="1"/>
  <c r="I12" i="5"/>
  <c r="G12" i="5"/>
  <c r="E12" i="5"/>
  <c r="F12" i="5" s="1"/>
  <c r="D12" i="5"/>
  <c r="C12" i="5"/>
  <c r="M11" i="5"/>
  <c r="L11" i="5"/>
  <c r="I11" i="5"/>
  <c r="G11" i="5"/>
  <c r="E11" i="5"/>
  <c r="F11" i="5" s="1"/>
  <c r="D11" i="5"/>
  <c r="C11" i="5"/>
  <c r="M10" i="5"/>
  <c r="L10" i="5"/>
  <c r="W10" i="5" s="1"/>
  <c r="X10" i="5" s="1"/>
  <c r="I10" i="5"/>
  <c r="G10" i="5"/>
  <c r="E10" i="5"/>
  <c r="F10" i="5" s="1"/>
  <c r="D10" i="5"/>
  <c r="C10" i="5"/>
  <c r="M9" i="5"/>
  <c r="L9" i="5"/>
  <c r="W9" i="5" s="1"/>
  <c r="X9" i="5" s="1"/>
  <c r="I9" i="5"/>
  <c r="G9" i="5"/>
  <c r="E9" i="5"/>
  <c r="F9" i="5" s="1"/>
  <c r="D9" i="5"/>
  <c r="C9" i="5"/>
  <c r="T9" i="5" s="1"/>
  <c r="M8" i="5"/>
  <c r="L8" i="5"/>
  <c r="I8" i="5"/>
  <c r="G8" i="5"/>
  <c r="E8" i="5"/>
  <c r="F8" i="5" s="1"/>
  <c r="D8" i="5"/>
  <c r="H8" i="5" s="1"/>
  <c r="C8" i="5"/>
  <c r="M7" i="5"/>
  <c r="L7" i="5"/>
  <c r="I7" i="5"/>
  <c r="G7" i="5"/>
  <c r="E7" i="5"/>
  <c r="F7" i="5" s="1"/>
  <c r="D7" i="5"/>
  <c r="C7" i="5"/>
  <c r="M6" i="5"/>
  <c r="L6" i="5"/>
  <c r="I6" i="5"/>
  <c r="G6" i="5"/>
  <c r="E6" i="5"/>
  <c r="F6" i="5" s="1"/>
  <c r="D6" i="5"/>
  <c r="H6" i="5" s="1"/>
  <c r="C6" i="5"/>
  <c r="M5" i="5"/>
  <c r="L5" i="5"/>
  <c r="I5" i="5"/>
  <c r="G5" i="5"/>
  <c r="E5" i="5"/>
  <c r="F5" i="5" s="1"/>
  <c r="D5" i="5"/>
  <c r="C5" i="5"/>
  <c r="M4" i="5"/>
  <c r="L4" i="5"/>
  <c r="I4" i="5"/>
  <c r="G4" i="5"/>
  <c r="E4" i="5"/>
  <c r="F4" i="5" s="1"/>
  <c r="D4" i="5"/>
  <c r="C4" i="5"/>
  <c r="M3" i="5"/>
  <c r="L3" i="5"/>
  <c r="I3" i="5"/>
  <c r="G3" i="5"/>
  <c r="E3" i="5"/>
  <c r="F3" i="5" s="1"/>
  <c r="D3" i="5"/>
  <c r="C3" i="5"/>
  <c r="W14" i="5" l="1"/>
  <c r="X14" i="5" s="1"/>
  <c r="T29" i="5"/>
  <c r="T12" i="5"/>
  <c r="Y12" i="5" s="1"/>
  <c r="Z12" i="5" s="1"/>
  <c r="H4" i="5"/>
  <c r="T11" i="5"/>
  <c r="Y11" i="5" s="1"/>
  <c r="T17" i="5"/>
  <c r="H22" i="5"/>
  <c r="T30" i="5"/>
  <c r="Y31" i="5"/>
  <c r="Z31" i="5" s="1"/>
  <c r="T10" i="5"/>
  <c r="T21" i="5"/>
  <c r="Y21" i="5" s="1"/>
  <c r="Z21" i="5" s="1"/>
  <c r="T25" i="5"/>
  <c r="H34" i="5"/>
  <c r="T24" i="5"/>
  <c r="W11" i="5"/>
  <c r="X11" i="5" s="1"/>
  <c r="T14" i="5"/>
  <c r="T19" i="5"/>
  <c r="Y19" i="5" s="1"/>
  <c r="Z19" i="5" s="1"/>
  <c r="Y20" i="5"/>
  <c r="Z20" i="5" s="1"/>
  <c r="T23" i="5"/>
  <c r="Y24" i="5"/>
  <c r="Z24" i="5" s="1"/>
  <c r="T27" i="5"/>
  <c r="Y27" i="5" s="1"/>
  <c r="Z27" i="5" s="1"/>
  <c r="T16" i="5"/>
  <c r="Y17" i="5" s="1"/>
  <c r="Z17" i="5" s="1"/>
  <c r="T20" i="5"/>
  <c r="T13" i="5"/>
  <c r="Y13" i="5" s="1"/>
  <c r="Z13" i="5" s="1"/>
  <c r="T18" i="5"/>
  <c r="T31" i="5"/>
  <c r="T15" i="5"/>
  <c r="Y15" i="5" s="1"/>
  <c r="Z15" i="5" s="1"/>
  <c r="T28" i="5"/>
  <c r="Y29" i="5" s="1"/>
  <c r="Z29" i="5" s="1"/>
  <c r="T32" i="5"/>
  <c r="T22" i="5"/>
  <c r="Y22" i="5" s="1"/>
  <c r="Z22" i="5" s="1"/>
  <c r="T26" i="5"/>
  <c r="Y18" i="5"/>
  <c r="Z18" i="5" s="1"/>
  <c r="Y10" i="5"/>
  <c r="Z10" i="5" s="1"/>
  <c r="H11" i="5"/>
  <c r="W13" i="5"/>
  <c r="X13" i="5" s="1"/>
  <c r="H16" i="5"/>
  <c r="H17" i="5"/>
  <c r="Y26" i="5"/>
  <c r="Z26" i="5" s="1"/>
  <c r="H30" i="5"/>
  <c r="Y30" i="5"/>
  <c r="Z30" i="5" s="1"/>
  <c r="Y25" i="5"/>
  <c r="Z25" i="5" s="1"/>
  <c r="H25" i="5"/>
  <c r="H15" i="5"/>
  <c r="H19" i="5"/>
  <c r="H5" i="5"/>
  <c r="Y28" i="5"/>
  <c r="Z28" i="5" s="1"/>
  <c r="Y32" i="5"/>
  <c r="Z32" i="5" s="1"/>
  <c r="H36" i="5"/>
  <c r="P3" i="6"/>
  <c r="H20" i="5"/>
  <c r="H10" i="5"/>
  <c r="H12" i="5"/>
  <c r="H33" i="5"/>
  <c r="H3" i="5"/>
  <c r="H21" i="5"/>
  <c r="H7" i="5"/>
  <c r="H14" i="5"/>
  <c r="H31" i="5"/>
  <c r="H35" i="5"/>
  <c r="H23" i="5"/>
  <c r="H27" i="5"/>
  <c r="H18" i="5"/>
  <c r="H26" i="5"/>
  <c r="H9" i="5"/>
  <c r="H13" i="5"/>
  <c r="H28" i="5"/>
  <c r="F36" i="4"/>
  <c r="F34" i="4"/>
  <c r="F35" i="4"/>
  <c r="F33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9" i="4"/>
  <c r="F4" i="4"/>
  <c r="F5" i="4"/>
  <c r="F6" i="4"/>
  <c r="F7" i="4"/>
  <c r="F8" i="4"/>
  <c r="F3" i="4"/>
  <c r="Z11" i="5" l="1"/>
  <c r="Y14" i="5"/>
  <c r="Z14" i="5" s="1"/>
  <c r="Y23" i="5"/>
  <c r="Z23" i="5" s="1"/>
  <c r="Y16" i="5"/>
  <c r="Z16" i="5" s="1"/>
  <c r="M7" i="2"/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" i="4"/>
  <c r="E4" i="4"/>
  <c r="G4" i="4"/>
  <c r="E5" i="4"/>
  <c r="G5" i="4"/>
  <c r="E6" i="4"/>
  <c r="G6" i="4"/>
  <c r="E7" i="4"/>
  <c r="G7" i="4"/>
  <c r="E8" i="4"/>
  <c r="G8" i="4"/>
  <c r="E9" i="4"/>
  <c r="G9" i="4"/>
  <c r="E10" i="4"/>
  <c r="G10" i="4"/>
  <c r="E11" i="4"/>
  <c r="G11" i="4"/>
  <c r="E12" i="4"/>
  <c r="G12" i="4"/>
  <c r="E13" i="4"/>
  <c r="G13" i="4"/>
  <c r="E14" i="4"/>
  <c r="G14" i="4"/>
  <c r="E15" i="4"/>
  <c r="G15" i="4"/>
  <c r="E16" i="4"/>
  <c r="G16" i="4"/>
  <c r="E17" i="4"/>
  <c r="G17" i="4"/>
  <c r="E18" i="4"/>
  <c r="G18" i="4"/>
  <c r="E19" i="4"/>
  <c r="G19" i="4"/>
  <c r="E20" i="4"/>
  <c r="G20" i="4"/>
  <c r="E21" i="4"/>
  <c r="G21" i="4"/>
  <c r="E22" i="4"/>
  <c r="G22" i="4"/>
  <c r="E23" i="4"/>
  <c r="G23" i="4"/>
  <c r="E24" i="4"/>
  <c r="G24" i="4"/>
  <c r="E25" i="4"/>
  <c r="G25" i="4"/>
  <c r="E26" i="4"/>
  <c r="G26" i="4"/>
  <c r="E27" i="4"/>
  <c r="G27" i="4"/>
  <c r="E28" i="4"/>
  <c r="G28" i="4"/>
  <c r="E29" i="4"/>
  <c r="G29" i="4"/>
  <c r="E30" i="4"/>
  <c r="G30" i="4"/>
  <c r="E31" i="4"/>
  <c r="G31" i="4"/>
  <c r="E32" i="4"/>
  <c r="G32" i="4"/>
  <c r="E33" i="4"/>
  <c r="G33" i="4"/>
  <c r="E34" i="4"/>
  <c r="G34" i="4"/>
  <c r="E35" i="4"/>
  <c r="G35" i="4"/>
  <c r="E36" i="4"/>
  <c r="G36" i="4"/>
  <c r="E3" i="4"/>
  <c r="G3" i="4"/>
  <c r="M3" i="4"/>
  <c r="M4" i="4"/>
  <c r="M5" i="4"/>
  <c r="M6" i="4"/>
  <c r="M7" i="4"/>
  <c r="M8" i="4"/>
  <c r="L33" i="4"/>
  <c r="L34" i="4"/>
  <c r="L35" i="4"/>
  <c r="L3" i="4"/>
  <c r="L4" i="4"/>
  <c r="L5" i="4"/>
  <c r="L6" i="4"/>
  <c r="L7" i="4"/>
  <c r="L8" i="4"/>
  <c r="D4" i="4"/>
  <c r="H4" i="4" s="1"/>
  <c r="D5" i="4"/>
  <c r="H5" i="4" s="1"/>
  <c r="D6" i="4"/>
  <c r="H6" i="4" s="1"/>
  <c r="D7" i="4"/>
  <c r="D8" i="4"/>
  <c r="H8" i="4" s="1"/>
  <c r="D9" i="4"/>
  <c r="H9" i="4" s="1"/>
  <c r="D10" i="4"/>
  <c r="H10" i="4" s="1"/>
  <c r="D11" i="4"/>
  <c r="H11" i="4" s="1"/>
  <c r="D12" i="4"/>
  <c r="H12" i="4" s="1"/>
  <c r="D13" i="4"/>
  <c r="H13" i="4" s="1"/>
  <c r="D14" i="4"/>
  <c r="H14" i="4" s="1"/>
  <c r="D15" i="4"/>
  <c r="D16" i="4"/>
  <c r="P16" i="4" s="1"/>
  <c r="D17" i="4"/>
  <c r="H17" i="4" s="1"/>
  <c r="D18" i="4"/>
  <c r="H18" i="4" s="1"/>
  <c r="D19" i="4"/>
  <c r="H19" i="4" s="1"/>
  <c r="D20" i="4"/>
  <c r="H20" i="4" s="1"/>
  <c r="D21" i="4"/>
  <c r="H21" i="4" s="1"/>
  <c r="D22" i="4"/>
  <c r="H22" i="4" s="1"/>
  <c r="D23" i="4"/>
  <c r="P23" i="4" s="1"/>
  <c r="D24" i="4"/>
  <c r="P24" i="4" s="1"/>
  <c r="D25" i="4"/>
  <c r="H25" i="4" s="1"/>
  <c r="D26" i="4"/>
  <c r="H26" i="4" s="1"/>
  <c r="D27" i="4"/>
  <c r="H27" i="4" s="1"/>
  <c r="D28" i="4"/>
  <c r="H28" i="4" s="1"/>
  <c r="D29" i="4"/>
  <c r="H29" i="4" s="1"/>
  <c r="D30" i="4"/>
  <c r="H30" i="4" s="1"/>
  <c r="D31" i="4"/>
  <c r="P31" i="4" s="1"/>
  <c r="D32" i="4"/>
  <c r="P32" i="4" s="1"/>
  <c r="D33" i="4"/>
  <c r="H33" i="4" s="1"/>
  <c r="D34" i="4"/>
  <c r="H34" i="4" s="1"/>
  <c r="D35" i="4"/>
  <c r="H35" i="4" s="1"/>
  <c r="D36" i="4"/>
  <c r="H36" i="4" s="1"/>
  <c r="D3" i="4"/>
  <c r="H3" i="4" s="1"/>
  <c r="M10" i="4"/>
  <c r="M11" i="4"/>
  <c r="M12" i="4"/>
  <c r="M13" i="4"/>
  <c r="M14" i="4"/>
  <c r="M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9" i="4"/>
  <c r="H31" i="4" l="1"/>
  <c r="H23" i="4"/>
  <c r="H15" i="4"/>
  <c r="H7" i="4"/>
  <c r="P28" i="4"/>
  <c r="P20" i="4"/>
  <c r="P12" i="4"/>
  <c r="P11" i="4"/>
  <c r="P19" i="4"/>
  <c r="P27" i="4"/>
  <c r="H32" i="4"/>
  <c r="H24" i="4"/>
  <c r="H16" i="4"/>
  <c r="P15" i="4"/>
  <c r="P29" i="4"/>
  <c r="P21" i="4"/>
  <c r="P13" i="4"/>
  <c r="P25" i="4"/>
  <c r="P17" i="4"/>
  <c r="P30" i="4"/>
  <c r="P22" i="4"/>
  <c r="P14" i="4"/>
  <c r="P26" i="4"/>
  <c r="P18" i="4"/>
  <c r="P10" i="4"/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" i="4"/>
</calcChain>
</file>

<file path=xl/comments1.xml><?xml version="1.0" encoding="utf-8"?>
<comments xmlns="http://schemas.openxmlformats.org/spreadsheetml/2006/main">
  <authors>
    <author>Perry Johnson</author>
  </authors>
  <commentList>
    <comment ref="K2" authorId="0">
      <text>
        <r>
          <rPr>
            <b/>
            <sz val="9"/>
            <color indexed="81"/>
            <rFont val="Tahoma"/>
            <charset val="1"/>
          </rPr>
          <t>Perry Johnson:</t>
        </r>
        <r>
          <rPr>
            <sz val="9"/>
            <color indexed="81"/>
            <rFont val="Tahoma"/>
            <charset val="1"/>
          </rPr>
          <t xml:space="preserve">
base of the spar cap</t>
        </r>
      </text>
    </comment>
    <comment ref="L2" authorId="0">
      <text>
        <r>
          <rPr>
            <b/>
            <sz val="9"/>
            <color indexed="81"/>
            <rFont val="Tahoma"/>
            <charset val="1"/>
          </rPr>
          <t>Perry Johnson:</t>
        </r>
        <r>
          <rPr>
            <sz val="9"/>
            <color indexed="81"/>
            <rFont val="Tahoma"/>
            <charset val="1"/>
          </rPr>
          <t xml:space="preserve">
height of the spar cap</t>
        </r>
      </text>
    </comment>
    <comment ref="M2" authorId="0">
      <text>
        <r>
          <rPr>
            <b/>
            <sz val="9"/>
            <color indexed="81"/>
            <rFont val="Tahoma"/>
            <charset val="1"/>
          </rPr>
          <t>Perry Johnson:</t>
        </r>
        <r>
          <rPr>
            <sz val="9"/>
            <color indexed="81"/>
            <rFont val="Tahoma"/>
            <charset val="1"/>
          </rPr>
          <t xml:space="preserve">
height of the root buildup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Perry Johnson:</t>
        </r>
        <r>
          <rPr>
            <sz val="9"/>
            <color indexed="81"/>
            <rFont val="Tahoma"/>
            <family val="2"/>
          </rPr>
          <t xml:space="preserve">
shear web layup: 80 mm of foam sandwiched between 3 mm of double bias material (Saertex/EP-3) on the outer surfaces [Griffith 2011, pg. 40-41]</t>
        </r>
      </text>
    </comment>
    <comment ref="P2" authorId="0">
      <text>
        <r>
          <rPr>
            <b/>
            <sz val="9"/>
            <color indexed="81"/>
            <rFont val="Tahoma"/>
            <family val="2"/>
          </rPr>
          <t>Perry Johnson:</t>
        </r>
        <r>
          <rPr>
            <sz val="9"/>
            <color indexed="81"/>
            <rFont val="Tahoma"/>
            <family val="2"/>
          </rPr>
          <t xml:space="preserve">
shear web height approximated by multiplying the chord length by the thickness-to-chord ratio</t>
        </r>
      </text>
    </comment>
    <comment ref="M15" authorId="0">
      <text>
        <r>
          <rPr>
            <b/>
            <sz val="9"/>
            <color indexed="81"/>
            <rFont val="Tahoma"/>
            <charset val="1"/>
          </rPr>
          <t>Perry Johnson:</t>
        </r>
        <r>
          <rPr>
            <sz val="9"/>
            <color indexed="81"/>
            <rFont val="Tahoma"/>
            <charset val="1"/>
          </rPr>
          <t xml:space="preserve">
root buildup ends</t>
        </r>
      </text>
    </comment>
  </commentList>
</comments>
</file>

<file path=xl/comments2.xml><?xml version="1.0" encoding="utf-8"?>
<comments xmlns="http://schemas.openxmlformats.org/spreadsheetml/2006/main">
  <authors>
    <author>Perry Johnson</author>
  </authors>
  <commentList>
    <comment ref="K2" authorId="0">
      <text>
        <r>
          <rPr>
            <b/>
            <sz val="9"/>
            <color indexed="81"/>
            <rFont val="Tahoma"/>
            <charset val="1"/>
          </rPr>
          <t>Perry Johnson:</t>
        </r>
        <r>
          <rPr>
            <sz val="9"/>
            <color indexed="81"/>
            <rFont val="Tahoma"/>
            <charset val="1"/>
          </rPr>
          <t xml:space="preserve">
base of the spar cap</t>
        </r>
      </text>
    </comment>
    <comment ref="L2" authorId="0">
      <text>
        <r>
          <rPr>
            <b/>
            <sz val="9"/>
            <color indexed="81"/>
            <rFont val="Tahoma"/>
            <charset val="1"/>
          </rPr>
          <t>Perry Johnson:</t>
        </r>
        <r>
          <rPr>
            <sz val="9"/>
            <color indexed="81"/>
            <rFont val="Tahoma"/>
            <charset val="1"/>
          </rPr>
          <t xml:space="preserve">
height of the spar cap</t>
        </r>
      </text>
    </comment>
    <comment ref="M2" authorId="0">
      <text>
        <r>
          <rPr>
            <b/>
            <sz val="9"/>
            <color indexed="81"/>
            <rFont val="Tahoma"/>
            <charset val="1"/>
          </rPr>
          <t>Perry Johnson:</t>
        </r>
        <r>
          <rPr>
            <sz val="9"/>
            <color indexed="81"/>
            <rFont val="Tahoma"/>
            <charset val="1"/>
          </rPr>
          <t xml:space="preserve">
height of the root buildup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Perry Johnson:</t>
        </r>
        <r>
          <rPr>
            <sz val="9"/>
            <color indexed="81"/>
            <rFont val="Tahoma"/>
            <family val="2"/>
          </rPr>
          <t xml:space="preserve">
shear web layup: 80 mm of foam sandwiched between 3 mm of double bias material (Saertex/EP-3) on the outer surfaces [Griffith 2011, pg. 40-41]</t>
        </r>
      </text>
    </comment>
    <comment ref="P2" authorId="0">
      <text>
        <r>
          <rPr>
            <b/>
            <sz val="9"/>
            <color indexed="81"/>
            <rFont val="Tahoma"/>
            <family val="2"/>
          </rPr>
          <t>Perry Johnson:</t>
        </r>
        <r>
          <rPr>
            <sz val="9"/>
            <color indexed="81"/>
            <rFont val="Tahoma"/>
            <family val="2"/>
          </rPr>
          <t xml:space="preserve">
shear web height approximated by multiplying the chord length by the thickness-to-chord ratio</t>
        </r>
      </text>
    </comment>
    <comment ref="M15" authorId="0">
      <text>
        <r>
          <rPr>
            <b/>
            <sz val="9"/>
            <color indexed="81"/>
            <rFont val="Tahoma"/>
            <charset val="1"/>
          </rPr>
          <t>Perry Johnson:</t>
        </r>
        <r>
          <rPr>
            <sz val="9"/>
            <color indexed="81"/>
            <rFont val="Tahoma"/>
            <charset val="1"/>
          </rPr>
          <t xml:space="preserve">
root buildup ends</t>
        </r>
      </text>
    </comment>
  </commentList>
</comments>
</file>

<file path=xl/comments3.xml><?xml version="1.0" encoding="utf-8"?>
<comments xmlns="http://schemas.openxmlformats.org/spreadsheetml/2006/main">
  <authors>
    <author>Perry Johnson</author>
  </authors>
  <commentList>
    <comment ref="K2" authorId="0">
      <text>
        <r>
          <rPr>
            <b/>
            <sz val="9"/>
            <color indexed="81"/>
            <rFont val="Tahoma"/>
            <charset val="1"/>
          </rPr>
          <t>Perry Johnson:</t>
        </r>
        <r>
          <rPr>
            <sz val="9"/>
            <color indexed="81"/>
            <rFont val="Tahoma"/>
            <charset val="1"/>
          </rPr>
          <t xml:space="preserve">
base of the spar cap</t>
        </r>
      </text>
    </comment>
    <comment ref="L2" authorId="0">
      <text>
        <r>
          <rPr>
            <b/>
            <sz val="9"/>
            <color indexed="81"/>
            <rFont val="Tahoma"/>
            <charset val="1"/>
          </rPr>
          <t>Perry Johnson:</t>
        </r>
        <r>
          <rPr>
            <sz val="9"/>
            <color indexed="81"/>
            <rFont val="Tahoma"/>
            <charset val="1"/>
          </rPr>
          <t xml:space="preserve">
height of the spar cap</t>
        </r>
      </text>
    </comment>
    <comment ref="M2" authorId="0">
      <text>
        <r>
          <rPr>
            <b/>
            <sz val="9"/>
            <color indexed="81"/>
            <rFont val="Tahoma"/>
            <charset val="1"/>
          </rPr>
          <t>Perry Johnson:</t>
        </r>
        <r>
          <rPr>
            <sz val="9"/>
            <color indexed="81"/>
            <rFont val="Tahoma"/>
            <charset val="1"/>
          </rPr>
          <t xml:space="preserve">
height of the root buildup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Perry Johnson:</t>
        </r>
        <r>
          <rPr>
            <sz val="9"/>
            <color indexed="81"/>
            <rFont val="Tahoma"/>
            <family val="2"/>
          </rPr>
          <t xml:space="preserve">
shear web layup: 80 mm of foam sandwiched between 3 mm of double bias material (Saertex/EP-3) on the outer surfaces [Griffith 2011, pg. 40-41]</t>
        </r>
      </text>
    </comment>
    <comment ref="P2" authorId="0">
      <text>
        <r>
          <rPr>
            <b/>
            <sz val="9"/>
            <color indexed="81"/>
            <rFont val="Tahoma"/>
            <family val="2"/>
          </rPr>
          <t>Perry Johnson:</t>
        </r>
        <r>
          <rPr>
            <sz val="9"/>
            <color indexed="81"/>
            <rFont val="Tahoma"/>
            <family val="2"/>
          </rPr>
          <t xml:space="preserve">
shear web height approximated by multiplying the chord length by the thickness-to-chord ratio</t>
        </r>
      </text>
    </comment>
  </commentList>
</comments>
</file>

<file path=xl/sharedStrings.xml><?xml version="1.0" encoding="utf-8"?>
<sst xmlns="http://schemas.openxmlformats.org/spreadsheetml/2006/main" count="332" uniqueCount="161">
  <si>
    <t>Station Number</t>
  </si>
  <si>
    <t>Blade Fraction</t>
  </si>
  <si>
    <t>Chord (m)</t>
  </si>
  <si>
    <t>Twist (deg)</t>
  </si>
  <si>
    <t>Pitch Axis (Fraction)</t>
  </si>
  <si>
    <t>Airfoil</t>
  </si>
  <si>
    <t>Thickness-to-Chord (%)</t>
  </si>
  <si>
    <t>Cylinder</t>
  </si>
  <si>
    <t>Transition</t>
  </si>
  <si>
    <t>Ellipse</t>
  </si>
  <si>
    <t>DU 99-W-405</t>
  </si>
  <si>
    <t>DU 99-W-350</t>
  </si>
  <si>
    <t>DU 97-W-300</t>
  </si>
  <si>
    <t>DU 91-W2-250</t>
  </si>
  <si>
    <t>DU 93-W-210</t>
  </si>
  <si>
    <t>NACA 64-618</t>
  </si>
  <si>
    <t>Laminate Definition</t>
  </si>
  <si>
    <t>VARTM Fabric/resin</t>
  </si>
  <si>
    <t>E-LT-5500/EP-3</t>
  </si>
  <si>
    <t>Saertex/EP-3</t>
  </si>
  <si>
    <t>SNL Triax</t>
  </si>
  <si>
    <t>lay-up</t>
  </si>
  <si>
    <r>
      <t>[0]</t>
    </r>
    <r>
      <rPr>
        <vertAlign val="subscript"/>
        <sz val="11"/>
        <color theme="1"/>
        <rFont val="Calibri"/>
        <family val="2"/>
        <scheme val="minor"/>
      </rPr>
      <t>2</t>
    </r>
  </si>
  <si>
    <r>
      <t>[+/-45]</t>
    </r>
    <r>
      <rPr>
        <vertAlign val="subscript"/>
        <sz val="11"/>
        <color theme="1"/>
        <rFont val="Calibri"/>
        <family val="2"/>
        <scheme val="minor"/>
      </rPr>
      <t>4</t>
    </r>
  </si>
  <si>
    <r>
      <t>[+/-45]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[0]</t>
    </r>
    <r>
      <rPr>
        <vertAlign val="subscript"/>
        <sz val="11"/>
        <color theme="1"/>
        <rFont val="Calibri"/>
        <family val="2"/>
        <scheme val="minor"/>
      </rPr>
      <t>2</t>
    </r>
  </si>
  <si>
    <r>
      <t>V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(%)</t>
    </r>
  </si>
  <si>
    <t>-</t>
  </si>
  <si>
    <t>Longitudinal Direction</t>
  </si>
  <si>
    <t>Elastic Constants</t>
  </si>
  <si>
    <r>
      <t>E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(GPa)</t>
    </r>
  </si>
  <si>
    <r>
      <t>E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(GPa)</t>
    </r>
  </si>
  <si>
    <r>
      <rPr>
        <sz val="11"/>
        <color theme="1"/>
        <rFont val="Calibri"/>
        <family val="2"/>
      </rPr>
      <t>ν</t>
    </r>
    <r>
      <rPr>
        <vertAlign val="subscript"/>
        <sz val="11"/>
        <color theme="1"/>
        <rFont val="Calibri"/>
        <family val="2"/>
      </rPr>
      <t>LT</t>
    </r>
  </si>
  <si>
    <r>
      <t>G</t>
    </r>
    <r>
      <rPr>
        <vertAlign val="subscript"/>
        <sz val="11"/>
        <color theme="1"/>
        <rFont val="Calibri"/>
        <family val="2"/>
        <scheme val="minor"/>
      </rPr>
      <t>LT</t>
    </r>
    <r>
      <rPr>
        <sz val="11"/>
        <color theme="1"/>
        <rFont val="Calibri"/>
        <family val="2"/>
        <scheme val="minor"/>
      </rPr>
      <t xml:space="preserve"> (GPa)</t>
    </r>
  </si>
  <si>
    <t>Tension</t>
  </si>
  <si>
    <t>Compression</t>
  </si>
  <si>
    <t>Shear</t>
  </si>
  <si>
    <r>
      <t>UTS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(MPa)</t>
    </r>
  </si>
  <si>
    <r>
      <t>ε</t>
    </r>
    <r>
      <rPr>
        <vertAlign val="subscript"/>
        <sz val="11"/>
        <color theme="1"/>
        <rFont val="Calibri"/>
        <family val="2"/>
      </rPr>
      <t>max</t>
    </r>
    <r>
      <rPr>
        <sz val="11"/>
        <color theme="1"/>
        <rFont val="Calibri"/>
        <family val="2"/>
      </rPr>
      <t xml:space="preserve"> (%)</t>
    </r>
  </si>
  <si>
    <r>
      <t>ε</t>
    </r>
    <r>
      <rPr>
        <vertAlign val="subscript"/>
        <sz val="11"/>
        <color theme="1"/>
        <rFont val="Calibri"/>
        <family val="2"/>
      </rPr>
      <t>min</t>
    </r>
    <r>
      <rPr>
        <sz val="11"/>
        <color theme="1"/>
        <rFont val="Calibri"/>
        <family val="2"/>
      </rPr>
      <t xml:space="preserve"> (%)</t>
    </r>
  </si>
  <si>
    <r>
      <t>UCS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(MPa)</t>
    </r>
  </si>
  <si>
    <r>
      <t>τ</t>
    </r>
    <r>
      <rPr>
        <vertAlign val="subscript"/>
        <sz val="11"/>
        <color theme="1"/>
        <rFont val="Calibri"/>
        <family val="2"/>
      </rPr>
      <t>TU</t>
    </r>
    <r>
      <rPr>
        <sz val="11"/>
        <color theme="1"/>
        <rFont val="Calibri"/>
        <family val="2"/>
      </rPr>
      <t xml:space="preserve"> (MPa)</t>
    </r>
  </si>
  <si>
    <t>Material Property Data Selected from DOE/MSU Database</t>
  </si>
  <si>
    <t>Material Properties for Additional Materials</t>
  </si>
  <si>
    <t>Material</t>
  </si>
  <si>
    <r>
      <t>Density (kg/m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)</t>
    </r>
  </si>
  <si>
    <t>Resin</t>
  </si>
  <si>
    <t>Foam</t>
  </si>
  <si>
    <t>Gelcoat</t>
  </si>
  <si>
    <t>Root Buildup</t>
  </si>
  <si>
    <t>Triax/EP-3</t>
  </si>
  <si>
    <t>Spar Cap</t>
  </si>
  <si>
    <t>TE Reinforcement</t>
  </si>
  <si>
    <t>E-LT-5500/EP-3, Foam</t>
  </si>
  <si>
    <t>LE Panel</t>
  </si>
  <si>
    <t>Aft Panel</t>
  </si>
  <si>
    <t>(-)</t>
  </si>
  <si>
    <t>Blade Span</t>
  </si>
  <si>
    <t>(mm)</t>
  </si>
  <si>
    <t>*</t>
  </si>
  <si>
    <t>13, 0</t>
  </si>
  <si>
    <t>18, 0</t>
  </si>
  <si>
    <t>25, 60</t>
  </si>
  <si>
    <t>33, 60</t>
  </si>
  <si>
    <t>40, 60</t>
  </si>
  <si>
    <t>50, 60</t>
  </si>
  <si>
    <t>60, 60</t>
  </si>
  <si>
    <t>30, 40</t>
  </si>
  <si>
    <t>15, 20</t>
  </si>
  <si>
    <t>8, 10</t>
  </si>
  <si>
    <t>4, 10</t>
  </si>
  <si>
    <t>Comment</t>
  </si>
  <si>
    <t>main shear webs begin</t>
  </si>
  <si>
    <t>main shear webs end</t>
  </si>
  <si>
    <t>third shear web ends</t>
  </si>
  <si>
    <t>third shear web begins</t>
  </si>
  <si>
    <t>transition</t>
  </si>
  <si>
    <t>maximum chord</t>
  </si>
  <si>
    <t>spar cap</t>
  </si>
  <si>
    <t>shear web</t>
  </si>
  <si>
    <r>
      <t>b</t>
    </r>
    <r>
      <rPr>
        <vertAlign val="subscript"/>
        <sz val="11"/>
        <color theme="1"/>
        <rFont val="Calibri"/>
        <family val="2"/>
        <scheme val="minor"/>
      </rPr>
      <t>SC</t>
    </r>
    <r>
      <rPr>
        <sz val="11"/>
        <color theme="1"/>
        <rFont val="Calibri"/>
        <family val="2"/>
        <scheme val="minor"/>
      </rPr>
      <t xml:space="preserve"> (m)</t>
    </r>
  </si>
  <si>
    <r>
      <t>h</t>
    </r>
    <r>
      <rPr>
        <vertAlign val="subscript"/>
        <sz val="11"/>
        <color theme="1"/>
        <rFont val="Calibri"/>
        <family val="2"/>
        <scheme val="minor"/>
      </rPr>
      <t>SC</t>
    </r>
    <r>
      <rPr>
        <sz val="11"/>
        <color theme="1"/>
        <rFont val="Calibri"/>
        <family val="2"/>
        <scheme val="minor"/>
      </rPr>
      <t xml:space="preserve"> (m)</t>
    </r>
  </si>
  <si>
    <r>
      <t>b</t>
    </r>
    <r>
      <rPr>
        <vertAlign val="subscript"/>
        <sz val="11"/>
        <color theme="1"/>
        <rFont val="Calibri"/>
        <family val="2"/>
        <scheme val="minor"/>
      </rPr>
      <t>SW</t>
    </r>
    <r>
      <rPr>
        <sz val="11"/>
        <color theme="1"/>
        <rFont val="Calibri"/>
        <family val="2"/>
        <scheme val="minor"/>
      </rPr>
      <t xml:space="preserve"> (m)</t>
    </r>
  </si>
  <si>
    <r>
      <t>h</t>
    </r>
    <r>
      <rPr>
        <vertAlign val="subscript"/>
        <sz val="11"/>
        <color theme="1"/>
        <rFont val="Calibri"/>
        <family val="2"/>
        <scheme val="minor"/>
      </rPr>
      <t>SW</t>
    </r>
    <r>
      <rPr>
        <sz val="11"/>
        <color theme="1"/>
        <rFont val="Calibri"/>
        <family val="2"/>
        <scheme val="minor"/>
      </rPr>
      <t xml:space="preserve"> (m)</t>
    </r>
  </si>
  <si>
    <r>
      <t>h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(m)</t>
    </r>
  </si>
  <si>
    <t>x-position (m)</t>
  </si>
  <si>
    <t>Pitch Axis Fraction (%)</t>
  </si>
  <si>
    <t>Blade Fraction (%)</t>
  </si>
  <si>
    <t>LE to Pitch Axis (m)</t>
  </si>
  <si>
    <r>
      <t>Density (kg/m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</si>
  <si>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Twist (rad)</t>
  </si>
  <si>
    <t>negative diagonal entries from VABS?</t>
  </si>
  <si>
    <t>Y</t>
  </si>
  <si>
    <t>N</t>
  </si>
  <si>
    <r>
      <t>S44, torsional stiffness (N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</si>
  <si>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spar length</t>
  </si>
  <si>
    <t>spar cap thickness &lt; shear web thickness?</t>
  </si>
  <si>
    <t>smallest wall thickness</t>
  </si>
  <si>
    <t>twist rate</t>
  </si>
  <si>
    <t>wall thickness * twist rate</t>
  </si>
  <si>
    <t>Spar Fraction (%)</t>
  </si>
  <si>
    <t>Spar Fraction (-)</t>
  </si>
  <si>
    <t>spar stn</t>
  </si>
  <si>
    <t>x1 (m)</t>
  </si>
  <si>
    <t>eta (-)</t>
  </si>
  <si>
    <t>spar frac (%)</t>
  </si>
  <si>
    <t>sparcap bse (m)</t>
  </si>
  <si>
    <t>sparcap ht (m)</t>
  </si>
  <si>
    <t>rtbldup bse (m)</t>
  </si>
  <si>
    <t>rtbldup ht (m)</t>
  </si>
  <si>
    <t>shearwb bse (m)</t>
  </si>
  <si>
    <t>shearwb ht (m)</t>
  </si>
  <si>
    <t>sw foam bse (m)</t>
  </si>
  <si>
    <t>sw biax bse (m)</t>
  </si>
  <si>
    <t>twist (deg)</t>
  </si>
  <si>
    <t>twist rate k1 (rad/m)</t>
  </si>
  <si>
    <t>blde stn</t>
  </si>
  <si>
    <t>blade frac (%)</t>
  </si>
  <si>
    <t>chord (m)</t>
  </si>
  <si>
    <t>twist (rad)</t>
  </si>
  <si>
    <t>min gap (m)</t>
  </si>
  <si>
    <t>min g/c (-)</t>
  </si>
  <si>
    <t>x3 (m)</t>
  </si>
  <si>
    <r>
      <t>x</t>
    </r>
    <r>
      <rPr>
        <vertAlign val="subscript"/>
        <sz val="11"/>
        <color theme="0"/>
        <rFont val="Calibri"/>
        <family val="2"/>
        <scheme val="minor"/>
      </rPr>
      <t>1</t>
    </r>
    <r>
      <rPr>
        <sz val="11"/>
        <color theme="0"/>
        <rFont val="Calibri"/>
        <family val="2"/>
        <scheme val="minor"/>
      </rPr>
      <t xml:space="preserve"> (m)</t>
    </r>
  </si>
  <si>
    <r>
      <t>twist rate k</t>
    </r>
    <r>
      <rPr>
        <vertAlign val="subscript"/>
        <sz val="11"/>
        <color theme="0"/>
        <rFont val="Calibri"/>
        <family val="2"/>
        <scheme val="minor"/>
      </rPr>
      <t>1</t>
    </r>
    <r>
      <rPr>
        <sz val="11"/>
        <color theme="0"/>
        <rFont val="Calibri"/>
        <family val="2"/>
        <scheme val="minor"/>
      </rPr>
      <t xml:space="preserve"> (rad/m)</t>
    </r>
  </si>
  <si>
    <t>g/c (-)</t>
  </si>
  <si>
    <t>description</t>
  </si>
  <si>
    <t>symbol</t>
  </si>
  <si>
    <t>span</t>
  </si>
  <si>
    <t>R</t>
  </si>
  <si>
    <t>joint length</t>
  </si>
  <si>
    <r>
      <t>r</t>
    </r>
    <r>
      <rPr>
        <vertAlign val="subscript"/>
        <sz val="11"/>
        <color theme="1"/>
        <rFont val="Calibri"/>
        <family val="2"/>
        <scheme val="minor"/>
      </rPr>
      <t>j</t>
    </r>
  </si>
  <si>
    <r>
      <t>r</t>
    </r>
    <r>
      <rPr>
        <vertAlign val="subscript"/>
        <sz val="11"/>
        <color theme="1"/>
        <rFont val="Calibri"/>
        <family val="2"/>
        <scheme val="minor"/>
      </rPr>
      <t>jt</t>
    </r>
  </si>
  <si>
    <r>
      <t>r</t>
    </r>
    <r>
      <rPr>
        <vertAlign val="subscript"/>
        <sz val="11"/>
        <color theme="1"/>
        <rFont val="Calibri"/>
        <family val="2"/>
        <scheme val="minor"/>
      </rPr>
      <t>rt</t>
    </r>
  </si>
  <si>
    <t>joint transition length</t>
  </si>
  <si>
    <t>root transition length</t>
  </si>
  <si>
    <t>value (m)</t>
  </si>
  <si>
    <t>NON-DIMENSIONAL PARAMETERS</t>
  </si>
  <si>
    <t>DIMENSIONAL PARAMETERS</t>
  </si>
  <si>
    <t>value (-)</t>
  </si>
  <si>
    <t>joint length-to-span ratio</t>
  </si>
  <si>
    <t>joint transition length-to-joint length ratio</t>
  </si>
  <si>
    <r>
      <t>r</t>
    </r>
    <r>
      <rPr>
        <vertAlign val="subscript"/>
        <sz val="11"/>
        <color theme="1"/>
        <rFont val="Calibri"/>
        <family val="2"/>
        <scheme val="minor"/>
      </rPr>
      <t>jt</t>
    </r>
    <r>
      <rPr>
        <sz val="11"/>
        <color theme="1"/>
        <rFont val="Calibri"/>
        <family val="2"/>
        <scheme val="minor"/>
      </rPr>
      <t>/r</t>
    </r>
    <r>
      <rPr>
        <vertAlign val="subscript"/>
        <sz val="11"/>
        <color theme="1"/>
        <rFont val="Calibri"/>
        <family val="2"/>
        <scheme val="minor"/>
      </rPr>
      <t>j</t>
    </r>
  </si>
  <si>
    <r>
      <t>r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/R</t>
    </r>
  </si>
  <si>
    <t>root transition length-to-joint length ratio</t>
  </si>
  <si>
    <t>(max) gap-to-chord ratio</t>
  </si>
  <si>
    <r>
      <t>r</t>
    </r>
    <r>
      <rPr>
        <vertAlign val="subscript"/>
        <sz val="11"/>
        <color theme="1"/>
        <rFont val="Calibri"/>
        <family val="2"/>
        <scheme val="minor"/>
      </rPr>
      <t>rt</t>
    </r>
    <r>
      <rPr>
        <sz val="11"/>
        <color theme="1"/>
        <rFont val="Calibri"/>
        <family val="2"/>
        <scheme val="minor"/>
      </rPr>
      <t>/r</t>
    </r>
    <r>
      <rPr>
        <vertAlign val="subscript"/>
        <sz val="11"/>
        <color theme="1"/>
        <rFont val="Calibri"/>
        <family val="2"/>
        <scheme val="minor"/>
      </rPr>
      <t>j</t>
    </r>
  </si>
  <si>
    <t>root transition region</t>
  </si>
  <si>
    <t>monoplane outboard region</t>
  </si>
  <si>
    <t>(max) gap</t>
  </si>
  <si>
    <r>
      <t>g</t>
    </r>
    <r>
      <rPr>
        <vertAlign val="subscript"/>
        <sz val="11"/>
        <color theme="1"/>
        <rFont val="Calibri"/>
        <family val="2"/>
        <scheme val="minor"/>
      </rPr>
      <t>max</t>
    </r>
  </si>
  <si>
    <r>
      <t>(g/c)</t>
    </r>
    <r>
      <rPr>
        <vertAlign val="subscript"/>
        <sz val="11"/>
        <color theme="1"/>
        <rFont val="Calibri"/>
        <family val="2"/>
        <scheme val="minor"/>
      </rPr>
      <t>max</t>
    </r>
  </si>
  <si>
    <t>joint transition region</t>
  </si>
  <si>
    <t>straight biplane region</t>
  </si>
  <si>
    <t>root region</t>
  </si>
  <si>
    <t>root length</t>
  </si>
  <si>
    <r>
      <t>r</t>
    </r>
    <r>
      <rPr>
        <vertAlign val="subscript"/>
        <sz val="11"/>
        <color theme="1"/>
        <rFont val="Calibri"/>
        <family val="2"/>
        <scheme val="minor"/>
      </rPr>
      <t>r</t>
    </r>
  </si>
  <si>
    <t>root length-to-joint length ratio</t>
  </si>
  <si>
    <r>
      <t>r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/r</t>
    </r>
    <r>
      <rPr>
        <vertAlign val="subscript"/>
        <sz val="11"/>
        <color theme="1"/>
        <rFont val="Calibri"/>
        <family val="2"/>
        <scheme val="minor"/>
      </rPr>
      <t>j</t>
    </r>
  </si>
  <si>
    <t>I_x</t>
  </si>
  <si>
    <t>I_x (outer)</t>
  </si>
  <si>
    <t>I_x (inner)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</si>
</sst>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"/>
    <numFmt numFmtId="166" formatCode="0.0%"/>
    <numFmt numFmtId="167" formatCode="0.00000E+00"/>
    <numFmt numFmtId="168" formatCode="0.0000"/>
    <numFmt numFmtId="169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hair">
        <color indexed="64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1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</cellStyleXfs>
  <cellXfs count="12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0" fillId="0" borderId="0" xfId="0" applyNumberFormat="1" applyAlignment="1">
      <alignment horizontal="center" vertical="top"/>
    </xf>
    <xf numFmtId="165" fontId="0" fillId="0" borderId="0" xfId="0" applyNumberFormat="1"/>
    <xf numFmtId="1" fontId="0" fillId="0" borderId="0" xfId="0" applyNumberFormat="1"/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2" fontId="0" fillId="0" borderId="1" xfId="0" applyNumberFormat="1" applyBorder="1"/>
    <xf numFmtId="0" fontId="0" fillId="0" borderId="1" xfId="0" applyNumberFormat="1" applyBorder="1" applyAlignment="1">
      <alignment horizontal="center"/>
    </xf>
    <xf numFmtId="164" fontId="0" fillId="0" borderId="1" xfId="0" applyNumberFormat="1" applyBorder="1"/>
    <xf numFmtId="10" fontId="0" fillId="0" borderId="1" xfId="1" applyNumberFormat="1" applyFont="1" applyBorder="1"/>
    <xf numFmtId="0" fontId="0" fillId="0" borderId="2" xfId="0" applyBorder="1"/>
    <xf numFmtId="0" fontId="3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164" fontId="0" fillId="0" borderId="0" xfId="0" applyNumberFormat="1" applyFill="1"/>
    <xf numFmtId="10" fontId="0" fillId="0" borderId="0" xfId="1" applyNumberFormat="1" applyFont="1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10" fontId="0" fillId="2" borderId="0" xfId="1" applyNumberFormat="1" applyFont="1" applyFill="1"/>
    <xf numFmtId="0" fontId="0" fillId="2" borderId="0" xfId="0" applyFill="1"/>
    <xf numFmtId="0" fontId="9" fillId="0" borderId="0" xfId="0" applyFont="1" applyAlignment="1">
      <alignment horizontal="center"/>
    </xf>
    <xf numFmtId="164" fontId="9" fillId="0" borderId="0" xfId="0" applyNumberFormat="1" applyFont="1"/>
    <xf numFmtId="165" fontId="9" fillId="0" borderId="0" xfId="0" applyNumberFormat="1" applyFont="1"/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/>
    <xf numFmtId="165" fontId="9" fillId="0" borderId="1" xfId="0" applyNumberFormat="1" applyFont="1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0" fillId="0" borderId="0" xfId="0" applyFont="1"/>
    <xf numFmtId="0" fontId="9" fillId="0" borderId="0" xfId="0" applyFont="1"/>
    <xf numFmtId="0" fontId="10" fillId="0" borderId="1" xfId="0" applyFont="1" applyBorder="1"/>
    <xf numFmtId="0" fontId="9" fillId="0" borderId="1" xfId="0" applyFont="1" applyBorder="1"/>
    <xf numFmtId="166" fontId="9" fillId="0" borderId="0" xfId="1" applyNumberFormat="1" applyFont="1"/>
    <xf numFmtId="166" fontId="9" fillId="0" borderId="1" xfId="1" applyNumberFormat="1" applyFont="1" applyBorder="1"/>
    <xf numFmtId="10" fontId="9" fillId="0" borderId="0" xfId="1" applyNumberFormat="1" applyFont="1"/>
    <xf numFmtId="10" fontId="9" fillId="0" borderId="1" xfId="1" applyNumberFormat="1" applyFont="1" applyBorder="1"/>
    <xf numFmtId="10" fontId="8" fillId="0" borderId="0" xfId="1" applyNumberFormat="1" applyFont="1"/>
    <xf numFmtId="164" fontId="9" fillId="0" borderId="0" xfId="1" applyNumberFormat="1" applyFont="1"/>
    <xf numFmtId="164" fontId="9" fillId="0" borderId="1" xfId="1" applyNumberFormat="1" applyFont="1" applyBorder="1"/>
    <xf numFmtId="166" fontId="0" fillId="2" borderId="0" xfId="1" applyNumberFormat="1" applyFont="1" applyFill="1"/>
    <xf numFmtId="165" fontId="0" fillId="2" borderId="0" xfId="0" applyNumberFormat="1" applyFill="1"/>
    <xf numFmtId="164" fontId="8" fillId="2" borderId="0" xfId="0" applyNumberFormat="1" applyFont="1" applyFill="1"/>
    <xf numFmtId="166" fontId="8" fillId="2" borderId="0" xfId="1" applyNumberFormat="1" applyFont="1" applyFill="1"/>
    <xf numFmtId="10" fontId="8" fillId="2" borderId="0" xfId="1" applyNumberFormat="1" applyFont="1" applyFill="1"/>
    <xf numFmtId="164" fontId="8" fillId="2" borderId="0" xfId="1" applyNumberFormat="1" applyFont="1" applyFill="1"/>
    <xf numFmtId="10" fontId="8" fillId="0" borderId="0" xfId="1" applyNumberFormat="1" applyFont="1" applyFill="1"/>
    <xf numFmtId="0" fontId="0" fillId="0" borderId="0" xfId="1" applyNumberFormat="1" applyFont="1"/>
    <xf numFmtId="0" fontId="0" fillId="0" borderId="0" xfId="0" applyNumberFormat="1"/>
    <xf numFmtId="0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Border="1"/>
    <xf numFmtId="0" fontId="5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166" fontId="0" fillId="2" borderId="4" xfId="1" applyNumberFormat="1" applyFont="1" applyFill="1" applyBorder="1"/>
    <xf numFmtId="165" fontId="0" fillId="2" borderId="4" xfId="0" applyNumberFormat="1" applyFill="1" applyBorder="1"/>
    <xf numFmtId="164" fontId="8" fillId="2" borderId="4" xfId="0" applyNumberFormat="1" applyFont="1" applyFill="1" applyBorder="1"/>
    <xf numFmtId="166" fontId="8" fillId="2" borderId="4" xfId="1" applyNumberFormat="1" applyFont="1" applyFill="1" applyBorder="1"/>
    <xf numFmtId="164" fontId="8" fillId="2" borderId="4" xfId="1" applyNumberFormat="1" applyFont="1" applyFill="1" applyBorder="1"/>
    <xf numFmtId="10" fontId="8" fillId="2" borderId="4" xfId="1" applyNumberFormat="1" applyFont="1" applyFill="1" applyBorder="1"/>
    <xf numFmtId="10" fontId="8" fillId="0" borderId="4" xfId="1" applyNumberFormat="1" applyFont="1" applyBorder="1"/>
    <xf numFmtId="0" fontId="0" fillId="2" borderId="4" xfId="0" applyFill="1" applyBorder="1"/>
    <xf numFmtId="164" fontId="0" fillId="2" borderId="4" xfId="0" applyNumberFormat="1" applyFill="1" applyBorder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11" fontId="0" fillId="0" borderId="0" xfId="0" applyNumberFormat="1"/>
    <xf numFmtId="2" fontId="0" fillId="0" borderId="5" xfId="0" applyNumberFormat="1" applyBorder="1"/>
    <xf numFmtId="164" fontId="0" fillId="0" borderId="5" xfId="0" applyNumberFormat="1" applyBorder="1"/>
    <xf numFmtId="11" fontId="0" fillId="0" borderId="5" xfId="0" applyNumberFormat="1" applyBorder="1"/>
    <xf numFmtId="0" fontId="0" fillId="0" borderId="0" xfId="0" applyFill="1" applyBorder="1" applyAlignment="1">
      <alignment horizontal="center" vertical="center" wrapText="1"/>
    </xf>
    <xf numFmtId="165" fontId="0" fillId="0" borderId="4" xfId="0" applyNumberFormat="1" applyBorder="1"/>
    <xf numFmtId="11" fontId="0" fillId="0" borderId="4" xfId="0" applyNumberFormat="1" applyBorder="1"/>
    <xf numFmtId="167" fontId="0" fillId="0" borderId="0" xfId="0" applyNumberFormat="1" applyFill="1"/>
    <xf numFmtId="167" fontId="0" fillId="0" borderId="4" xfId="0" applyNumberFormat="1" applyFill="1" applyBorder="1"/>
    <xf numFmtId="166" fontId="0" fillId="3" borderId="0" xfId="1" applyNumberFormat="1" applyFont="1" applyFill="1"/>
    <xf numFmtId="166" fontId="0" fillId="3" borderId="4" xfId="1" applyNumberFormat="1" applyFont="1" applyFill="1" applyBorder="1"/>
    <xf numFmtId="0" fontId="19" fillId="7" borderId="0" xfId="5"/>
    <xf numFmtId="168" fontId="0" fillId="0" borderId="0" xfId="0" applyNumberFormat="1"/>
    <xf numFmtId="167" fontId="0" fillId="0" borderId="0" xfId="0" applyNumberFormat="1"/>
    <xf numFmtId="0" fontId="19" fillId="7" borderId="0" xfId="5" applyAlignment="1">
      <alignment horizontal="center" wrapText="1"/>
    </xf>
    <xf numFmtId="0" fontId="19" fillId="11" borderId="0" xfId="9"/>
    <xf numFmtId="0" fontId="19" fillId="13" borderId="0" xfId="11"/>
    <xf numFmtId="0" fontId="0" fillId="15" borderId="0" xfId="0" applyFill="1"/>
    <xf numFmtId="165" fontId="0" fillId="15" borderId="0" xfId="0" applyNumberFormat="1" applyFill="1"/>
    <xf numFmtId="167" fontId="0" fillId="15" borderId="0" xfId="0" applyNumberFormat="1" applyFill="1"/>
    <xf numFmtId="164" fontId="0" fillId="15" borderId="0" xfId="0" applyNumberFormat="1" applyFill="1"/>
    <xf numFmtId="2" fontId="1" fillId="8" borderId="0" xfId="6" applyNumberFormat="1"/>
    <xf numFmtId="0" fontId="19" fillId="9" borderId="0" xfId="7" applyAlignment="1">
      <alignment horizontal="center" wrapText="1"/>
    </xf>
    <xf numFmtId="0" fontId="19" fillId="14" borderId="0" xfId="12" applyAlignment="1">
      <alignment horizontal="center" wrapText="1"/>
    </xf>
    <xf numFmtId="168" fontId="0" fillId="15" borderId="0" xfId="0" applyNumberFormat="1" applyFill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9" fillId="10" borderId="0" xfId="8" applyAlignment="1">
      <alignment horizontal="center" vertical="center"/>
    </xf>
    <xf numFmtId="0" fontId="19" fillId="12" borderId="0" xfId="10" applyAlignment="1">
      <alignment horizontal="center" vertical="center"/>
    </xf>
    <xf numFmtId="0" fontId="18" fillId="6" borderId="0" xfId="4" applyAlignment="1">
      <alignment horizontal="center" vertical="center" textRotation="90" wrapText="1"/>
    </xf>
    <xf numFmtId="0" fontId="17" fillId="5" borderId="0" xfId="3" applyAlignment="1">
      <alignment horizontal="center" vertical="center" textRotation="90" wrapText="1"/>
    </xf>
    <xf numFmtId="0" fontId="16" fillId="4" borderId="0" xfId="2" applyAlignment="1">
      <alignment horizontal="center" vertical="center" textRotation="90" wrapText="1"/>
    </xf>
    <xf numFmtId="0" fontId="17" fillId="5" borderId="0" xfId="3" applyAlignment="1">
      <alignment horizontal="center" vertical="center" wrapText="1"/>
    </xf>
    <xf numFmtId="0" fontId="18" fillId="6" borderId="0" xfId="4" applyAlignment="1">
      <alignment horizontal="center" vertical="center" textRotation="90"/>
    </xf>
    <xf numFmtId="169" fontId="0" fillId="0" borderId="0" xfId="0" applyNumberFormat="1"/>
  </cellXfs>
  <cellStyles count="13">
    <cellStyle name="20% - Accent1" xfId="6" builtinId="30"/>
    <cellStyle name="60% - Accent4" xfId="9" builtinId="44"/>
    <cellStyle name="60% - Accent5" xfId="11" builtinId="48"/>
    <cellStyle name="Accent1" xfId="5" builtinId="29"/>
    <cellStyle name="Accent2" xfId="7" builtinId="33"/>
    <cellStyle name="Accent4" xfId="8" builtinId="41"/>
    <cellStyle name="Accent5" xfId="10" builtinId="45"/>
    <cellStyle name="Accent6" xfId="12" builtinId="49"/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Twist distribution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complete blade</c:v>
          </c:tx>
          <c:xVal>
            <c:numRef>
              <c:f>'My Schedule'!$C$3:$C$36</c:f>
              <c:numCache>
                <c:formatCode>0.0</c:formatCode>
                <c:ptCount val="34"/>
                <c:pt idx="0">
                  <c:v>0</c:v>
                </c:pt>
                <c:pt idx="1">
                  <c:v>0.5</c:v>
                </c:pt>
                <c:pt idx="2">
                  <c:v>0.70000000000000007</c:v>
                </c:pt>
                <c:pt idx="3">
                  <c:v>0.89999999999999991</c:v>
                </c:pt>
                <c:pt idx="4">
                  <c:v>1.0999999999999999</c:v>
                </c:pt>
                <c:pt idx="5">
                  <c:v>1.3</c:v>
                </c:pt>
                <c:pt idx="6">
                  <c:v>2.4</c:v>
                </c:pt>
                <c:pt idx="7">
                  <c:v>2.6</c:v>
                </c:pt>
                <c:pt idx="8">
                  <c:v>4.7</c:v>
                </c:pt>
                <c:pt idx="9">
                  <c:v>6.8000000000000007</c:v>
                </c:pt>
                <c:pt idx="10">
                  <c:v>8.9</c:v>
                </c:pt>
                <c:pt idx="11">
                  <c:v>11.4</c:v>
                </c:pt>
                <c:pt idx="12">
                  <c:v>14.6</c:v>
                </c:pt>
                <c:pt idx="13">
                  <c:v>16.3</c:v>
                </c:pt>
                <c:pt idx="14">
                  <c:v>17.899999999999999</c:v>
                </c:pt>
                <c:pt idx="15">
                  <c:v>19.5</c:v>
                </c:pt>
                <c:pt idx="16">
                  <c:v>22.2</c:v>
                </c:pt>
                <c:pt idx="17">
                  <c:v>24.9</c:v>
                </c:pt>
                <c:pt idx="18">
                  <c:v>27.6</c:v>
                </c:pt>
                <c:pt idx="19">
                  <c:v>35.799999999999997</c:v>
                </c:pt>
                <c:pt idx="20">
                  <c:v>43.9</c:v>
                </c:pt>
                <c:pt idx="21">
                  <c:v>52</c:v>
                </c:pt>
                <c:pt idx="22">
                  <c:v>60.199999999999996</c:v>
                </c:pt>
                <c:pt idx="23">
                  <c:v>66.7</c:v>
                </c:pt>
                <c:pt idx="24">
                  <c:v>68.300000000000011</c:v>
                </c:pt>
                <c:pt idx="25">
                  <c:v>73.2</c:v>
                </c:pt>
                <c:pt idx="26">
                  <c:v>76.400000000000006</c:v>
                </c:pt>
                <c:pt idx="27">
                  <c:v>84.6</c:v>
                </c:pt>
                <c:pt idx="28">
                  <c:v>89.4</c:v>
                </c:pt>
                <c:pt idx="29">
                  <c:v>94.3</c:v>
                </c:pt>
                <c:pt idx="30">
                  <c:v>95.7</c:v>
                </c:pt>
                <c:pt idx="31">
                  <c:v>97.2</c:v>
                </c:pt>
                <c:pt idx="32">
                  <c:v>98.6</c:v>
                </c:pt>
                <c:pt idx="33">
                  <c:v>100</c:v>
                </c:pt>
              </c:numCache>
            </c:numRef>
          </c:xVal>
          <c:yVal>
            <c:numRef>
              <c:f>'My Schedule'!$E$3:$E$36</c:f>
              <c:numCache>
                <c:formatCode>0.000</c:formatCode>
                <c:ptCount val="34"/>
                <c:pt idx="0">
                  <c:v>13.308</c:v>
                </c:pt>
                <c:pt idx="1">
                  <c:v>13.308</c:v>
                </c:pt>
                <c:pt idx="2">
                  <c:v>13.308</c:v>
                </c:pt>
                <c:pt idx="3">
                  <c:v>13.308</c:v>
                </c:pt>
                <c:pt idx="4">
                  <c:v>13.308</c:v>
                </c:pt>
                <c:pt idx="5">
                  <c:v>13.308</c:v>
                </c:pt>
                <c:pt idx="6">
                  <c:v>13.308</c:v>
                </c:pt>
                <c:pt idx="7">
                  <c:v>13.308</c:v>
                </c:pt>
                <c:pt idx="8">
                  <c:v>13.308</c:v>
                </c:pt>
                <c:pt idx="9">
                  <c:v>13.308</c:v>
                </c:pt>
                <c:pt idx="10">
                  <c:v>13.308</c:v>
                </c:pt>
                <c:pt idx="11">
                  <c:v>13.308</c:v>
                </c:pt>
                <c:pt idx="12">
                  <c:v>13.308</c:v>
                </c:pt>
                <c:pt idx="13">
                  <c:v>13.177</c:v>
                </c:pt>
                <c:pt idx="14">
                  <c:v>13.045999999999999</c:v>
                </c:pt>
                <c:pt idx="15">
                  <c:v>12.914999999999999</c:v>
                </c:pt>
                <c:pt idx="16">
                  <c:v>12.132999999999999</c:v>
                </c:pt>
                <c:pt idx="17">
                  <c:v>11.35</c:v>
                </c:pt>
                <c:pt idx="18">
                  <c:v>10.568</c:v>
                </c:pt>
                <c:pt idx="19">
                  <c:v>9.1660000000000004</c:v>
                </c:pt>
                <c:pt idx="20">
                  <c:v>7.6879999999999997</c:v>
                </c:pt>
                <c:pt idx="21">
                  <c:v>6.18</c:v>
                </c:pt>
                <c:pt idx="22">
                  <c:v>4.7430000000000003</c:v>
                </c:pt>
                <c:pt idx="23">
                  <c:v>3.633</c:v>
                </c:pt>
                <c:pt idx="24">
                  <c:v>3.383</c:v>
                </c:pt>
                <c:pt idx="25">
                  <c:v>2.7349999999999999</c:v>
                </c:pt>
                <c:pt idx="26">
                  <c:v>2.3479999999999999</c:v>
                </c:pt>
                <c:pt idx="27">
                  <c:v>1.38</c:v>
                </c:pt>
                <c:pt idx="28">
                  <c:v>0.79900000000000004</c:v>
                </c:pt>
                <c:pt idx="29">
                  <c:v>0.28000000000000003</c:v>
                </c:pt>
                <c:pt idx="30">
                  <c:v>0.21</c:v>
                </c:pt>
                <c:pt idx="31">
                  <c:v>0.14000000000000001</c:v>
                </c:pt>
                <c:pt idx="32">
                  <c:v>7.0000000000000007E-2</c:v>
                </c:pt>
                <c:pt idx="3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truncated spar</c:v>
          </c:tx>
          <c:xVal>
            <c:numRef>
              <c:f>'My Schedule'!$C$9:$C$32</c:f>
              <c:numCache>
                <c:formatCode>0.0</c:formatCode>
                <c:ptCount val="24"/>
                <c:pt idx="0">
                  <c:v>2.4</c:v>
                </c:pt>
                <c:pt idx="1">
                  <c:v>2.6</c:v>
                </c:pt>
                <c:pt idx="2">
                  <c:v>4.7</c:v>
                </c:pt>
                <c:pt idx="3">
                  <c:v>6.8000000000000007</c:v>
                </c:pt>
                <c:pt idx="4">
                  <c:v>8.9</c:v>
                </c:pt>
                <c:pt idx="5">
                  <c:v>11.4</c:v>
                </c:pt>
                <c:pt idx="6">
                  <c:v>14.6</c:v>
                </c:pt>
                <c:pt idx="7">
                  <c:v>16.3</c:v>
                </c:pt>
                <c:pt idx="8">
                  <c:v>17.899999999999999</c:v>
                </c:pt>
                <c:pt idx="9">
                  <c:v>19.5</c:v>
                </c:pt>
                <c:pt idx="10">
                  <c:v>22.2</c:v>
                </c:pt>
                <c:pt idx="11">
                  <c:v>24.9</c:v>
                </c:pt>
                <c:pt idx="12">
                  <c:v>27.6</c:v>
                </c:pt>
                <c:pt idx="13">
                  <c:v>35.799999999999997</c:v>
                </c:pt>
                <c:pt idx="14">
                  <c:v>43.9</c:v>
                </c:pt>
                <c:pt idx="15">
                  <c:v>52</c:v>
                </c:pt>
                <c:pt idx="16">
                  <c:v>60.199999999999996</c:v>
                </c:pt>
                <c:pt idx="17">
                  <c:v>66.7</c:v>
                </c:pt>
                <c:pt idx="18">
                  <c:v>68.300000000000011</c:v>
                </c:pt>
                <c:pt idx="19">
                  <c:v>73.2</c:v>
                </c:pt>
                <c:pt idx="20">
                  <c:v>76.400000000000006</c:v>
                </c:pt>
                <c:pt idx="21">
                  <c:v>84.6</c:v>
                </c:pt>
                <c:pt idx="22">
                  <c:v>89.4</c:v>
                </c:pt>
                <c:pt idx="23">
                  <c:v>94.3</c:v>
                </c:pt>
              </c:numCache>
            </c:numRef>
          </c:xVal>
          <c:yVal>
            <c:numRef>
              <c:f>'My Schedule'!$E$9:$E$32</c:f>
              <c:numCache>
                <c:formatCode>0.000</c:formatCode>
                <c:ptCount val="24"/>
                <c:pt idx="0">
                  <c:v>13.308</c:v>
                </c:pt>
                <c:pt idx="1">
                  <c:v>13.308</c:v>
                </c:pt>
                <c:pt idx="2">
                  <c:v>13.308</c:v>
                </c:pt>
                <c:pt idx="3">
                  <c:v>13.308</c:v>
                </c:pt>
                <c:pt idx="4">
                  <c:v>13.308</c:v>
                </c:pt>
                <c:pt idx="5">
                  <c:v>13.308</c:v>
                </c:pt>
                <c:pt idx="6">
                  <c:v>13.308</c:v>
                </c:pt>
                <c:pt idx="7">
                  <c:v>13.177</c:v>
                </c:pt>
                <c:pt idx="8">
                  <c:v>13.045999999999999</c:v>
                </c:pt>
                <c:pt idx="9">
                  <c:v>12.914999999999999</c:v>
                </c:pt>
                <c:pt idx="10">
                  <c:v>12.132999999999999</c:v>
                </c:pt>
                <c:pt idx="11">
                  <c:v>11.35</c:v>
                </c:pt>
                <c:pt idx="12">
                  <c:v>10.568</c:v>
                </c:pt>
                <c:pt idx="13">
                  <c:v>9.1660000000000004</c:v>
                </c:pt>
                <c:pt idx="14">
                  <c:v>7.6879999999999997</c:v>
                </c:pt>
                <c:pt idx="15">
                  <c:v>6.18</c:v>
                </c:pt>
                <c:pt idx="16">
                  <c:v>4.7430000000000003</c:v>
                </c:pt>
                <c:pt idx="17">
                  <c:v>3.633</c:v>
                </c:pt>
                <c:pt idx="18">
                  <c:v>3.383</c:v>
                </c:pt>
                <c:pt idx="19">
                  <c:v>2.7349999999999999</c:v>
                </c:pt>
                <c:pt idx="20">
                  <c:v>2.3479999999999999</c:v>
                </c:pt>
                <c:pt idx="21">
                  <c:v>1.38</c:v>
                </c:pt>
                <c:pt idx="22">
                  <c:v>0.79900000000000004</c:v>
                </c:pt>
                <c:pt idx="23">
                  <c:v>0.28000000000000003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54240"/>
        <c:axId val="104156160"/>
      </c:scatterChart>
      <c:valAx>
        <c:axId val="104154240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span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04156160"/>
        <c:crosses val="autoZero"/>
        <c:crossBetween val="midCat"/>
      </c:valAx>
      <c:valAx>
        <c:axId val="1041561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twist angle (deg)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041542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082768038943691"/>
          <c:y val="0.17902332987173092"/>
          <c:w val="0.21746502824005723"/>
          <c:h val="0.18534283031908191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complete blade</c:v>
          </c:tx>
          <c:spPr>
            <a:ln w="31750">
              <a:solidFill>
                <a:sysClr val="windowText" lastClr="000000"/>
              </a:solidFill>
            </a:ln>
          </c:spPr>
          <c:marker>
            <c:symbol val="circle"/>
            <c:size val="10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'My Schedule'!$C$3:$C$36</c:f>
              <c:numCache>
                <c:formatCode>0.0</c:formatCode>
                <c:ptCount val="34"/>
                <c:pt idx="0">
                  <c:v>0</c:v>
                </c:pt>
                <c:pt idx="1">
                  <c:v>0.5</c:v>
                </c:pt>
                <c:pt idx="2">
                  <c:v>0.70000000000000007</c:v>
                </c:pt>
                <c:pt idx="3">
                  <c:v>0.89999999999999991</c:v>
                </c:pt>
                <c:pt idx="4">
                  <c:v>1.0999999999999999</c:v>
                </c:pt>
                <c:pt idx="5">
                  <c:v>1.3</c:v>
                </c:pt>
                <c:pt idx="6">
                  <c:v>2.4</c:v>
                </c:pt>
                <c:pt idx="7">
                  <c:v>2.6</c:v>
                </c:pt>
                <c:pt idx="8">
                  <c:v>4.7</c:v>
                </c:pt>
                <c:pt idx="9">
                  <c:v>6.8000000000000007</c:v>
                </c:pt>
                <c:pt idx="10">
                  <c:v>8.9</c:v>
                </c:pt>
                <c:pt idx="11">
                  <c:v>11.4</c:v>
                </c:pt>
                <c:pt idx="12">
                  <c:v>14.6</c:v>
                </c:pt>
                <c:pt idx="13">
                  <c:v>16.3</c:v>
                </c:pt>
                <c:pt idx="14">
                  <c:v>17.899999999999999</c:v>
                </c:pt>
                <c:pt idx="15">
                  <c:v>19.5</c:v>
                </c:pt>
                <c:pt idx="16">
                  <c:v>22.2</c:v>
                </c:pt>
                <c:pt idx="17">
                  <c:v>24.9</c:v>
                </c:pt>
                <c:pt idx="18">
                  <c:v>27.6</c:v>
                </c:pt>
                <c:pt idx="19">
                  <c:v>35.799999999999997</c:v>
                </c:pt>
                <c:pt idx="20">
                  <c:v>43.9</c:v>
                </c:pt>
                <c:pt idx="21">
                  <c:v>52</c:v>
                </c:pt>
                <c:pt idx="22">
                  <c:v>60.199999999999996</c:v>
                </c:pt>
                <c:pt idx="23">
                  <c:v>66.7</c:v>
                </c:pt>
                <c:pt idx="24">
                  <c:v>68.300000000000011</c:v>
                </c:pt>
                <c:pt idx="25">
                  <c:v>73.2</c:v>
                </c:pt>
                <c:pt idx="26">
                  <c:v>76.400000000000006</c:v>
                </c:pt>
                <c:pt idx="27">
                  <c:v>84.6</c:v>
                </c:pt>
                <c:pt idx="28">
                  <c:v>89.4</c:v>
                </c:pt>
                <c:pt idx="29">
                  <c:v>94.3</c:v>
                </c:pt>
                <c:pt idx="30">
                  <c:v>95.7</c:v>
                </c:pt>
                <c:pt idx="31">
                  <c:v>97.2</c:v>
                </c:pt>
                <c:pt idx="32">
                  <c:v>98.6</c:v>
                </c:pt>
                <c:pt idx="33">
                  <c:v>100</c:v>
                </c:pt>
              </c:numCache>
            </c:numRef>
          </c:xVal>
          <c:yVal>
            <c:numRef>
              <c:f>'My Schedule'!$E$3:$E$36</c:f>
              <c:numCache>
                <c:formatCode>0.000</c:formatCode>
                <c:ptCount val="34"/>
                <c:pt idx="0">
                  <c:v>13.308</c:v>
                </c:pt>
                <c:pt idx="1">
                  <c:v>13.308</c:v>
                </c:pt>
                <c:pt idx="2">
                  <c:v>13.308</c:v>
                </c:pt>
                <c:pt idx="3">
                  <c:v>13.308</c:v>
                </c:pt>
                <c:pt idx="4">
                  <c:v>13.308</c:v>
                </c:pt>
                <c:pt idx="5">
                  <c:v>13.308</c:v>
                </c:pt>
                <c:pt idx="6">
                  <c:v>13.308</c:v>
                </c:pt>
                <c:pt idx="7">
                  <c:v>13.308</c:v>
                </c:pt>
                <c:pt idx="8">
                  <c:v>13.308</c:v>
                </c:pt>
                <c:pt idx="9">
                  <c:v>13.308</c:v>
                </c:pt>
                <c:pt idx="10">
                  <c:v>13.308</c:v>
                </c:pt>
                <c:pt idx="11">
                  <c:v>13.308</c:v>
                </c:pt>
                <c:pt idx="12">
                  <c:v>13.308</c:v>
                </c:pt>
                <c:pt idx="13">
                  <c:v>13.177</c:v>
                </c:pt>
                <c:pt idx="14">
                  <c:v>13.045999999999999</c:v>
                </c:pt>
                <c:pt idx="15">
                  <c:v>12.914999999999999</c:v>
                </c:pt>
                <c:pt idx="16">
                  <c:v>12.132999999999999</c:v>
                </c:pt>
                <c:pt idx="17">
                  <c:v>11.35</c:v>
                </c:pt>
                <c:pt idx="18">
                  <c:v>10.568</c:v>
                </c:pt>
                <c:pt idx="19">
                  <c:v>9.1660000000000004</c:v>
                </c:pt>
                <c:pt idx="20">
                  <c:v>7.6879999999999997</c:v>
                </c:pt>
                <c:pt idx="21">
                  <c:v>6.18</c:v>
                </c:pt>
                <c:pt idx="22">
                  <c:v>4.7430000000000003</c:v>
                </c:pt>
                <c:pt idx="23">
                  <c:v>3.633</c:v>
                </c:pt>
                <c:pt idx="24">
                  <c:v>3.383</c:v>
                </c:pt>
                <c:pt idx="25">
                  <c:v>2.7349999999999999</c:v>
                </c:pt>
                <c:pt idx="26">
                  <c:v>2.3479999999999999</c:v>
                </c:pt>
                <c:pt idx="27">
                  <c:v>1.38</c:v>
                </c:pt>
                <c:pt idx="28">
                  <c:v>0.79900000000000004</c:v>
                </c:pt>
                <c:pt idx="29">
                  <c:v>0.28000000000000003</c:v>
                </c:pt>
                <c:pt idx="30">
                  <c:v>0.21</c:v>
                </c:pt>
                <c:pt idx="31">
                  <c:v>0.14000000000000001</c:v>
                </c:pt>
                <c:pt idx="32">
                  <c:v>7.0000000000000007E-2</c:v>
                </c:pt>
                <c:pt idx="3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92256"/>
        <c:axId val="104194816"/>
      </c:scatterChart>
      <c:valAx>
        <c:axId val="104192256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en-US" sz="1800" b="1" i="0" u="none" strike="noStrike" kern="1200" baseline="0">
                    <a:solidFill>
                      <a:sysClr val="windowText" lastClr="000000"/>
                    </a:solidFill>
                    <a:latin typeface="Gill Sans MT" pitchFamily="34" charset="0"/>
                    <a:ea typeface="+mn-ea"/>
                    <a:cs typeface="+mn-cs"/>
                  </a:defRPr>
                </a:pPr>
                <a:r>
                  <a:rPr lang="en-US" sz="1800" b="1" i="0" u="none" strike="noStrike" kern="1200" baseline="0">
                    <a:solidFill>
                      <a:sysClr val="windowText" lastClr="000000"/>
                    </a:solidFill>
                    <a:latin typeface="Gill Sans MT" pitchFamily="34" charset="0"/>
                    <a:ea typeface="+mn-ea"/>
                    <a:cs typeface="+mn-cs"/>
                  </a:rPr>
                  <a:t>span (%)</a:t>
                </a:r>
              </a:p>
            </c:rich>
          </c:tx>
          <c:overlay val="0"/>
        </c:title>
        <c:numFmt formatCode="0" sourceLinked="0"/>
        <c:majorTickMark val="cross"/>
        <c:minorTickMark val="in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 algn="ctr" rtl="0">
              <a:defRPr lang="en-US" sz="1800" b="0" i="0" u="none" strike="noStrike" kern="1200" baseline="0">
                <a:solidFill>
                  <a:sysClr val="windowText" lastClr="000000"/>
                </a:solidFill>
                <a:latin typeface="Gill Sans MT" pitchFamily="34" charset="0"/>
                <a:ea typeface="+mn-ea"/>
                <a:cs typeface="+mn-cs"/>
              </a:defRPr>
            </a:pPr>
            <a:endParaRPr lang="en-US"/>
          </a:p>
        </c:txPr>
        <c:crossAx val="104194816"/>
        <c:crosses val="autoZero"/>
        <c:crossBetween val="midCat"/>
      </c:valAx>
      <c:valAx>
        <c:axId val="1041948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800">
                    <a:latin typeface="Gill Sans MT" pitchFamily="34" charset="0"/>
                  </a:defRPr>
                </a:pPr>
                <a:r>
                  <a:rPr lang="en-US" sz="1800">
                    <a:latin typeface="Gill Sans MT" pitchFamily="34" charset="0"/>
                  </a:rPr>
                  <a:t>twist angle (deg)</a:t>
                </a:r>
              </a:p>
            </c:rich>
          </c:tx>
          <c:overlay val="0"/>
        </c:title>
        <c:numFmt formatCode="0" sourceLinked="0"/>
        <c:majorTickMark val="cross"/>
        <c:minorTickMark val="in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 algn="ctr" rtl="0">
              <a:defRPr lang="en-US" sz="1800" b="0" i="0" u="none" strike="noStrike" kern="1200" baseline="0">
                <a:solidFill>
                  <a:sysClr val="windowText" lastClr="000000"/>
                </a:solidFill>
                <a:latin typeface="Gill Sans MT" pitchFamily="34" charset="0"/>
                <a:ea typeface="+mn-ea"/>
                <a:cs typeface="+mn-cs"/>
              </a:defRPr>
            </a:pPr>
            <a:endParaRPr lang="en-US"/>
          </a:p>
        </c:txPr>
        <c:crossAx val="104192256"/>
        <c:crosses val="autoZero"/>
        <c:crossBetween val="midCat"/>
        <c:min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Twist distribution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complete blade</c:v>
          </c:tx>
          <c:xVal>
            <c:numRef>
              <c:f>'My Schedule (VABS outputs)'!$C$3:$C$36</c:f>
              <c:numCache>
                <c:formatCode>0.0</c:formatCode>
                <c:ptCount val="34"/>
                <c:pt idx="0">
                  <c:v>0</c:v>
                </c:pt>
                <c:pt idx="1">
                  <c:v>0.5</c:v>
                </c:pt>
                <c:pt idx="2">
                  <c:v>0.70000000000000007</c:v>
                </c:pt>
                <c:pt idx="3">
                  <c:v>0.89999999999999991</c:v>
                </c:pt>
                <c:pt idx="4">
                  <c:v>1.0999999999999999</c:v>
                </c:pt>
                <c:pt idx="5">
                  <c:v>1.3</c:v>
                </c:pt>
                <c:pt idx="6">
                  <c:v>2.4</c:v>
                </c:pt>
                <c:pt idx="7">
                  <c:v>2.6</c:v>
                </c:pt>
                <c:pt idx="8">
                  <c:v>4.7</c:v>
                </c:pt>
                <c:pt idx="9">
                  <c:v>6.8000000000000007</c:v>
                </c:pt>
                <c:pt idx="10">
                  <c:v>8.9</c:v>
                </c:pt>
                <c:pt idx="11">
                  <c:v>11.4</c:v>
                </c:pt>
                <c:pt idx="12">
                  <c:v>14.6</c:v>
                </c:pt>
                <c:pt idx="13">
                  <c:v>16.3</c:v>
                </c:pt>
                <c:pt idx="14">
                  <c:v>17.899999999999999</c:v>
                </c:pt>
                <c:pt idx="15">
                  <c:v>19.5</c:v>
                </c:pt>
                <c:pt idx="16">
                  <c:v>22.2</c:v>
                </c:pt>
                <c:pt idx="17">
                  <c:v>24.9</c:v>
                </c:pt>
                <c:pt idx="18">
                  <c:v>27.6</c:v>
                </c:pt>
                <c:pt idx="19">
                  <c:v>35.799999999999997</c:v>
                </c:pt>
                <c:pt idx="20">
                  <c:v>43.9</c:v>
                </c:pt>
                <c:pt idx="21">
                  <c:v>52</c:v>
                </c:pt>
                <c:pt idx="22">
                  <c:v>60.199999999999996</c:v>
                </c:pt>
                <c:pt idx="23">
                  <c:v>66.7</c:v>
                </c:pt>
                <c:pt idx="24">
                  <c:v>68.300000000000011</c:v>
                </c:pt>
                <c:pt idx="25">
                  <c:v>73.2</c:v>
                </c:pt>
                <c:pt idx="26">
                  <c:v>76.400000000000006</c:v>
                </c:pt>
                <c:pt idx="27">
                  <c:v>84.6</c:v>
                </c:pt>
                <c:pt idx="28">
                  <c:v>89.4</c:v>
                </c:pt>
                <c:pt idx="29">
                  <c:v>94.3</c:v>
                </c:pt>
                <c:pt idx="30">
                  <c:v>95.7</c:v>
                </c:pt>
                <c:pt idx="31">
                  <c:v>97.2</c:v>
                </c:pt>
                <c:pt idx="32">
                  <c:v>98.6</c:v>
                </c:pt>
                <c:pt idx="33">
                  <c:v>100</c:v>
                </c:pt>
              </c:numCache>
            </c:numRef>
          </c:xVal>
          <c:yVal>
            <c:numRef>
              <c:f>'My Schedule (VABS outputs)'!$E$3:$E$36</c:f>
              <c:numCache>
                <c:formatCode>0.000</c:formatCode>
                <c:ptCount val="34"/>
                <c:pt idx="0">
                  <c:v>13.308</c:v>
                </c:pt>
                <c:pt idx="1">
                  <c:v>13.308</c:v>
                </c:pt>
                <c:pt idx="2">
                  <c:v>13.308</c:v>
                </c:pt>
                <c:pt idx="3">
                  <c:v>13.308</c:v>
                </c:pt>
                <c:pt idx="4">
                  <c:v>13.308</c:v>
                </c:pt>
                <c:pt idx="5">
                  <c:v>13.308</c:v>
                </c:pt>
                <c:pt idx="6">
                  <c:v>13.308</c:v>
                </c:pt>
                <c:pt idx="7">
                  <c:v>13.308</c:v>
                </c:pt>
                <c:pt idx="8">
                  <c:v>13.308</c:v>
                </c:pt>
                <c:pt idx="9">
                  <c:v>13.308</c:v>
                </c:pt>
                <c:pt idx="10">
                  <c:v>13.308</c:v>
                </c:pt>
                <c:pt idx="11">
                  <c:v>13.308</c:v>
                </c:pt>
                <c:pt idx="12">
                  <c:v>13.308</c:v>
                </c:pt>
                <c:pt idx="13">
                  <c:v>13.177</c:v>
                </c:pt>
                <c:pt idx="14">
                  <c:v>13.045999999999999</c:v>
                </c:pt>
                <c:pt idx="15">
                  <c:v>12.914999999999999</c:v>
                </c:pt>
                <c:pt idx="16">
                  <c:v>12.132999999999999</c:v>
                </c:pt>
                <c:pt idx="17">
                  <c:v>11.35</c:v>
                </c:pt>
                <c:pt idx="18">
                  <c:v>10.568</c:v>
                </c:pt>
                <c:pt idx="19">
                  <c:v>9.1660000000000004</c:v>
                </c:pt>
                <c:pt idx="20">
                  <c:v>7.6879999999999997</c:v>
                </c:pt>
                <c:pt idx="21">
                  <c:v>6.18</c:v>
                </c:pt>
                <c:pt idx="22">
                  <c:v>4.7430000000000003</c:v>
                </c:pt>
                <c:pt idx="23">
                  <c:v>3.633</c:v>
                </c:pt>
                <c:pt idx="24">
                  <c:v>3.383</c:v>
                </c:pt>
                <c:pt idx="25">
                  <c:v>2.7349999999999999</c:v>
                </c:pt>
                <c:pt idx="26">
                  <c:v>2.3479999999999999</c:v>
                </c:pt>
                <c:pt idx="27">
                  <c:v>1.38</c:v>
                </c:pt>
                <c:pt idx="28">
                  <c:v>0.79900000000000004</c:v>
                </c:pt>
                <c:pt idx="29">
                  <c:v>0.28000000000000003</c:v>
                </c:pt>
                <c:pt idx="30">
                  <c:v>0.21</c:v>
                </c:pt>
                <c:pt idx="31">
                  <c:v>0.14000000000000001</c:v>
                </c:pt>
                <c:pt idx="32">
                  <c:v>7.0000000000000007E-2</c:v>
                </c:pt>
                <c:pt idx="3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truncated spar</c:v>
          </c:tx>
          <c:xVal>
            <c:numRef>
              <c:f>'My Schedule (VABS outputs)'!$C$9:$C$32</c:f>
              <c:numCache>
                <c:formatCode>0.0</c:formatCode>
                <c:ptCount val="24"/>
                <c:pt idx="0">
                  <c:v>2.4</c:v>
                </c:pt>
                <c:pt idx="1">
                  <c:v>2.6</c:v>
                </c:pt>
                <c:pt idx="2">
                  <c:v>4.7</c:v>
                </c:pt>
                <c:pt idx="3">
                  <c:v>6.8000000000000007</c:v>
                </c:pt>
                <c:pt idx="4">
                  <c:v>8.9</c:v>
                </c:pt>
                <c:pt idx="5">
                  <c:v>11.4</c:v>
                </c:pt>
                <c:pt idx="6">
                  <c:v>14.6</c:v>
                </c:pt>
                <c:pt idx="7">
                  <c:v>16.3</c:v>
                </c:pt>
                <c:pt idx="8">
                  <c:v>17.899999999999999</c:v>
                </c:pt>
                <c:pt idx="9">
                  <c:v>19.5</c:v>
                </c:pt>
                <c:pt idx="10">
                  <c:v>22.2</c:v>
                </c:pt>
                <c:pt idx="11">
                  <c:v>24.9</c:v>
                </c:pt>
                <c:pt idx="12">
                  <c:v>27.6</c:v>
                </c:pt>
                <c:pt idx="13">
                  <c:v>35.799999999999997</c:v>
                </c:pt>
                <c:pt idx="14">
                  <c:v>43.9</c:v>
                </c:pt>
                <c:pt idx="15">
                  <c:v>52</c:v>
                </c:pt>
                <c:pt idx="16">
                  <c:v>60.199999999999996</c:v>
                </c:pt>
                <c:pt idx="17">
                  <c:v>66.7</c:v>
                </c:pt>
                <c:pt idx="18">
                  <c:v>68.300000000000011</c:v>
                </c:pt>
                <c:pt idx="19">
                  <c:v>73.2</c:v>
                </c:pt>
                <c:pt idx="20">
                  <c:v>76.400000000000006</c:v>
                </c:pt>
                <c:pt idx="21">
                  <c:v>84.6</c:v>
                </c:pt>
                <c:pt idx="22">
                  <c:v>89.4</c:v>
                </c:pt>
                <c:pt idx="23">
                  <c:v>94.3</c:v>
                </c:pt>
              </c:numCache>
            </c:numRef>
          </c:xVal>
          <c:yVal>
            <c:numRef>
              <c:f>'My Schedule (VABS outputs)'!$E$9:$E$32</c:f>
              <c:numCache>
                <c:formatCode>0.000</c:formatCode>
                <c:ptCount val="24"/>
                <c:pt idx="0">
                  <c:v>13.308</c:v>
                </c:pt>
                <c:pt idx="1">
                  <c:v>13.308</c:v>
                </c:pt>
                <c:pt idx="2">
                  <c:v>13.308</c:v>
                </c:pt>
                <c:pt idx="3">
                  <c:v>13.308</c:v>
                </c:pt>
                <c:pt idx="4">
                  <c:v>13.308</c:v>
                </c:pt>
                <c:pt idx="5">
                  <c:v>13.308</c:v>
                </c:pt>
                <c:pt idx="6">
                  <c:v>13.308</c:v>
                </c:pt>
                <c:pt idx="7">
                  <c:v>13.177</c:v>
                </c:pt>
                <c:pt idx="8">
                  <c:v>13.045999999999999</c:v>
                </c:pt>
                <c:pt idx="9">
                  <c:v>12.914999999999999</c:v>
                </c:pt>
                <c:pt idx="10">
                  <c:v>12.132999999999999</c:v>
                </c:pt>
                <c:pt idx="11">
                  <c:v>11.35</c:v>
                </c:pt>
                <c:pt idx="12">
                  <c:v>10.568</c:v>
                </c:pt>
                <c:pt idx="13">
                  <c:v>9.1660000000000004</c:v>
                </c:pt>
                <c:pt idx="14">
                  <c:v>7.6879999999999997</c:v>
                </c:pt>
                <c:pt idx="15">
                  <c:v>6.18</c:v>
                </c:pt>
                <c:pt idx="16">
                  <c:v>4.7430000000000003</c:v>
                </c:pt>
                <c:pt idx="17">
                  <c:v>3.633</c:v>
                </c:pt>
                <c:pt idx="18">
                  <c:v>3.383</c:v>
                </c:pt>
                <c:pt idx="19">
                  <c:v>2.7349999999999999</c:v>
                </c:pt>
                <c:pt idx="20">
                  <c:v>2.3479999999999999</c:v>
                </c:pt>
                <c:pt idx="21">
                  <c:v>1.38</c:v>
                </c:pt>
                <c:pt idx="22">
                  <c:v>0.79900000000000004</c:v>
                </c:pt>
                <c:pt idx="23">
                  <c:v>0.28000000000000003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46048"/>
        <c:axId val="106152320"/>
      </c:scatterChart>
      <c:valAx>
        <c:axId val="106146048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span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06152320"/>
        <c:crosses val="autoZero"/>
        <c:crossBetween val="midCat"/>
      </c:valAx>
      <c:valAx>
        <c:axId val="1061523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twist angle (deg)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061460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082768038943691"/>
          <c:y val="0.17902332987173092"/>
          <c:w val="0.21746502824005723"/>
          <c:h val="0.18534283031908191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complete blade</c:v>
          </c:tx>
          <c:spPr>
            <a:ln w="31750">
              <a:solidFill>
                <a:sysClr val="windowText" lastClr="000000"/>
              </a:solidFill>
            </a:ln>
          </c:spPr>
          <c:marker>
            <c:symbol val="circle"/>
            <c:size val="10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'My Schedule (VABS outputs)'!$C$3:$C$36</c:f>
              <c:numCache>
                <c:formatCode>0.0</c:formatCode>
                <c:ptCount val="34"/>
                <c:pt idx="0">
                  <c:v>0</c:v>
                </c:pt>
                <c:pt idx="1">
                  <c:v>0.5</c:v>
                </c:pt>
                <c:pt idx="2">
                  <c:v>0.70000000000000007</c:v>
                </c:pt>
                <c:pt idx="3">
                  <c:v>0.89999999999999991</c:v>
                </c:pt>
                <c:pt idx="4">
                  <c:v>1.0999999999999999</c:v>
                </c:pt>
                <c:pt idx="5">
                  <c:v>1.3</c:v>
                </c:pt>
                <c:pt idx="6">
                  <c:v>2.4</c:v>
                </c:pt>
                <c:pt idx="7">
                  <c:v>2.6</c:v>
                </c:pt>
                <c:pt idx="8">
                  <c:v>4.7</c:v>
                </c:pt>
                <c:pt idx="9">
                  <c:v>6.8000000000000007</c:v>
                </c:pt>
                <c:pt idx="10">
                  <c:v>8.9</c:v>
                </c:pt>
                <c:pt idx="11">
                  <c:v>11.4</c:v>
                </c:pt>
                <c:pt idx="12">
                  <c:v>14.6</c:v>
                </c:pt>
                <c:pt idx="13">
                  <c:v>16.3</c:v>
                </c:pt>
                <c:pt idx="14">
                  <c:v>17.899999999999999</c:v>
                </c:pt>
                <c:pt idx="15">
                  <c:v>19.5</c:v>
                </c:pt>
                <c:pt idx="16">
                  <c:v>22.2</c:v>
                </c:pt>
                <c:pt idx="17">
                  <c:v>24.9</c:v>
                </c:pt>
                <c:pt idx="18">
                  <c:v>27.6</c:v>
                </c:pt>
                <c:pt idx="19">
                  <c:v>35.799999999999997</c:v>
                </c:pt>
                <c:pt idx="20">
                  <c:v>43.9</c:v>
                </c:pt>
                <c:pt idx="21">
                  <c:v>52</c:v>
                </c:pt>
                <c:pt idx="22">
                  <c:v>60.199999999999996</c:v>
                </c:pt>
                <c:pt idx="23">
                  <c:v>66.7</c:v>
                </c:pt>
                <c:pt idx="24">
                  <c:v>68.300000000000011</c:v>
                </c:pt>
                <c:pt idx="25">
                  <c:v>73.2</c:v>
                </c:pt>
                <c:pt idx="26">
                  <c:v>76.400000000000006</c:v>
                </c:pt>
                <c:pt idx="27">
                  <c:v>84.6</c:v>
                </c:pt>
                <c:pt idx="28">
                  <c:v>89.4</c:v>
                </c:pt>
                <c:pt idx="29">
                  <c:v>94.3</c:v>
                </c:pt>
                <c:pt idx="30">
                  <c:v>95.7</c:v>
                </c:pt>
                <c:pt idx="31">
                  <c:v>97.2</c:v>
                </c:pt>
                <c:pt idx="32">
                  <c:v>98.6</c:v>
                </c:pt>
                <c:pt idx="33">
                  <c:v>100</c:v>
                </c:pt>
              </c:numCache>
            </c:numRef>
          </c:xVal>
          <c:yVal>
            <c:numRef>
              <c:f>'My Schedule (VABS outputs)'!$E$3:$E$36</c:f>
              <c:numCache>
                <c:formatCode>0.000</c:formatCode>
                <c:ptCount val="34"/>
                <c:pt idx="0">
                  <c:v>13.308</c:v>
                </c:pt>
                <c:pt idx="1">
                  <c:v>13.308</c:v>
                </c:pt>
                <c:pt idx="2">
                  <c:v>13.308</c:v>
                </c:pt>
                <c:pt idx="3">
                  <c:v>13.308</c:v>
                </c:pt>
                <c:pt idx="4">
                  <c:v>13.308</c:v>
                </c:pt>
                <c:pt idx="5">
                  <c:v>13.308</c:v>
                </c:pt>
                <c:pt idx="6">
                  <c:v>13.308</c:v>
                </c:pt>
                <c:pt idx="7">
                  <c:v>13.308</c:v>
                </c:pt>
                <c:pt idx="8">
                  <c:v>13.308</c:v>
                </c:pt>
                <c:pt idx="9">
                  <c:v>13.308</c:v>
                </c:pt>
                <c:pt idx="10">
                  <c:v>13.308</c:v>
                </c:pt>
                <c:pt idx="11">
                  <c:v>13.308</c:v>
                </c:pt>
                <c:pt idx="12">
                  <c:v>13.308</c:v>
                </c:pt>
                <c:pt idx="13">
                  <c:v>13.177</c:v>
                </c:pt>
                <c:pt idx="14">
                  <c:v>13.045999999999999</c:v>
                </c:pt>
                <c:pt idx="15">
                  <c:v>12.914999999999999</c:v>
                </c:pt>
                <c:pt idx="16">
                  <c:v>12.132999999999999</c:v>
                </c:pt>
                <c:pt idx="17">
                  <c:v>11.35</c:v>
                </c:pt>
                <c:pt idx="18">
                  <c:v>10.568</c:v>
                </c:pt>
                <c:pt idx="19">
                  <c:v>9.1660000000000004</c:v>
                </c:pt>
                <c:pt idx="20">
                  <c:v>7.6879999999999997</c:v>
                </c:pt>
                <c:pt idx="21">
                  <c:v>6.18</c:v>
                </c:pt>
                <c:pt idx="22">
                  <c:v>4.7430000000000003</c:v>
                </c:pt>
                <c:pt idx="23">
                  <c:v>3.633</c:v>
                </c:pt>
                <c:pt idx="24">
                  <c:v>3.383</c:v>
                </c:pt>
                <c:pt idx="25">
                  <c:v>2.7349999999999999</c:v>
                </c:pt>
                <c:pt idx="26">
                  <c:v>2.3479999999999999</c:v>
                </c:pt>
                <c:pt idx="27">
                  <c:v>1.38</c:v>
                </c:pt>
                <c:pt idx="28">
                  <c:v>0.79900000000000004</c:v>
                </c:pt>
                <c:pt idx="29">
                  <c:v>0.28000000000000003</c:v>
                </c:pt>
                <c:pt idx="30">
                  <c:v>0.21</c:v>
                </c:pt>
                <c:pt idx="31">
                  <c:v>0.14000000000000001</c:v>
                </c:pt>
                <c:pt idx="32">
                  <c:v>7.0000000000000007E-2</c:v>
                </c:pt>
                <c:pt idx="3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13728"/>
        <c:axId val="105932672"/>
      </c:scatterChart>
      <c:valAx>
        <c:axId val="105913728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en-US" sz="1800" b="1" i="0" u="none" strike="noStrike" kern="1200" baseline="0">
                    <a:solidFill>
                      <a:sysClr val="windowText" lastClr="000000"/>
                    </a:solidFill>
                    <a:latin typeface="Gill Sans MT" pitchFamily="34" charset="0"/>
                    <a:ea typeface="+mn-ea"/>
                    <a:cs typeface="+mn-cs"/>
                  </a:defRPr>
                </a:pPr>
                <a:r>
                  <a:rPr lang="en-US" sz="1800" b="1" i="0" u="none" strike="noStrike" kern="1200" baseline="0">
                    <a:solidFill>
                      <a:sysClr val="windowText" lastClr="000000"/>
                    </a:solidFill>
                    <a:latin typeface="Gill Sans MT" pitchFamily="34" charset="0"/>
                    <a:ea typeface="+mn-ea"/>
                    <a:cs typeface="+mn-cs"/>
                  </a:rPr>
                  <a:t>span (%)</a:t>
                </a:r>
              </a:p>
            </c:rich>
          </c:tx>
          <c:overlay val="0"/>
        </c:title>
        <c:numFmt formatCode="0" sourceLinked="0"/>
        <c:majorTickMark val="cross"/>
        <c:minorTickMark val="in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 algn="ctr" rtl="0">
              <a:defRPr lang="en-US" sz="1800" b="0" i="0" u="none" strike="noStrike" kern="1200" baseline="0">
                <a:solidFill>
                  <a:sysClr val="windowText" lastClr="000000"/>
                </a:solidFill>
                <a:latin typeface="Gill Sans MT" pitchFamily="34" charset="0"/>
                <a:ea typeface="+mn-ea"/>
                <a:cs typeface="+mn-cs"/>
              </a:defRPr>
            </a:pPr>
            <a:endParaRPr lang="en-US"/>
          </a:p>
        </c:txPr>
        <c:crossAx val="105932672"/>
        <c:crosses val="autoZero"/>
        <c:crossBetween val="midCat"/>
      </c:valAx>
      <c:valAx>
        <c:axId val="1059326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800">
                    <a:latin typeface="Gill Sans MT" pitchFamily="34" charset="0"/>
                  </a:defRPr>
                </a:pPr>
                <a:r>
                  <a:rPr lang="en-US" sz="1800">
                    <a:latin typeface="Gill Sans MT" pitchFamily="34" charset="0"/>
                  </a:rPr>
                  <a:t>twist angle (deg)</a:t>
                </a:r>
              </a:p>
            </c:rich>
          </c:tx>
          <c:overlay val="0"/>
        </c:title>
        <c:numFmt formatCode="0" sourceLinked="0"/>
        <c:majorTickMark val="cross"/>
        <c:minorTickMark val="in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 algn="ctr" rtl="0">
              <a:defRPr lang="en-US" sz="1800" b="0" i="0" u="none" strike="noStrike" kern="1200" baseline="0">
                <a:solidFill>
                  <a:sysClr val="windowText" lastClr="000000"/>
                </a:solidFill>
                <a:latin typeface="Gill Sans MT" pitchFamily="34" charset="0"/>
                <a:ea typeface="+mn-ea"/>
                <a:cs typeface="+mn-cs"/>
              </a:defRPr>
            </a:pPr>
            <a:endParaRPr lang="en-US"/>
          </a:p>
        </c:txPr>
        <c:crossAx val="105913728"/>
        <c:crosses val="autoZero"/>
        <c:crossBetween val="midCat"/>
        <c:min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twist angle</c:v>
          </c:tx>
          <c:spPr>
            <a:ln w="31750">
              <a:solidFill>
                <a:sysClr val="windowText" lastClr="000000"/>
              </a:solidFill>
            </a:ln>
          </c:spPr>
          <c:marker>
            <c:symbol val="circle"/>
            <c:size val="10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'My Schedule (VABS outputs)'!$T$3:$T$36</c:f>
              <c:numCache>
                <c:formatCode>General</c:formatCode>
                <c:ptCount val="34"/>
                <c:pt idx="6" formatCode="0.0">
                  <c:v>0</c:v>
                </c:pt>
                <c:pt idx="7" formatCode="0.0">
                  <c:v>0.20000000000000018</c:v>
                </c:pt>
                <c:pt idx="8" formatCode="0.0">
                  <c:v>2.3000000000000003</c:v>
                </c:pt>
                <c:pt idx="9" formatCode="0.0">
                  <c:v>4.4000000000000004</c:v>
                </c:pt>
                <c:pt idx="10" formatCode="0.0">
                  <c:v>6.5</c:v>
                </c:pt>
                <c:pt idx="11" formatCode="0.0">
                  <c:v>9</c:v>
                </c:pt>
                <c:pt idx="12" formatCode="0.0">
                  <c:v>12.2</c:v>
                </c:pt>
                <c:pt idx="13" formatCode="0.0">
                  <c:v>13.9</c:v>
                </c:pt>
                <c:pt idx="14" formatCode="0.0">
                  <c:v>15.499999999999998</c:v>
                </c:pt>
                <c:pt idx="15" formatCode="0.0">
                  <c:v>17.100000000000001</c:v>
                </c:pt>
                <c:pt idx="16" formatCode="0.0">
                  <c:v>19.8</c:v>
                </c:pt>
                <c:pt idx="17" formatCode="0.0">
                  <c:v>22.5</c:v>
                </c:pt>
                <c:pt idx="18" formatCode="0.0">
                  <c:v>25.200000000000003</c:v>
                </c:pt>
                <c:pt idx="19" formatCode="0.0">
                  <c:v>33.4</c:v>
                </c:pt>
                <c:pt idx="20" formatCode="0.0">
                  <c:v>41.5</c:v>
                </c:pt>
                <c:pt idx="21" formatCode="0.0">
                  <c:v>49.6</c:v>
                </c:pt>
                <c:pt idx="22" formatCode="0.0">
                  <c:v>57.8</c:v>
                </c:pt>
                <c:pt idx="23" formatCode="0.0">
                  <c:v>64.3</c:v>
                </c:pt>
                <c:pt idx="24" formatCode="0.0">
                  <c:v>65.900000000000006</c:v>
                </c:pt>
                <c:pt idx="25" formatCode="0.0">
                  <c:v>70.8</c:v>
                </c:pt>
                <c:pt idx="26" formatCode="0.0">
                  <c:v>74</c:v>
                </c:pt>
                <c:pt idx="27" formatCode="0.0">
                  <c:v>82.199999999999989</c:v>
                </c:pt>
                <c:pt idx="28" formatCode="0.0">
                  <c:v>87</c:v>
                </c:pt>
                <c:pt idx="29" formatCode="0.0">
                  <c:v>91.899999999999991</c:v>
                </c:pt>
              </c:numCache>
            </c:numRef>
          </c:xVal>
          <c:yVal>
            <c:numRef>
              <c:f>'My Schedule (VABS outputs)'!$F$3:$F$36</c:f>
              <c:numCache>
                <c:formatCode>0.000</c:formatCode>
                <c:ptCount val="34"/>
                <c:pt idx="0">
                  <c:v>0.23226841685540536</c:v>
                </c:pt>
                <c:pt idx="1">
                  <c:v>0.23226841685540536</c:v>
                </c:pt>
                <c:pt idx="2">
                  <c:v>0.23226841685540536</c:v>
                </c:pt>
                <c:pt idx="3">
                  <c:v>0.23226841685540536</c:v>
                </c:pt>
                <c:pt idx="4">
                  <c:v>0.23226841685540536</c:v>
                </c:pt>
                <c:pt idx="5">
                  <c:v>0.23226841685540536</c:v>
                </c:pt>
                <c:pt idx="6">
                  <c:v>0.23226841685540536</c:v>
                </c:pt>
                <c:pt idx="7">
                  <c:v>0.23226841685540536</c:v>
                </c:pt>
                <c:pt idx="8">
                  <c:v>0.23226841685540536</c:v>
                </c:pt>
                <c:pt idx="9">
                  <c:v>0.23226841685540536</c:v>
                </c:pt>
                <c:pt idx="10">
                  <c:v>0.23226841685540536</c:v>
                </c:pt>
                <c:pt idx="11">
                  <c:v>0.23226841685540536</c:v>
                </c:pt>
                <c:pt idx="12">
                  <c:v>0.23226841685540536</c:v>
                </c:pt>
                <c:pt idx="13">
                  <c:v>0.22998203553529278</c:v>
                </c:pt>
                <c:pt idx="14">
                  <c:v>0.22769565421518023</c:v>
                </c:pt>
                <c:pt idx="15">
                  <c:v>0.22540927289506765</c:v>
                </c:pt>
                <c:pt idx="16">
                  <c:v>0.21176079814447199</c:v>
                </c:pt>
                <c:pt idx="17">
                  <c:v>0.1980948701013564</c:v>
                </c:pt>
                <c:pt idx="18">
                  <c:v>0.18444639535076074</c:v>
                </c:pt>
                <c:pt idx="19">
                  <c:v>0.15997687923780024</c:v>
                </c:pt>
                <c:pt idx="20">
                  <c:v>0.13418091289332404</c:v>
                </c:pt>
                <c:pt idx="21">
                  <c:v>0.10786134777324956</c:v>
                </c:pt>
                <c:pt idx="22">
                  <c:v>8.2780966422091054E-2</c:v>
                </c:pt>
                <c:pt idx="23">
                  <c:v>6.3407811724953994E-2</c:v>
                </c:pt>
                <c:pt idx="24">
                  <c:v>5.9044488594968171E-2</c:v>
                </c:pt>
                <c:pt idx="25">
                  <c:v>4.7734755042044913E-2</c:v>
                </c:pt>
                <c:pt idx="26">
                  <c:v>4.0980330836826853E-2</c:v>
                </c:pt>
                <c:pt idx="27">
                  <c:v>2.4085543677521744E-2</c:v>
                </c:pt>
                <c:pt idx="28">
                  <c:v>1.3945180723434694E-2</c:v>
                </c:pt>
                <c:pt idx="29">
                  <c:v>4.8869219055841231E-3</c:v>
                </c:pt>
                <c:pt idx="30">
                  <c:v>3.6651914291880921E-3</c:v>
                </c:pt>
                <c:pt idx="31">
                  <c:v>2.4434609527920616E-3</c:v>
                </c:pt>
                <c:pt idx="32">
                  <c:v>1.2217304763960308E-3</c:v>
                </c:pt>
                <c:pt idx="3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68000"/>
        <c:axId val="105969920"/>
      </c:scatterChart>
      <c:scatterChart>
        <c:scatterStyle val="lineMarker"/>
        <c:varyColors val="0"/>
        <c:ser>
          <c:idx val="1"/>
          <c:order val="1"/>
          <c:tx>
            <c:v>wall thickness</c:v>
          </c:tx>
          <c:spPr>
            <a:ln w="31750">
              <a:prstDash val="dash"/>
            </a:ln>
          </c:spPr>
          <c:marker>
            <c:symbol val="square"/>
            <c:size val="10"/>
          </c:marker>
          <c:xVal>
            <c:numRef>
              <c:f>'My Schedule (VABS outputs)'!$T$9:$T$32</c:f>
              <c:numCache>
                <c:formatCode>0.0</c:formatCode>
                <c:ptCount val="24"/>
                <c:pt idx="0">
                  <c:v>0</c:v>
                </c:pt>
                <c:pt idx="1">
                  <c:v>0.20000000000000018</c:v>
                </c:pt>
                <c:pt idx="2">
                  <c:v>2.3000000000000003</c:v>
                </c:pt>
                <c:pt idx="3">
                  <c:v>4.4000000000000004</c:v>
                </c:pt>
                <c:pt idx="4">
                  <c:v>6.5</c:v>
                </c:pt>
                <c:pt idx="5">
                  <c:v>9</c:v>
                </c:pt>
                <c:pt idx="6">
                  <c:v>12.2</c:v>
                </c:pt>
                <c:pt idx="7">
                  <c:v>13.9</c:v>
                </c:pt>
                <c:pt idx="8">
                  <c:v>15.499999999999998</c:v>
                </c:pt>
                <c:pt idx="9">
                  <c:v>17.100000000000001</c:v>
                </c:pt>
                <c:pt idx="10">
                  <c:v>19.8</c:v>
                </c:pt>
                <c:pt idx="11">
                  <c:v>22.5</c:v>
                </c:pt>
                <c:pt idx="12">
                  <c:v>25.200000000000003</c:v>
                </c:pt>
                <c:pt idx="13">
                  <c:v>33.4</c:v>
                </c:pt>
                <c:pt idx="14">
                  <c:v>41.5</c:v>
                </c:pt>
                <c:pt idx="15">
                  <c:v>49.6</c:v>
                </c:pt>
                <c:pt idx="16">
                  <c:v>57.8</c:v>
                </c:pt>
                <c:pt idx="17">
                  <c:v>64.3</c:v>
                </c:pt>
                <c:pt idx="18">
                  <c:v>65.900000000000006</c:v>
                </c:pt>
                <c:pt idx="19">
                  <c:v>70.8</c:v>
                </c:pt>
                <c:pt idx="20">
                  <c:v>74</c:v>
                </c:pt>
                <c:pt idx="21">
                  <c:v>82.199999999999989</c:v>
                </c:pt>
                <c:pt idx="22">
                  <c:v>87</c:v>
                </c:pt>
                <c:pt idx="23">
                  <c:v>91.899999999999991</c:v>
                </c:pt>
              </c:numCache>
            </c:numRef>
          </c:xVal>
          <c:yVal>
            <c:numRef>
              <c:f>'My Schedule (VABS outputs)'!$X$9:$X$32</c:f>
              <c:numCache>
                <c:formatCode>0.000</c:formatCode>
                <c:ptCount val="24"/>
                <c:pt idx="0">
                  <c:v>7.5999999999999998E-2</c:v>
                </c:pt>
                <c:pt idx="1">
                  <c:v>6.8000000000000005E-2</c:v>
                </c:pt>
                <c:pt idx="2">
                  <c:v>0.06</c:v>
                </c:pt>
                <c:pt idx="3">
                  <c:v>5.5E-2</c:v>
                </c:pt>
                <c:pt idx="4">
                  <c:v>6.6000000000000003E-2</c:v>
                </c:pt>
                <c:pt idx="5">
                  <c:v>7.3000000000000009E-2</c:v>
                </c:pt>
                <c:pt idx="6">
                  <c:v>8.5999999999999993E-2</c:v>
                </c:pt>
                <c:pt idx="7">
                  <c:v>8.5999999999999993E-2</c:v>
                </c:pt>
                <c:pt idx="8">
                  <c:v>8.5999999999999993E-2</c:v>
                </c:pt>
                <c:pt idx="9">
                  <c:v>8.5999999999999993E-2</c:v>
                </c:pt>
                <c:pt idx="10">
                  <c:v>8.5999999999999993E-2</c:v>
                </c:pt>
                <c:pt idx="11">
                  <c:v>8.5999999999999993E-2</c:v>
                </c:pt>
                <c:pt idx="12">
                  <c:v>8.5999999999999993E-2</c:v>
                </c:pt>
                <c:pt idx="13">
                  <c:v>8.5999999999999993E-2</c:v>
                </c:pt>
                <c:pt idx="14">
                  <c:v>8.5999999999999993E-2</c:v>
                </c:pt>
                <c:pt idx="15">
                  <c:v>8.5999999999999993E-2</c:v>
                </c:pt>
                <c:pt idx="16">
                  <c:v>8.5000000000000006E-2</c:v>
                </c:pt>
                <c:pt idx="17">
                  <c:v>6.8000000000000005E-2</c:v>
                </c:pt>
                <c:pt idx="18">
                  <c:v>6.4000000000000001E-2</c:v>
                </c:pt>
                <c:pt idx="19">
                  <c:v>4.7E-2</c:v>
                </c:pt>
                <c:pt idx="20">
                  <c:v>3.4000000000000002E-2</c:v>
                </c:pt>
                <c:pt idx="21">
                  <c:v>1.7000000000000001E-2</c:v>
                </c:pt>
                <c:pt idx="22">
                  <c:v>8.9999999999999993E-3</c:v>
                </c:pt>
                <c:pt idx="23">
                  <c:v>5.0000000000000001E-3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42944"/>
        <c:axId val="105841024"/>
      </c:scatterChart>
      <c:valAx>
        <c:axId val="105968000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en-US" sz="1800" b="1" i="0" u="none" strike="noStrike" kern="1200" baseline="0">
                    <a:solidFill>
                      <a:sysClr val="windowText" lastClr="000000"/>
                    </a:solidFill>
                    <a:latin typeface="Gill Sans MT" pitchFamily="34" charset="0"/>
                    <a:ea typeface="+mn-ea"/>
                    <a:cs typeface="+mn-cs"/>
                  </a:defRPr>
                </a:pPr>
                <a:r>
                  <a:rPr lang="en-US" sz="1800" b="1" i="0" u="none" strike="noStrike" kern="1200" baseline="0">
                    <a:solidFill>
                      <a:sysClr val="windowText" lastClr="000000"/>
                    </a:solidFill>
                    <a:latin typeface="Gill Sans MT" pitchFamily="34" charset="0"/>
                    <a:ea typeface="+mn-ea"/>
                    <a:cs typeface="+mn-cs"/>
                  </a:rPr>
                  <a:t>span [meters]</a:t>
                </a:r>
              </a:p>
            </c:rich>
          </c:tx>
          <c:overlay val="0"/>
        </c:title>
        <c:numFmt formatCode="0" sourceLinked="0"/>
        <c:majorTickMark val="cross"/>
        <c:minorTickMark val="in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 algn="ctr" rtl="0">
              <a:defRPr lang="en-US" sz="1800" b="0" i="0" u="none" strike="noStrike" kern="1200" baseline="0">
                <a:solidFill>
                  <a:sysClr val="windowText" lastClr="000000"/>
                </a:solidFill>
                <a:latin typeface="Gill Sans MT" pitchFamily="34" charset="0"/>
                <a:ea typeface="+mn-ea"/>
                <a:cs typeface="+mn-cs"/>
              </a:defRPr>
            </a:pPr>
            <a:endParaRPr lang="en-US"/>
          </a:p>
        </c:txPr>
        <c:crossAx val="105969920"/>
        <c:crosses val="autoZero"/>
        <c:crossBetween val="midCat"/>
      </c:valAx>
      <c:valAx>
        <c:axId val="1059699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800">
                    <a:latin typeface="Gill Sans MT" pitchFamily="34" charset="0"/>
                  </a:defRPr>
                </a:pPr>
                <a:r>
                  <a:rPr lang="en-US" sz="1800">
                    <a:latin typeface="Gill Sans MT" pitchFamily="34" charset="0"/>
                  </a:rPr>
                  <a:t>twist angle [radians]</a:t>
                </a:r>
              </a:p>
            </c:rich>
          </c:tx>
          <c:layout>
            <c:manualLayout>
              <c:xMode val="edge"/>
              <c:yMode val="edge"/>
              <c:x val="6.2652955536011455E-3"/>
              <c:y val="0.2069235216105009"/>
            </c:manualLayout>
          </c:layout>
          <c:overlay val="0"/>
        </c:title>
        <c:numFmt formatCode="0.00" sourceLinked="0"/>
        <c:majorTickMark val="cross"/>
        <c:minorTickMark val="in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 algn="ctr" rtl="0">
              <a:defRPr lang="en-US" sz="1800" b="0" i="0" u="none" strike="noStrike" kern="1200" baseline="0">
                <a:solidFill>
                  <a:sysClr val="windowText" lastClr="000000"/>
                </a:solidFill>
                <a:latin typeface="Gill Sans MT" pitchFamily="34" charset="0"/>
                <a:ea typeface="+mn-ea"/>
                <a:cs typeface="+mn-cs"/>
              </a:defRPr>
            </a:pPr>
            <a:endParaRPr lang="en-US"/>
          </a:p>
        </c:txPr>
        <c:crossAx val="105968000"/>
        <c:crosses val="autoZero"/>
        <c:crossBetween val="midCat"/>
      </c:valAx>
      <c:valAx>
        <c:axId val="10584102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 algn="ctr" rtl="0">
                  <a:defRPr lang="en-US" sz="1800" b="1" i="0" u="none" strike="noStrike" kern="1200" baseline="0">
                    <a:solidFill>
                      <a:sysClr val="windowText" lastClr="000000"/>
                    </a:solidFill>
                    <a:latin typeface="Gill Sans MT" pitchFamily="34" charset="0"/>
                    <a:ea typeface="+mn-ea"/>
                    <a:cs typeface="+mn-cs"/>
                  </a:defRPr>
                </a:pPr>
                <a:r>
                  <a:rPr lang="en-US" sz="1800" b="1" i="0" u="none" strike="noStrike" kern="1200" baseline="0">
                    <a:solidFill>
                      <a:sysClr val="windowText" lastClr="000000"/>
                    </a:solidFill>
                    <a:latin typeface="Gill Sans MT" pitchFamily="34" charset="0"/>
                    <a:ea typeface="+mn-ea"/>
                    <a:cs typeface="+mn-cs"/>
                  </a:rPr>
                  <a:t>wall thickness [meters]</a:t>
                </a:r>
              </a:p>
            </c:rich>
          </c:tx>
          <c:layout>
            <c:manualLayout>
              <c:xMode val="edge"/>
              <c:yMode val="edge"/>
              <c:x val="0.96103763160974798"/>
              <c:y val="0.1700390162001425"/>
            </c:manualLayout>
          </c:layout>
          <c:overlay val="0"/>
        </c:title>
        <c:numFmt formatCode="0.00" sourceLinked="0"/>
        <c:majorTickMark val="cross"/>
        <c:minorTickMark val="in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 algn="ctr" rtl="0">
              <a:defRPr lang="en-US" sz="1800" b="0" i="0" u="none" strike="noStrike" kern="1200" baseline="0">
                <a:solidFill>
                  <a:sysClr val="windowText" lastClr="000000"/>
                </a:solidFill>
                <a:latin typeface="Gill Sans MT" pitchFamily="34" charset="0"/>
                <a:ea typeface="+mn-ea"/>
                <a:cs typeface="+mn-cs"/>
              </a:defRPr>
            </a:pPr>
            <a:endParaRPr lang="en-US"/>
          </a:p>
        </c:txPr>
        <c:crossAx val="105842944"/>
        <c:crosses val="max"/>
        <c:crossBetween val="midCat"/>
        <c:majorUnit val="2.0000000000000004E-2"/>
      </c:valAx>
      <c:valAx>
        <c:axId val="105842944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1058410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246949954225107"/>
          <c:y val="7.8428584948834007E-2"/>
          <c:w val="0.1986023457611884"/>
          <c:h val="0.12680039708601468"/>
        </c:manualLayout>
      </c:layout>
      <c:overlay val="1"/>
      <c:txPr>
        <a:bodyPr/>
        <a:lstStyle/>
        <a:p>
          <a:pPr>
            <a:defRPr sz="1600">
              <a:latin typeface="Gill Sans MT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wall thickness * twist rate</c:v>
          </c:tx>
          <c:spPr>
            <a:ln w="31750">
              <a:solidFill>
                <a:sysClr val="windowText" lastClr="000000"/>
              </a:solidFill>
            </a:ln>
          </c:spPr>
          <c:marker>
            <c:symbol val="circle"/>
            <c:size val="10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'My Schedule (VABS outputs)'!$T$3:$T$36</c:f>
              <c:numCache>
                <c:formatCode>General</c:formatCode>
                <c:ptCount val="34"/>
                <c:pt idx="6" formatCode="0.0">
                  <c:v>0</c:v>
                </c:pt>
                <c:pt idx="7" formatCode="0.0">
                  <c:v>0.20000000000000018</c:v>
                </c:pt>
                <c:pt idx="8" formatCode="0.0">
                  <c:v>2.3000000000000003</c:v>
                </c:pt>
                <c:pt idx="9" formatCode="0.0">
                  <c:v>4.4000000000000004</c:v>
                </c:pt>
                <c:pt idx="10" formatCode="0.0">
                  <c:v>6.5</c:v>
                </c:pt>
                <c:pt idx="11" formatCode="0.0">
                  <c:v>9</c:v>
                </c:pt>
                <c:pt idx="12" formatCode="0.0">
                  <c:v>12.2</c:v>
                </c:pt>
                <c:pt idx="13" formatCode="0.0">
                  <c:v>13.9</c:v>
                </c:pt>
                <c:pt idx="14" formatCode="0.0">
                  <c:v>15.499999999999998</c:v>
                </c:pt>
                <c:pt idx="15" formatCode="0.0">
                  <c:v>17.100000000000001</c:v>
                </c:pt>
                <c:pt idx="16" formatCode="0.0">
                  <c:v>19.8</c:v>
                </c:pt>
                <c:pt idx="17" formatCode="0.0">
                  <c:v>22.5</c:v>
                </c:pt>
                <c:pt idx="18" formatCode="0.0">
                  <c:v>25.200000000000003</c:v>
                </c:pt>
                <c:pt idx="19" formatCode="0.0">
                  <c:v>33.4</c:v>
                </c:pt>
                <c:pt idx="20" formatCode="0.0">
                  <c:v>41.5</c:v>
                </c:pt>
                <c:pt idx="21" formatCode="0.0">
                  <c:v>49.6</c:v>
                </c:pt>
                <c:pt idx="22" formatCode="0.0">
                  <c:v>57.8</c:v>
                </c:pt>
                <c:pt idx="23" formatCode="0.0">
                  <c:v>64.3</c:v>
                </c:pt>
                <c:pt idx="24" formatCode="0.0">
                  <c:v>65.900000000000006</c:v>
                </c:pt>
                <c:pt idx="25" formatCode="0.0">
                  <c:v>70.8</c:v>
                </c:pt>
                <c:pt idx="26" formatCode="0.0">
                  <c:v>74</c:v>
                </c:pt>
                <c:pt idx="27" formatCode="0.0">
                  <c:v>82.199999999999989</c:v>
                </c:pt>
                <c:pt idx="28" formatCode="0.0">
                  <c:v>87</c:v>
                </c:pt>
                <c:pt idx="29" formatCode="0.0">
                  <c:v>91.899999999999991</c:v>
                </c:pt>
              </c:numCache>
            </c:numRef>
          </c:xVal>
          <c:yVal>
            <c:numRef>
              <c:f>'My Schedule (VABS outputs)'!$Z$3:$Z$36</c:f>
              <c:numCache>
                <c:formatCode>General</c:formatCode>
                <c:ptCount val="34"/>
                <c:pt idx="6" formatCode="0.00E+00">
                  <c:v>0</c:v>
                </c:pt>
                <c:pt idx="7" formatCode="0.00E+00">
                  <c:v>0</c:v>
                </c:pt>
                <c:pt idx="8" formatCode="0.00E+00">
                  <c:v>0</c:v>
                </c:pt>
                <c:pt idx="9" formatCode="0.00E+00">
                  <c:v>0</c:v>
                </c:pt>
                <c:pt idx="10" formatCode="0.00E+00">
                  <c:v>0</c:v>
                </c:pt>
                <c:pt idx="11" formatCode="0.00E+00">
                  <c:v>0</c:v>
                </c:pt>
                <c:pt idx="12" formatCode="0.00E+00">
                  <c:v>0</c:v>
                </c:pt>
                <c:pt idx="13" formatCode="0.00E+00">
                  <c:v>-1.156639961939304E-4</c:v>
                </c:pt>
                <c:pt idx="14" formatCode="0.00E+00">
                  <c:v>-1.228929959560498E-4</c:v>
                </c:pt>
                <c:pt idx="15" formatCode="0.00E+00">
                  <c:v>-1.2289299595605088E-4</c:v>
                </c:pt>
                <c:pt idx="16" formatCode="0.00E+00">
                  <c:v>-4.347291957597138E-4</c:v>
                </c:pt>
                <c:pt idx="17" formatCode="0.00E+00">
                  <c:v>-4.3528511544738547E-4</c:v>
                </c:pt>
                <c:pt idx="18" formatCode="0.00E+00">
                  <c:v>-4.347291957597132E-4</c:v>
                </c:pt>
                <c:pt idx="19" formatCode="0.00E+00">
                  <c:v>-2.5663151045300046E-4</c:v>
                </c:pt>
                <c:pt idx="20" formatCode="0.00E+00">
                  <c:v>-2.7388309945987067E-4</c:v>
                </c:pt>
                <c:pt idx="21" formatCode="0.00E+00">
                  <c:v>-2.794422963365932E-4</c:v>
                </c:pt>
                <c:pt idx="22" formatCode="0.00E+00">
                  <c:v>-2.5997956278639927E-4</c:v>
                </c:pt>
                <c:pt idx="23" formatCode="0.00E+00">
                  <c:v>-2.0267300298543387E-4</c:v>
                </c:pt>
                <c:pt idx="24" formatCode="0.00E+00">
                  <c:v>-1.7453292519943199E-4</c:v>
                </c:pt>
                <c:pt idx="25" formatCode="0.00E+00">
                  <c:v>-1.0848111775252939E-4</c:v>
                </c:pt>
                <c:pt idx="26" formatCode="0.00E+00">
                  <c:v>-7.1765757180441828E-5</c:v>
                </c:pt>
                <c:pt idx="27" formatCode="0.00E+00">
                  <c:v>-3.5025778257096006E-5</c:v>
                </c:pt>
                <c:pt idx="28" formatCode="0.00E+00">
                  <c:v>-1.9013180538913171E-5</c:v>
                </c:pt>
                <c:pt idx="29" formatCode="0.00E+00">
                  <c:v>-9.2431212427046808E-6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82368"/>
        <c:axId val="105884672"/>
      </c:scatterChart>
      <c:valAx>
        <c:axId val="105882368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en-US" sz="1800" b="1" i="0" u="none" strike="noStrike" kern="1200" baseline="0">
                    <a:solidFill>
                      <a:sysClr val="windowText" lastClr="000000"/>
                    </a:solidFill>
                    <a:latin typeface="Gill Sans MT" pitchFamily="34" charset="0"/>
                    <a:ea typeface="+mn-ea"/>
                    <a:cs typeface="+mn-cs"/>
                  </a:defRPr>
                </a:pPr>
                <a:r>
                  <a:rPr lang="en-US" sz="1800" b="1" i="0" u="none" strike="noStrike" kern="1200" baseline="0">
                    <a:solidFill>
                      <a:sysClr val="windowText" lastClr="000000"/>
                    </a:solidFill>
                    <a:latin typeface="Gill Sans MT" pitchFamily="34" charset="0"/>
                    <a:ea typeface="+mn-ea"/>
                    <a:cs typeface="+mn-cs"/>
                  </a:rPr>
                  <a:t>span [meters]</a:t>
                </a:r>
              </a:p>
            </c:rich>
          </c:tx>
          <c:overlay val="0"/>
        </c:title>
        <c:numFmt formatCode="0" sourceLinked="0"/>
        <c:majorTickMark val="cross"/>
        <c:minorTickMark val="in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 algn="ctr" rtl="0">
              <a:defRPr lang="en-US" sz="1800" b="0" i="0" u="none" strike="noStrike" kern="1200" baseline="0">
                <a:solidFill>
                  <a:sysClr val="windowText" lastClr="000000"/>
                </a:solidFill>
                <a:latin typeface="Gill Sans MT" pitchFamily="34" charset="0"/>
                <a:ea typeface="+mn-ea"/>
                <a:cs typeface="+mn-cs"/>
              </a:defRPr>
            </a:pPr>
            <a:endParaRPr lang="en-US"/>
          </a:p>
        </c:txPr>
        <c:crossAx val="105884672"/>
        <c:crossesAt val="-5.0000000000000012E-4"/>
        <c:crossBetween val="midCat"/>
      </c:valAx>
      <c:valAx>
        <c:axId val="1058846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800">
                    <a:latin typeface="Gill Sans MT" pitchFamily="34" charset="0"/>
                  </a:defRPr>
                </a:pPr>
                <a:r>
                  <a:rPr lang="en-US" sz="1800">
                    <a:latin typeface="Gill Sans MT" pitchFamily="34" charset="0"/>
                  </a:rPr>
                  <a:t>wall</a:t>
                </a:r>
                <a:r>
                  <a:rPr lang="en-US" sz="1800" baseline="0">
                    <a:latin typeface="Gill Sans MT" pitchFamily="34" charset="0"/>
                  </a:rPr>
                  <a:t> thickness * twist rate</a:t>
                </a:r>
                <a:r>
                  <a:rPr lang="en-US" sz="1800">
                    <a:latin typeface="Gill Sans MT" pitchFamily="34" charset="0"/>
                  </a:rPr>
                  <a:t> [-]</a:t>
                </a:r>
              </a:p>
            </c:rich>
          </c:tx>
          <c:layout>
            <c:manualLayout>
              <c:xMode val="edge"/>
              <c:yMode val="edge"/>
              <c:x val="6.2652955536011455E-3"/>
              <c:y val="0.2069235216105009"/>
            </c:manualLayout>
          </c:layout>
          <c:overlay val="0"/>
        </c:title>
        <c:numFmt formatCode="0.0E+00" sourceLinked="0"/>
        <c:majorTickMark val="cross"/>
        <c:minorTickMark val="in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 algn="ctr" rtl="0">
              <a:defRPr lang="en-US" sz="1800" b="0" i="0" u="none" strike="noStrike" kern="1200" baseline="0">
                <a:solidFill>
                  <a:sysClr val="windowText" lastClr="000000"/>
                </a:solidFill>
                <a:latin typeface="Gill Sans MT" pitchFamily="34" charset="0"/>
                <a:ea typeface="+mn-ea"/>
                <a:cs typeface="+mn-cs"/>
              </a:defRPr>
            </a:pPr>
            <a:endParaRPr lang="en-US"/>
          </a:p>
        </c:txPr>
        <c:crossAx val="10588236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5875">
              <a:solidFill>
                <a:schemeClr val="tx1"/>
              </a:solidFill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'twist vs. torsional stiffness'!$B$9:$B$55</c:f>
              <c:numCache>
                <c:formatCode>0.000</c:formatCode>
                <c:ptCount val="4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3.1E-2</c:v>
                </c:pt>
                <c:pt idx="5">
                  <c:v>3.2000000000000001E-2</c:v>
                </c:pt>
                <c:pt idx="6">
                  <c:v>3.3000000000000002E-2</c:v>
                </c:pt>
                <c:pt idx="7">
                  <c:v>3.4000000000000002E-2</c:v>
                </c:pt>
                <c:pt idx="8">
                  <c:v>3.5000000000000003E-2</c:v>
                </c:pt>
                <c:pt idx="9">
                  <c:v>3.5999999999999997E-2</c:v>
                </c:pt>
                <c:pt idx="10">
                  <c:v>3.6999999999999998E-2</c:v>
                </c:pt>
                <c:pt idx="11">
                  <c:v>3.7999999999999999E-2</c:v>
                </c:pt>
                <c:pt idx="12">
                  <c:v>3.9E-2</c:v>
                </c:pt>
                <c:pt idx="13">
                  <c:v>0.04</c:v>
                </c:pt>
                <c:pt idx="14">
                  <c:v>4.1000000000000002E-2</c:v>
                </c:pt>
                <c:pt idx="15">
                  <c:v>4.2000000000000003E-2</c:v>
                </c:pt>
                <c:pt idx="16">
                  <c:v>4.2999999999999997E-2</c:v>
                </c:pt>
                <c:pt idx="17">
                  <c:v>4.3999999999999997E-2</c:v>
                </c:pt>
                <c:pt idx="18">
                  <c:v>4.4999999999999998E-2</c:v>
                </c:pt>
                <c:pt idx="19">
                  <c:v>4.5999999999999999E-2</c:v>
                </c:pt>
                <c:pt idx="20">
                  <c:v>4.7E-2</c:v>
                </c:pt>
                <c:pt idx="21">
                  <c:v>4.8000000000000001E-2</c:v>
                </c:pt>
                <c:pt idx="22">
                  <c:v>4.9000000000000002E-2</c:v>
                </c:pt>
                <c:pt idx="23">
                  <c:v>0.05</c:v>
                </c:pt>
                <c:pt idx="24">
                  <c:v>5.1999999999999998E-2</c:v>
                </c:pt>
                <c:pt idx="25">
                  <c:v>5.2999999999999999E-2</c:v>
                </c:pt>
                <c:pt idx="26">
                  <c:v>5.3999999999999999E-2</c:v>
                </c:pt>
                <c:pt idx="27">
                  <c:v>0.06</c:v>
                </c:pt>
                <c:pt idx="28">
                  <c:v>7.0000000000000007E-2</c:v>
                </c:pt>
                <c:pt idx="29">
                  <c:v>0.08</c:v>
                </c:pt>
                <c:pt idx="30">
                  <c:v>0.09</c:v>
                </c:pt>
                <c:pt idx="31">
                  <c:v>0.1</c:v>
                </c:pt>
                <c:pt idx="32">
                  <c:v>0.11</c:v>
                </c:pt>
                <c:pt idx="33">
                  <c:v>0.12</c:v>
                </c:pt>
                <c:pt idx="34">
                  <c:v>0.13</c:v>
                </c:pt>
                <c:pt idx="35">
                  <c:v>0.14000000000000001</c:v>
                </c:pt>
                <c:pt idx="36">
                  <c:v>0.15</c:v>
                </c:pt>
                <c:pt idx="37">
                  <c:v>0.16</c:v>
                </c:pt>
                <c:pt idx="38">
                  <c:v>0.17</c:v>
                </c:pt>
                <c:pt idx="39">
                  <c:v>0.18</c:v>
                </c:pt>
                <c:pt idx="40">
                  <c:v>0.19</c:v>
                </c:pt>
                <c:pt idx="41">
                  <c:v>0.2</c:v>
                </c:pt>
                <c:pt idx="42">
                  <c:v>0.21</c:v>
                </c:pt>
                <c:pt idx="43">
                  <c:v>0.22</c:v>
                </c:pt>
                <c:pt idx="44">
                  <c:v>0.23</c:v>
                </c:pt>
                <c:pt idx="45">
                  <c:v>0.23200000000000001</c:v>
                </c:pt>
                <c:pt idx="46">
                  <c:v>0.24</c:v>
                </c:pt>
              </c:numCache>
            </c:numRef>
          </c:xVal>
          <c:yVal>
            <c:numRef>
              <c:f>'twist vs. torsional stiffness'!$C$9:$C$55</c:f>
              <c:numCache>
                <c:formatCode>0.00E+00</c:formatCode>
                <c:ptCount val="47"/>
                <c:pt idx="0">
                  <c:v>887739558.10000002</c:v>
                </c:pt>
                <c:pt idx="1">
                  <c:v>853468139.85000002</c:v>
                </c:pt>
                <c:pt idx="2">
                  <c:v>751086124.15999997</c:v>
                </c:pt>
                <c:pt idx="3">
                  <c:v>603931109.50999999</c:v>
                </c:pt>
                <c:pt idx="4">
                  <c:v>594829027.95000005</c:v>
                </c:pt>
                <c:pt idx="5">
                  <c:v>592264423.34000003</c:v>
                </c:pt>
                <c:pt idx="6">
                  <c:v>602662721.37</c:v>
                </c:pt>
                <c:pt idx="7">
                  <c:v>641103035.38999999</c:v>
                </c:pt>
                <c:pt idx="8">
                  <c:v>749796053.10000002</c:v>
                </c:pt>
                <c:pt idx="9">
                  <c:v>1085379938.5</c:v>
                </c:pt>
                <c:pt idx="10">
                  <c:v>2646120519.1999998</c:v>
                </c:pt>
                <c:pt idx="11">
                  <c:v>51113653257</c:v>
                </c:pt>
                <c:pt idx="12">
                  <c:v>8639647356.3999996</c:v>
                </c:pt>
                <c:pt idx="13">
                  <c:v>1901078799</c:v>
                </c:pt>
                <c:pt idx="14">
                  <c:v>981024771.52999997</c:v>
                </c:pt>
                <c:pt idx="15">
                  <c:v>665080548.83000004</c:v>
                </c:pt>
                <c:pt idx="16">
                  <c:v>506120596.13999999</c:v>
                </c:pt>
                <c:pt idx="17">
                  <c:v>405843591.45999998</c:v>
                </c:pt>
                <c:pt idx="18">
                  <c:v>332411375.35000002</c:v>
                </c:pt>
                <c:pt idx="19">
                  <c:v>272845763.51999998</c:v>
                </c:pt>
                <c:pt idx="20">
                  <c:v>221067613.77000001</c:v>
                </c:pt>
                <c:pt idx="21">
                  <c:v>173904670.30000001</c:v>
                </c:pt>
                <c:pt idx="22">
                  <c:v>129526180.04000001</c:v>
                </c:pt>
                <c:pt idx="23">
                  <c:v>86854151.306999996</c:v>
                </c:pt>
                <c:pt idx="24">
                  <c:v>4111490.1389000001</c:v>
                </c:pt>
                <c:pt idx="25">
                  <c:v>-36728847.612999998</c:v>
                </c:pt>
                <c:pt idx="26">
                  <c:v>-77543511.795000002</c:v>
                </c:pt>
                <c:pt idx="27">
                  <c:v>-328279100.68000001</c:v>
                </c:pt>
                <c:pt idx="28">
                  <c:v>-788543531.42999995</c:v>
                </c:pt>
                <c:pt idx="29">
                  <c:v>-1313221790.7</c:v>
                </c:pt>
                <c:pt idx="30">
                  <c:v>-1905591085.3</c:v>
                </c:pt>
                <c:pt idx="31">
                  <c:v>-2566656959.8000002</c:v>
                </c:pt>
                <c:pt idx="32">
                  <c:v>-3296803738.3000002</c:v>
                </c:pt>
                <c:pt idx="33">
                  <c:v>-4096239510.6999998</c:v>
                </c:pt>
                <c:pt idx="34">
                  <c:v>-4965011836.1000004</c:v>
                </c:pt>
                <c:pt idx="35">
                  <c:v>-5903783342.3000002</c:v>
                </c:pt>
                <c:pt idx="36">
                  <c:v>-6911683050.8999996</c:v>
                </c:pt>
                <c:pt idx="37">
                  <c:v>-7989464205.6999998</c:v>
                </c:pt>
                <c:pt idx="38">
                  <c:v>-9137162314.2999992</c:v>
                </c:pt>
                <c:pt idx="39">
                  <c:v>-10354974862</c:v>
                </c:pt>
                <c:pt idx="40">
                  <c:v>-11643154562</c:v>
                </c:pt>
                <c:pt idx="41">
                  <c:v>-13001847541</c:v>
                </c:pt>
                <c:pt idx="42">
                  <c:v>-14430632439</c:v>
                </c:pt>
                <c:pt idx="43">
                  <c:v>-15925649471</c:v>
                </c:pt>
                <c:pt idx="44">
                  <c:v>-17475303087</c:v>
                </c:pt>
                <c:pt idx="45">
                  <c:v>-17787317301</c:v>
                </c:pt>
                <c:pt idx="46">
                  <c:v>-19000604530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94496"/>
        <c:axId val="106169856"/>
      </c:scatterChart>
      <c:valAx>
        <c:axId val="105994496"/>
        <c:scaling>
          <c:orientation val="minMax"/>
          <c:max val="0.25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Futura Md BT" pitchFamily="34" charset="0"/>
                  </a:defRPr>
                </a:pPr>
                <a:r>
                  <a:rPr lang="en-US">
                    <a:latin typeface="Futura Md BT" pitchFamily="34" charset="0"/>
                  </a:rPr>
                  <a:t>twist (rad)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utura Lt BT" pitchFamily="34" charset="0"/>
              </a:defRPr>
            </a:pPr>
            <a:endParaRPr lang="en-US"/>
          </a:p>
        </c:txPr>
        <c:crossAx val="106169856"/>
        <c:crosses val="autoZero"/>
        <c:crossBetween val="midCat"/>
      </c:valAx>
      <c:valAx>
        <c:axId val="1061698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latin typeface="Futura Md BT" pitchFamily="34" charset="0"/>
                  </a:defRPr>
                </a:pPr>
                <a:r>
                  <a:rPr lang="en-US">
                    <a:latin typeface="Futura Md BT" pitchFamily="34" charset="0"/>
                  </a:rPr>
                  <a:t>S44, torsional stiffness (N m</a:t>
                </a:r>
                <a:r>
                  <a:rPr lang="en-US" baseline="30000">
                    <a:latin typeface="Futura Md BT" pitchFamily="34" charset="0"/>
                  </a:rPr>
                  <a:t>2</a:t>
                </a:r>
                <a:r>
                  <a:rPr lang="en-US">
                    <a:latin typeface="Futura Md BT" pitchFamily="34" charset="0"/>
                  </a:rPr>
                  <a:t>)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utura Lt BT" pitchFamily="34" charset="0"/>
              </a:defRPr>
            </a:pPr>
            <a:endParaRPr lang="en-US"/>
          </a:p>
        </c:txPr>
        <c:crossAx val="105994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5875">
              <a:solidFill>
                <a:schemeClr val="tx1"/>
              </a:solidFill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'twist vs. torsional stiffness'!$B$9:$B$55</c:f>
              <c:numCache>
                <c:formatCode>0.000</c:formatCode>
                <c:ptCount val="4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3.1E-2</c:v>
                </c:pt>
                <c:pt idx="5">
                  <c:v>3.2000000000000001E-2</c:v>
                </c:pt>
                <c:pt idx="6">
                  <c:v>3.3000000000000002E-2</c:v>
                </c:pt>
                <c:pt idx="7">
                  <c:v>3.4000000000000002E-2</c:v>
                </c:pt>
                <c:pt idx="8">
                  <c:v>3.5000000000000003E-2</c:v>
                </c:pt>
                <c:pt idx="9">
                  <c:v>3.5999999999999997E-2</c:v>
                </c:pt>
                <c:pt idx="10">
                  <c:v>3.6999999999999998E-2</c:v>
                </c:pt>
                <c:pt idx="11">
                  <c:v>3.7999999999999999E-2</c:v>
                </c:pt>
                <c:pt idx="12">
                  <c:v>3.9E-2</c:v>
                </c:pt>
                <c:pt idx="13">
                  <c:v>0.04</c:v>
                </c:pt>
                <c:pt idx="14">
                  <c:v>4.1000000000000002E-2</c:v>
                </c:pt>
                <c:pt idx="15">
                  <c:v>4.2000000000000003E-2</c:v>
                </c:pt>
                <c:pt idx="16">
                  <c:v>4.2999999999999997E-2</c:v>
                </c:pt>
                <c:pt idx="17">
                  <c:v>4.3999999999999997E-2</c:v>
                </c:pt>
                <c:pt idx="18">
                  <c:v>4.4999999999999998E-2</c:v>
                </c:pt>
                <c:pt idx="19">
                  <c:v>4.5999999999999999E-2</c:v>
                </c:pt>
                <c:pt idx="20">
                  <c:v>4.7E-2</c:v>
                </c:pt>
                <c:pt idx="21">
                  <c:v>4.8000000000000001E-2</c:v>
                </c:pt>
                <c:pt idx="22">
                  <c:v>4.9000000000000002E-2</c:v>
                </c:pt>
                <c:pt idx="23">
                  <c:v>0.05</c:v>
                </c:pt>
                <c:pt idx="24">
                  <c:v>5.1999999999999998E-2</c:v>
                </c:pt>
                <c:pt idx="25">
                  <c:v>5.2999999999999999E-2</c:v>
                </c:pt>
                <c:pt idx="26">
                  <c:v>5.3999999999999999E-2</c:v>
                </c:pt>
                <c:pt idx="27">
                  <c:v>0.06</c:v>
                </c:pt>
                <c:pt idx="28">
                  <c:v>7.0000000000000007E-2</c:v>
                </c:pt>
                <c:pt idx="29">
                  <c:v>0.08</c:v>
                </c:pt>
                <c:pt idx="30">
                  <c:v>0.09</c:v>
                </c:pt>
                <c:pt idx="31">
                  <c:v>0.1</c:v>
                </c:pt>
                <c:pt idx="32">
                  <c:v>0.11</c:v>
                </c:pt>
                <c:pt idx="33">
                  <c:v>0.12</c:v>
                </c:pt>
                <c:pt idx="34">
                  <c:v>0.13</c:v>
                </c:pt>
                <c:pt idx="35">
                  <c:v>0.14000000000000001</c:v>
                </c:pt>
                <c:pt idx="36">
                  <c:v>0.15</c:v>
                </c:pt>
                <c:pt idx="37">
                  <c:v>0.16</c:v>
                </c:pt>
                <c:pt idx="38">
                  <c:v>0.17</c:v>
                </c:pt>
                <c:pt idx="39">
                  <c:v>0.18</c:v>
                </c:pt>
                <c:pt idx="40">
                  <c:v>0.19</c:v>
                </c:pt>
                <c:pt idx="41">
                  <c:v>0.2</c:v>
                </c:pt>
                <c:pt idx="42">
                  <c:v>0.21</c:v>
                </c:pt>
                <c:pt idx="43">
                  <c:v>0.22</c:v>
                </c:pt>
                <c:pt idx="44">
                  <c:v>0.23</c:v>
                </c:pt>
                <c:pt idx="45">
                  <c:v>0.23200000000000001</c:v>
                </c:pt>
                <c:pt idx="46">
                  <c:v>0.24</c:v>
                </c:pt>
              </c:numCache>
            </c:numRef>
          </c:xVal>
          <c:yVal>
            <c:numRef>
              <c:f>'twist vs. torsional stiffness'!$C$9:$C$55</c:f>
              <c:numCache>
                <c:formatCode>0.00E+00</c:formatCode>
                <c:ptCount val="47"/>
                <c:pt idx="0">
                  <c:v>887739558.10000002</c:v>
                </c:pt>
                <c:pt idx="1">
                  <c:v>853468139.85000002</c:v>
                </c:pt>
                <c:pt idx="2">
                  <c:v>751086124.15999997</c:v>
                </c:pt>
                <c:pt idx="3">
                  <c:v>603931109.50999999</c:v>
                </c:pt>
                <c:pt idx="4">
                  <c:v>594829027.95000005</c:v>
                </c:pt>
                <c:pt idx="5">
                  <c:v>592264423.34000003</c:v>
                </c:pt>
                <c:pt idx="6">
                  <c:v>602662721.37</c:v>
                </c:pt>
                <c:pt idx="7">
                  <c:v>641103035.38999999</c:v>
                </c:pt>
                <c:pt idx="8">
                  <c:v>749796053.10000002</c:v>
                </c:pt>
                <c:pt idx="9">
                  <c:v>1085379938.5</c:v>
                </c:pt>
                <c:pt idx="10">
                  <c:v>2646120519.1999998</c:v>
                </c:pt>
                <c:pt idx="11">
                  <c:v>51113653257</c:v>
                </c:pt>
                <c:pt idx="12">
                  <c:v>8639647356.3999996</c:v>
                </c:pt>
                <c:pt idx="13">
                  <c:v>1901078799</c:v>
                </c:pt>
                <c:pt idx="14">
                  <c:v>981024771.52999997</c:v>
                </c:pt>
                <c:pt idx="15">
                  <c:v>665080548.83000004</c:v>
                </c:pt>
                <c:pt idx="16">
                  <c:v>506120596.13999999</c:v>
                </c:pt>
                <c:pt idx="17">
                  <c:v>405843591.45999998</c:v>
                </c:pt>
                <c:pt idx="18">
                  <c:v>332411375.35000002</c:v>
                </c:pt>
                <c:pt idx="19">
                  <c:v>272845763.51999998</c:v>
                </c:pt>
                <c:pt idx="20">
                  <c:v>221067613.77000001</c:v>
                </c:pt>
                <c:pt idx="21">
                  <c:v>173904670.30000001</c:v>
                </c:pt>
                <c:pt idx="22">
                  <c:v>129526180.04000001</c:v>
                </c:pt>
                <c:pt idx="23">
                  <c:v>86854151.306999996</c:v>
                </c:pt>
                <c:pt idx="24">
                  <c:v>4111490.1389000001</c:v>
                </c:pt>
                <c:pt idx="25">
                  <c:v>-36728847.612999998</c:v>
                </c:pt>
                <c:pt idx="26">
                  <c:v>-77543511.795000002</c:v>
                </c:pt>
                <c:pt idx="27">
                  <c:v>-328279100.68000001</c:v>
                </c:pt>
                <c:pt idx="28">
                  <c:v>-788543531.42999995</c:v>
                </c:pt>
                <c:pt idx="29">
                  <c:v>-1313221790.7</c:v>
                </c:pt>
                <c:pt idx="30">
                  <c:v>-1905591085.3</c:v>
                </c:pt>
                <c:pt idx="31">
                  <c:v>-2566656959.8000002</c:v>
                </c:pt>
                <c:pt idx="32">
                  <c:v>-3296803738.3000002</c:v>
                </c:pt>
                <c:pt idx="33">
                  <c:v>-4096239510.6999998</c:v>
                </c:pt>
                <c:pt idx="34">
                  <c:v>-4965011836.1000004</c:v>
                </c:pt>
                <c:pt idx="35">
                  <c:v>-5903783342.3000002</c:v>
                </c:pt>
                <c:pt idx="36">
                  <c:v>-6911683050.8999996</c:v>
                </c:pt>
                <c:pt idx="37">
                  <c:v>-7989464205.6999998</c:v>
                </c:pt>
                <c:pt idx="38">
                  <c:v>-9137162314.2999992</c:v>
                </c:pt>
                <c:pt idx="39">
                  <c:v>-10354974862</c:v>
                </c:pt>
                <c:pt idx="40">
                  <c:v>-11643154562</c:v>
                </c:pt>
                <c:pt idx="41">
                  <c:v>-13001847541</c:v>
                </c:pt>
                <c:pt idx="42">
                  <c:v>-14430632439</c:v>
                </c:pt>
                <c:pt idx="43">
                  <c:v>-15925649471</c:v>
                </c:pt>
                <c:pt idx="44">
                  <c:v>-17475303087</c:v>
                </c:pt>
                <c:pt idx="45">
                  <c:v>-17787317301</c:v>
                </c:pt>
                <c:pt idx="46">
                  <c:v>-19000604530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93664"/>
        <c:axId val="106205184"/>
      </c:scatterChart>
      <c:valAx>
        <c:axId val="106193664"/>
        <c:scaling>
          <c:orientation val="minMax"/>
          <c:max val="6.0000000000000012E-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Futura Md BT" pitchFamily="34" charset="0"/>
                  </a:defRPr>
                </a:pPr>
                <a:r>
                  <a:rPr lang="en-US">
                    <a:latin typeface="Futura Md BT" pitchFamily="34" charset="0"/>
                  </a:rPr>
                  <a:t>twist (rad)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utura Lt BT" pitchFamily="34" charset="0"/>
              </a:defRPr>
            </a:pPr>
            <a:endParaRPr lang="en-US"/>
          </a:p>
        </c:txPr>
        <c:crossAx val="106205184"/>
        <c:crosses val="autoZero"/>
        <c:crossBetween val="midCat"/>
      </c:valAx>
      <c:valAx>
        <c:axId val="106205184"/>
        <c:scaling>
          <c:logBase val="10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latin typeface="Futura Md BT" pitchFamily="34" charset="0"/>
                  </a:defRPr>
                </a:pPr>
                <a:r>
                  <a:rPr lang="en-US">
                    <a:latin typeface="Futura Md BT" pitchFamily="34" charset="0"/>
                  </a:rPr>
                  <a:t>S44, torsional stiffness (N m</a:t>
                </a:r>
                <a:r>
                  <a:rPr lang="en-US" baseline="30000">
                    <a:latin typeface="Futura Md BT" pitchFamily="34" charset="0"/>
                  </a:rPr>
                  <a:t>2</a:t>
                </a:r>
                <a:r>
                  <a:rPr lang="en-US">
                    <a:latin typeface="Futura Md BT" pitchFamily="34" charset="0"/>
                  </a:rPr>
                  <a:t>)</a:t>
                </a:r>
              </a:p>
            </c:rich>
          </c:tx>
          <c:overlay val="0"/>
        </c:title>
        <c:numFmt formatCode="0.0E+00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Futura Lt BT" pitchFamily="34" charset="0"/>
              </a:defRPr>
            </a:pPr>
            <a:endParaRPr lang="en-US"/>
          </a:p>
        </c:txPr>
        <c:crossAx val="106193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202406</xdr:colOff>
      <xdr:row>37</xdr:row>
      <xdr:rowOff>119063</xdr:rowOff>
    </xdr:from>
    <xdr:to>
      <xdr:col>11</xdr:col>
      <xdr:colOff>440530</xdr:colOff>
      <xdr:row>52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273844</xdr:colOff>
      <xdr:row>1</xdr:row>
      <xdr:rowOff>178594</xdr:rowOff>
    </xdr:from>
    <xdr:to>
      <xdr:col>31</xdr:col>
      <xdr:colOff>488156</xdr:colOff>
      <xdr:row>25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202406</xdr:colOff>
      <xdr:row>37</xdr:row>
      <xdr:rowOff>119063</xdr:rowOff>
    </xdr:from>
    <xdr:to>
      <xdr:col>11</xdr:col>
      <xdr:colOff>440530</xdr:colOff>
      <xdr:row>52</xdr:row>
      <xdr:rowOff>71437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119063</xdr:colOff>
      <xdr:row>2</xdr:row>
      <xdr:rowOff>71437</xdr:rowOff>
    </xdr:from>
    <xdr:to>
      <xdr:col>40</xdr:col>
      <xdr:colOff>333376</xdr:colOff>
      <xdr:row>27</xdr:row>
      <xdr:rowOff>178593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261937</xdr:colOff>
      <xdr:row>55</xdr:row>
      <xdr:rowOff>35720</xdr:rowOff>
    </xdr:from>
    <xdr:to>
      <xdr:col>40</xdr:col>
      <xdr:colOff>476250</xdr:colOff>
      <xdr:row>80</xdr:row>
      <xdr:rowOff>154782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142873</xdr:colOff>
      <xdr:row>29</xdr:row>
      <xdr:rowOff>59532</xdr:rowOff>
    </xdr:from>
    <xdr:to>
      <xdr:col>40</xdr:col>
      <xdr:colOff>357186</xdr:colOff>
      <xdr:row>54</xdr:row>
      <xdr:rowOff>178594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420691</xdr:colOff>
      <xdr:row>8</xdr:row>
      <xdr:rowOff>15875</xdr:rowOff>
    </xdr:from>
    <xdr:to>
      <xdr:col>15</xdr:col>
      <xdr:colOff>484186</xdr:colOff>
      <xdr:row>23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547688</xdr:colOff>
      <xdr:row>24</xdr:row>
      <xdr:rowOff>47625</xdr:rowOff>
    </xdr:from>
    <xdr:to>
      <xdr:col>8</xdr:col>
      <xdr:colOff>142875</xdr:colOff>
      <xdr:row>43</xdr:row>
      <xdr:rowOff>182563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1" sqref="G1"/>
    </sheetView>
  </sheetViews>
  <sheetFormatPr defaultRowHeight="15" x14ac:dyDescent="0.25"/>
  <cols>
    <col min="1" max="1" width="8.5703125" customWidth="1"/>
    <col min="2" max="2" width="7.85546875" customWidth="1"/>
    <col min="3" max="3" width="7.28515625" customWidth="1"/>
    <col min="4" max="4" width="6.28515625" customWidth="1"/>
    <col min="5" max="5" width="10" customWidth="1"/>
    <col min="6" max="6" width="13.85546875" customWidth="1"/>
    <col min="7" max="7" width="12.7109375" customWidth="1"/>
  </cols>
  <sheetData>
    <row r="1" spans="1:7" ht="30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x14ac:dyDescent="0.25">
      <c r="A2" s="28">
        <v>1</v>
      </c>
      <c r="B2" s="29">
        <v>0</v>
      </c>
      <c r="C2" s="29">
        <v>5.694</v>
      </c>
      <c r="D2" s="29">
        <v>13.308</v>
      </c>
      <c r="E2" s="29">
        <v>0.5</v>
      </c>
      <c r="F2" s="26" t="s">
        <v>7</v>
      </c>
      <c r="G2" s="30">
        <v>1</v>
      </c>
    </row>
    <row r="3" spans="1:7" x14ac:dyDescent="0.25">
      <c r="A3" s="28">
        <v>2</v>
      </c>
      <c r="B3" s="29">
        <v>5.0000000000000001E-3</v>
      </c>
      <c r="C3" s="29">
        <v>5.694</v>
      </c>
      <c r="D3" s="29">
        <v>13.308</v>
      </c>
      <c r="E3" s="29">
        <v>0.5</v>
      </c>
      <c r="F3" s="26" t="s">
        <v>7</v>
      </c>
      <c r="G3" s="30">
        <v>1</v>
      </c>
    </row>
    <row r="4" spans="1:7" x14ac:dyDescent="0.25">
      <c r="A4" s="1">
        <v>3</v>
      </c>
      <c r="B4" s="3">
        <v>7.0000000000000001E-3</v>
      </c>
      <c r="C4" s="3">
        <v>5.694</v>
      </c>
      <c r="D4" s="3">
        <v>13.308</v>
      </c>
      <c r="E4" s="3">
        <v>0.5</v>
      </c>
      <c r="F4" t="s">
        <v>8</v>
      </c>
      <c r="G4" s="5">
        <v>0.99250000000000005</v>
      </c>
    </row>
    <row r="5" spans="1:7" x14ac:dyDescent="0.25">
      <c r="A5" s="1">
        <v>4</v>
      </c>
      <c r="B5" s="3">
        <v>8.9999999999999993E-3</v>
      </c>
      <c r="C5" s="3">
        <v>5.694</v>
      </c>
      <c r="D5" s="3">
        <v>13.308</v>
      </c>
      <c r="E5" s="3">
        <v>0.5</v>
      </c>
      <c r="F5" t="s">
        <v>8</v>
      </c>
      <c r="G5" s="5">
        <v>0.98499999999999999</v>
      </c>
    </row>
    <row r="6" spans="1:7" x14ac:dyDescent="0.25">
      <c r="A6" s="1">
        <v>5</v>
      </c>
      <c r="B6" s="3">
        <v>1.0999999999999999E-2</v>
      </c>
      <c r="C6" s="3">
        <v>5.694</v>
      </c>
      <c r="D6" s="3">
        <v>13.308</v>
      </c>
      <c r="E6" s="3">
        <v>0.5</v>
      </c>
      <c r="F6" t="s">
        <v>8</v>
      </c>
      <c r="G6" s="5">
        <v>0.97750000000000004</v>
      </c>
    </row>
    <row r="7" spans="1:7" x14ac:dyDescent="0.25">
      <c r="A7" s="1">
        <v>6</v>
      </c>
      <c r="B7" s="3">
        <v>1.2999999999999999E-2</v>
      </c>
      <c r="C7" s="3">
        <v>5.694</v>
      </c>
      <c r="D7" s="3">
        <v>13.308</v>
      </c>
      <c r="E7" s="3">
        <v>0.5</v>
      </c>
      <c r="F7" t="s">
        <v>9</v>
      </c>
      <c r="G7" s="5">
        <v>0.97</v>
      </c>
    </row>
    <row r="8" spans="1:7" x14ac:dyDescent="0.25">
      <c r="A8" s="31">
        <v>7</v>
      </c>
      <c r="B8" s="32">
        <v>2.4E-2</v>
      </c>
      <c r="C8" s="32">
        <v>5.7919999999999998</v>
      </c>
      <c r="D8" s="32">
        <v>13.308</v>
      </c>
      <c r="E8" s="32">
        <v>0.499</v>
      </c>
      <c r="F8" t="s">
        <v>9</v>
      </c>
      <c r="G8" s="33">
        <v>0.93100000000000005</v>
      </c>
    </row>
    <row r="9" spans="1:7" x14ac:dyDescent="0.25">
      <c r="A9" s="1">
        <v>8</v>
      </c>
      <c r="B9" s="3">
        <v>2.5999999999999999E-2</v>
      </c>
      <c r="C9" s="3">
        <v>5.8109999999999999</v>
      </c>
      <c r="D9" s="3">
        <v>13.308</v>
      </c>
      <c r="E9" s="3">
        <v>0.498</v>
      </c>
      <c r="F9" t="s">
        <v>9</v>
      </c>
      <c r="G9" s="5">
        <v>0.92500000000000004</v>
      </c>
    </row>
    <row r="10" spans="1:7" x14ac:dyDescent="0.25">
      <c r="A10" s="1">
        <v>9</v>
      </c>
      <c r="B10" s="3">
        <v>4.7E-2</v>
      </c>
      <c r="C10" s="3">
        <v>6.0579999999999998</v>
      </c>
      <c r="D10" s="3">
        <v>13.308</v>
      </c>
      <c r="E10" s="3">
        <v>0.48299999999999998</v>
      </c>
      <c r="F10" t="s">
        <v>8</v>
      </c>
      <c r="G10" s="5">
        <v>0.84</v>
      </c>
    </row>
    <row r="11" spans="1:7" x14ac:dyDescent="0.25">
      <c r="A11" s="1">
        <v>10</v>
      </c>
      <c r="B11" s="3">
        <v>6.8000000000000005E-2</v>
      </c>
      <c r="C11" s="3">
        <v>6.3040000000000003</v>
      </c>
      <c r="D11" s="3">
        <v>13.308</v>
      </c>
      <c r="E11" s="3">
        <v>0.46800000000000003</v>
      </c>
      <c r="F11" t="s">
        <v>8</v>
      </c>
      <c r="G11" s="5">
        <v>0.76</v>
      </c>
    </row>
    <row r="12" spans="1:7" x14ac:dyDescent="0.25">
      <c r="A12" s="1">
        <v>11</v>
      </c>
      <c r="B12" s="3">
        <v>8.8999999999999996E-2</v>
      </c>
      <c r="C12" s="3">
        <v>6.5510000000000002</v>
      </c>
      <c r="D12" s="3">
        <v>13.308</v>
      </c>
      <c r="E12" s="3">
        <v>0.45300000000000001</v>
      </c>
      <c r="F12" t="s">
        <v>8</v>
      </c>
      <c r="G12" s="5">
        <v>0.68</v>
      </c>
    </row>
    <row r="13" spans="1:7" x14ac:dyDescent="0.25">
      <c r="A13" s="1">
        <v>12</v>
      </c>
      <c r="B13" s="3">
        <v>0.114</v>
      </c>
      <c r="C13" s="3">
        <v>6.835</v>
      </c>
      <c r="D13" s="3">
        <v>13.308</v>
      </c>
      <c r="E13" s="3">
        <v>0.41</v>
      </c>
      <c r="F13" t="s">
        <v>8</v>
      </c>
      <c r="G13" s="5">
        <v>0.6</v>
      </c>
    </row>
    <row r="14" spans="1:7" x14ac:dyDescent="0.25">
      <c r="A14" s="1">
        <v>13</v>
      </c>
      <c r="B14" s="3">
        <v>0.14599999999999999</v>
      </c>
      <c r="C14" s="3">
        <v>7.2149999999999999</v>
      </c>
      <c r="D14" s="3">
        <v>13.308</v>
      </c>
      <c r="E14" s="3">
        <v>0.4</v>
      </c>
      <c r="F14" t="s">
        <v>8</v>
      </c>
      <c r="G14" s="5">
        <v>0.51</v>
      </c>
    </row>
    <row r="15" spans="1:7" x14ac:dyDescent="0.25">
      <c r="A15" s="28">
        <v>14</v>
      </c>
      <c r="B15" s="29">
        <v>0.16300000000000001</v>
      </c>
      <c r="C15" s="29">
        <v>7.4039999999999999</v>
      </c>
      <c r="D15" s="29">
        <v>13.177</v>
      </c>
      <c r="E15" s="29">
        <v>0.39</v>
      </c>
      <c r="F15" s="26" t="s">
        <v>8</v>
      </c>
      <c r="G15" s="30">
        <v>0.47</v>
      </c>
    </row>
    <row r="16" spans="1:7" x14ac:dyDescent="0.25">
      <c r="A16" s="1">
        <v>15</v>
      </c>
      <c r="B16" s="3">
        <v>0.17899999999999999</v>
      </c>
      <c r="C16" s="3">
        <v>7.5519999999999996</v>
      </c>
      <c r="D16" s="3">
        <v>13.045999999999999</v>
      </c>
      <c r="E16" s="3">
        <v>0.38</v>
      </c>
      <c r="F16" t="s">
        <v>8</v>
      </c>
      <c r="G16" s="5">
        <v>0.435</v>
      </c>
    </row>
    <row r="17" spans="1:7" x14ac:dyDescent="0.25">
      <c r="A17" s="1">
        <v>16</v>
      </c>
      <c r="B17" s="3">
        <v>0.19500000000000001</v>
      </c>
      <c r="C17" s="3">
        <v>7.6280000000000001</v>
      </c>
      <c r="D17" s="3">
        <v>12.914999999999999</v>
      </c>
      <c r="E17" s="3">
        <v>0.378</v>
      </c>
      <c r="F17" t="s">
        <v>10</v>
      </c>
      <c r="G17" s="5">
        <v>0.40500000000000003</v>
      </c>
    </row>
    <row r="18" spans="1:7" x14ac:dyDescent="0.25">
      <c r="A18" s="1">
        <v>17</v>
      </c>
      <c r="B18" s="3">
        <v>0.222</v>
      </c>
      <c r="C18" s="3">
        <v>7.585</v>
      </c>
      <c r="D18" s="3">
        <v>12.132999999999999</v>
      </c>
      <c r="E18" s="3">
        <v>0.377</v>
      </c>
      <c r="F18" t="s">
        <v>10</v>
      </c>
      <c r="G18" s="5">
        <v>0.38</v>
      </c>
    </row>
    <row r="19" spans="1:7" x14ac:dyDescent="0.25">
      <c r="A19" s="1">
        <v>18</v>
      </c>
      <c r="B19" s="3">
        <v>0.249</v>
      </c>
      <c r="C19" s="3">
        <v>7.4880000000000004</v>
      </c>
      <c r="D19" s="3">
        <v>11.35</v>
      </c>
      <c r="E19" s="3">
        <v>0.375</v>
      </c>
      <c r="F19" t="s">
        <v>11</v>
      </c>
      <c r="G19" s="5">
        <v>0.36</v>
      </c>
    </row>
    <row r="20" spans="1:7" x14ac:dyDescent="0.25">
      <c r="A20" s="1">
        <v>19</v>
      </c>
      <c r="B20" s="3">
        <v>0.27600000000000002</v>
      </c>
      <c r="C20" s="3">
        <v>7.3470000000000004</v>
      </c>
      <c r="D20" s="3">
        <v>10.568</v>
      </c>
      <c r="E20" s="3">
        <v>0.375</v>
      </c>
      <c r="F20" t="s">
        <v>11</v>
      </c>
      <c r="G20" s="5">
        <v>0.34</v>
      </c>
    </row>
    <row r="21" spans="1:7" x14ac:dyDescent="0.25">
      <c r="A21" s="1">
        <v>20</v>
      </c>
      <c r="B21" s="3">
        <v>0.35799999999999998</v>
      </c>
      <c r="C21" s="3">
        <v>6.923</v>
      </c>
      <c r="D21" s="3">
        <v>9.1660000000000004</v>
      </c>
      <c r="E21" s="3">
        <v>0.375</v>
      </c>
      <c r="F21" t="s">
        <v>12</v>
      </c>
      <c r="G21" s="5">
        <v>0.3</v>
      </c>
    </row>
    <row r="22" spans="1:7" x14ac:dyDescent="0.25">
      <c r="A22" s="1">
        <v>21</v>
      </c>
      <c r="B22" s="3">
        <v>0.439</v>
      </c>
      <c r="C22" s="3">
        <v>6.4290000000000003</v>
      </c>
      <c r="D22" s="3">
        <v>7.6879999999999997</v>
      </c>
      <c r="E22" s="3">
        <v>0.375</v>
      </c>
      <c r="F22" t="s">
        <v>13</v>
      </c>
      <c r="G22" s="5">
        <v>0.26</v>
      </c>
    </row>
    <row r="23" spans="1:7" x14ac:dyDescent="0.25">
      <c r="A23" s="1">
        <v>22</v>
      </c>
      <c r="B23" s="3">
        <v>0.52</v>
      </c>
      <c r="C23" s="3">
        <v>5.915</v>
      </c>
      <c r="D23" s="3">
        <v>6.18</v>
      </c>
      <c r="E23" s="3">
        <v>0.375</v>
      </c>
      <c r="F23" t="s">
        <v>14</v>
      </c>
      <c r="G23" s="5">
        <v>0.23</v>
      </c>
    </row>
    <row r="24" spans="1:7" x14ac:dyDescent="0.25">
      <c r="A24" s="1">
        <v>23</v>
      </c>
      <c r="B24" s="3">
        <v>0.60199999999999998</v>
      </c>
      <c r="C24" s="3">
        <v>5.4169999999999998</v>
      </c>
      <c r="D24" s="3">
        <v>4.7430000000000003</v>
      </c>
      <c r="E24" s="3">
        <v>0.375</v>
      </c>
      <c r="F24" t="s">
        <v>14</v>
      </c>
      <c r="G24" s="5">
        <v>0.21</v>
      </c>
    </row>
    <row r="25" spans="1:7" x14ac:dyDescent="0.25">
      <c r="A25" s="1">
        <v>24</v>
      </c>
      <c r="B25" s="3">
        <v>0.66700000000000004</v>
      </c>
      <c r="C25" s="3">
        <v>5.0190000000000001</v>
      </c>
      <c r="D25" s="3">
        <v>3.633</v>
      </c>
      <c r="E25" s="3">
        <v>0.375</v>
      </c>
      <c r="F25" t="s">
        <v>15</v>
      </c>
      <c r="G25" s="5">
        <v>0.19</v>
      </c>
    </row>
    <row r="26" spans="1:7" x14ac:dyDescent="0.25">
      <c r="A26" s="1">
        <v>25</v>
      </c>
      <c r="B26" s="3">
        <v>0.68300000000000005</v>
      </c>
      <c r="C26" s="3">
        <v>4.92</v>
      </c>
      <c r="D26" s="3">
        <v>3.383</v>
      </c>
      <c r="E26" s="3">
        <v>0.375</v>
      </c>
      <c r="F26" t="s">
        <v>15</v>
      </c>
      <c r="G26" s="5">
        <v>0.185</v>
      </c>
    </row>
    <row r="27" spans="1:7" x14ac:dyDescent="0.25">
      <c r="A27" s="1">
        <v>26</v>
      </c>
      <c r="B27" s="3">
        <v>0.73199999999999998</v>
      </c>
      <c r="C27" s="3">
        <v>4.6210000000000004</v>
      </c>
      <c r="D27" s="3">
        <v>2.7349999999999999</v>
      </c>
      <c r="E27" s="3">
        <v>0.375</v>
      </c>
      <c r="F27" t="s">
        <v>15</v>
      </c>
      <c r="G27" s="5">
        <v>0.18</v>
      </c>
    </row>
    <row r="28" spans="1:7" x14ac:dyDescent="0.25">
      <c r="A28" s="1">
        <v>27</v>
      </c>
      <c r="B28" s="3">
        <v>0.76400000000000001</v>
      </c>
      <c r="C28" s="3">
        <v>4.4219999999999997</v>
      </c>
      <c r="D28" s="3">
        <v>2.3479999999999999</v>
      </c>
      <c r="E28" s="3">
        <v>0.375</v>
      </c>
      <c r="F28" t="s">
        <v>15</v>
      </c>
      <c r="G28" s="5">
        <v>0.18</v>
      </c>
    </row>
    <row r="29" spans="1:7" x14ac:dyDescent="0.25">
      <c r="A29" s="1">
        <v>28</v>
      </c>
      <c r="B29" s="3">
        <v>0.84599999999999997</v>
      </c>
      <c r="C29" s="3">
        <v>3.9249999999999998</v>
      </c>
      <c r="D29" s="3">
        <v>1.38</v>
      </c>
      <c r="E29" s="3">
        <v>0.375</v>
      </c>
      <c r="F29" t="s">
        <v>15</v>
      </c>
      <c r="G29" s="5">
        <v>0.18</v>
      </c>
    </row>
    <row r="30" spans="1:7" x14ac:dyDescent="0.25">
      <c r="A30" s="1">
        <v>29</v>
      </c>
      <c r="B30" s="3">
        <v>0.89400000000000002</v>
      </c>
      <c r="C30" s="3">
        <v>3.6190000000000002</v>
      </c>
      <c r="D30" s="3">
        <v>0.79900000000000004</v>
      </c>
      <c r="E30" s="3">
        <v>0.375</v>
      </c>
      <c r="F30" t="s">
        <v>15</v>
      </c>
      <c r="G30" s="5">
        <v>0.18</v>
      </c>
    </row>
    <row r="31" spans="1:7" x14ac:dyDescent="0.25">
      <c r="A31" s="1">
        <v>30</v>
      </c>
      <c r="B31" s="3">
        <v>0.94299999999999995</v>
      </c>
      <c r="C31" s="3">
        <v>2.8239999999999998</v>
      </c>
      <c r="D31" s="3">
        <v>0.28000000000000003</v>
      </c>
      <c r="E31" s="3">
        <v>0.375</v>
      </c>
      <c r="F31" t="s">
        <v>15</v>
      </c>
      <c r="G31" s="5">
        <v>0.18</v>
      </c>
    </row>
    <row r="32" spans="1:7" x14ac:dyDescent="0.25">
      <c r="A32" s="1">
        <v>31</v>
      </c>
      <c r="B32" s="3">
        <v>0.95699999999999996</v>
      </c>
      <c r="C32" s="3">
        <v>2.375</v>
      </c>
      <c r="D32" s="3">
        <v>0.21</v>
      </c>
      <c r="E32" s="3">
        <v>0.375</v>
      </c>
      <c r="F32" t="s">
        <v>15</v>
      </c>
      <c r="G32" s="5">
        <v>0.18</v>
      </c>
    </row>
    <row r="33" spans="1:7" x14ac:dyDescent="0.25">
      <c r="A33" s="1">
        <v>32</v>
      </c>
      <c r="B33" s="3">
        <v>0.97199999999999998</v>
      </c>
      <c r="C33" s="3">
        <v>1.8360000000000001</v>
      </c>
      <c r="D33" s="3">
        <v>0.14000000000000001</v>
      </c>
      <c r="E33" s="3">
        <v>0.375</v>
      </c>
      <c r="F33" t="s">
        <v>15</v>
      </c>
      <c r="G33" s="5">
        <v>0.18</v>
      </c>
    </row>
    <row r="34" spans="1:7" x14ac:dyDescent="0.25">
      <c r="A34" s="1">
        <v>33</v>
      </c>
      <c r="B34" s="3">
        <v>0.98599999999999999</v>
      </c>
      <c r="C34" s="3">
        <v>1.208</v>
      </c>
      <c r="D34" s="3">
        <v>7.0000000000000007E-2</v>
      </c>
      <c r="E34" s="3">
        <v>0.375</v>
      </c>
      <c r="F34" t="s">
        <v>15</v>
      </c>
      <c r="G34" s="5">
        <v>0.18</v>
      </c>
    </row>
    <row r="35" spans="1:7" x14ac:dyDescent="0.25">
      <c r="A35" s="11">
        <v>34</v>
      </c>
      <c r="B35" s="15">
        <v>1</v>
      </c>
      <c r="C35" s="15">
        <v>0.1</v>
      </c>
      <c r="D35" s="15">
        <v>0</v>
      </c>
      <c r="E35" s="15">
        <v>0.375</v>
      </c>
      <c r="F35" s="10" t="s">
        <v>15</v>
      </c>
      <c r="G35" s="16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21" sqref="D21"/>
    </sheetView>
  </sheetViews>
  <sheetFormatPr defaultRowHeight="15" x14ac:dyDescent="0.25"/>
  <cols>
    <col min="1" max="1" width="8.42578125" customWidth="1"/>
    <col min="2" max="2" width="7.5703125" customWidth="1"/>
    <col min="3" max="3" width="8.5703125" customWidth="1"/>
    <col min="4" max="4" width="13.42578125" customWidth="1"/>
    <col min="5" max="5" width="18.85546875" customWidth="1"/>
    <col min="6" max="6" width="7.28515625" customWidth="1"/>
    <col min="7" max="7" width="7.140625" customWidth="1"/>
  </cols>
  <sheetData>
    <row r="1" spans="1:7" ht="30.75" customHeight="1" x14ac:dyDescent="0.25">
      <c r="A1" s="110" t="s">
        <v>0</v>
      </c>
      <c r="B1" s="110" t="s">
        <v>56</v>
      </c>
      <c r="C1" s="25" t="s">
        <v>48</v>
      </c>
      <c r="D1" s="25" t="s">
        <v>50</v>
      </c>
      <c r="E1" s="25" t="s">
        <v>51</v>
      </c>
      <c r="F1" s="25" t="s">
        <v>53</v>
      </c>
      <c r="G1" s="25" t="s">
        <v>54</v>
      </c>
    </row>
    <row r="2" spans="1:7" x14ac:dyDescent="0.25">
      <c r="A2" s="110"/>
      <c r="B2" s="110"/>
      <c r="C2" s="22" t="s">
        <v>49</v>
      </c>
      <c r="D2" s="22" t="s">
        <v>18</v>
      </c>
      <c r="E2" s="22" t="s">
        <v>52</v>
      </c>
      <c r="F2" s="22" t="s">
        <v>46</v>
      </c>
      <c r="G2" s="22" t="s">
        <v>46</v>
      </c>
    </row>
    <row r="3" spans="1:7" x14ac:dyDescent="0.25">
      <c r="A3" s="111"/>
      <c r="B3" s="19" t="s">
        <v>55</v>
      </c>
      <c r="C3" s="11" t="s">
        <v>57</v>
      </c>
      <c r="D3" s="11" t="s">
        <v>57</v>
      </c>
      <c r="E3" s="11" t="s">
        <v>57</v>
      </c>
      <c r="F3" s="11" t="s">
        <v>57</v>
      </c>
      <c r="G3" s="11" t="s">
        <v>57</v>
      </c>
    </row>
    <row r="4" spans="1:7" x14ac:dyDescent="0.25">
      <c r="A4" s="28">
        <v>1</v>
      </c>
      <c r="B4" s="29">
        <v>0</v>
      </c>
      <c r="C4" s="26">
        <v>160</v>
      </c>
      <c r="D4" s="26"/>
      <c r="E4" s="26"/>
      <c r="F4" s="26"/>
      <c r="G4" s="26"/>
    </row>
    <row r="5" spans="1:7" x14ac:dyDescent="0.25">
      <c r="A5" s="28">
        <v>2</v>
      </c>
      <c r="B5" s="29">
        <v>5.0000000000000001E-3</v>
      </c>
      <c r="C5" s="26">
        <v>140</v>
      </c>
      <c r="D5" s="26">
        <v>1</v>
      </c>
      <c r="E5" s="27">
        <v>1</v>
      </c>
      <c r="F5" s="26"/>
      <c r="G5" s="26"/>
    </row>
    <row r="6" spans="1:7" x14ac:dyDescent="0.25">
      <c r="A6" s="1">
        <v>3</v>
      </c>
      <c r="B6" s="3">
        <v>7.0000000000000001E-3</v>
      </c>
      <c r="C6">
        <v>120</v>
      </c>
      <c r="D6">
        <v>2</v>
      </c>
      <c r="E6" s="20">
        <v>2</v>
      </c>
    </row>
    <row r="7" spans="1:7" x14ac:dyDescent="0.25">
      <c r="A7" s="1">
        <v>4</v>
      </c>
      <c r="B7" s="3">
        <v>8.9999999999999993E-3</v>
      </c>
      <c r="C7">
        <v>100</v>
      </c>
      <c r="D7">
        <v>3</v>
      </c>
      <c r="E7" s="20">
        <v>3</v>
      </c>
    </row>
    <row r="8" spans="1:7" x14ac:dyDescent="0.25">
      <c r="A8" s="1">
        <v>5</v>
      </c>
      <c r="B8" s="3">
        <v>1.0999999999999999E-2</v>
      </c>
      <c r="C8">
        <v>80</v>
      </c>
      <c r="D8">
        <v>4</v>
      </c>
      <c r="E8" s="20">
        <v>5</v>
      </c>
    </row>
    <row r="9" spans="1:7" x14ac:dyDescent="0.25">
      <c r="A9" s="1">
        <v>6</v>
      </c>
      <c r="B9" s="3">
        <v>1.2999999999999999E-2</v>
      </c>
      <c r="C9">
        <v>70</v>
      </c>
      <c r="D9">
        <v>10</v>
      </c>
      <c r="E9" s="20">
        <v>7</v>
      </c>
      <c r="F9">
        <v>1</v>
      </c>
      <c r="G9">
        <v>1</v>
      </c>
    </row>
    <row r="10" spans="1:7" x14ac:dyDescent="0.25">
      <c r="A10" s="31">
        <v>7</v>
      </c>
      <c r="B10" s="32">
        <v>2.4E-2</v>
      </c>
      <c r="C10" s="34">
        <v>63</v>
      </c>
      <c r="D10" s="34">
        <v>13</v>
      </c>
      <c r="E10" s="20">
        <v>8</v>
      </c>
      <c r="F10">
        <v>3.5</v>
      </c>
      <c r="G10">
        <v>3.5</v>
      </c>
    </row>
    <row r="11" spans="1:7" x14ac:dyDescent="0.25">
      <c r="A11" s="1">
        <v>8</v>
      </c>
      <c r="B11" s="3">
        <v>2.5999999999999999E-2</v>
      </c>
      <c r="C11">
        <v>55</v>
      </c>
      <c r="D11">
        <v>13</v>
      </c>
      <c r="E11" s="20">
        <v>9</v>
      </c>
      <c r="F11">
        <v>13</v>
      </c>
      <c r="G11">
        <v>13</v>
      </c>
    </row>
    <row r="12" spans="1:7" x14ac:dyDescent="0.25">
      <c r="A12" s="1">
        <v>9</v>
      </c>
      <c r="B12" s="3">
        <v>4.7E-2</v>
      </c>
      <c r="C12">
        <v>40</v>
      </c>
      <c r="D12">
        <v>20</v>
      </c>
      <c r="E12" s="20" t="s">
        <v>59</v>
      </c>
      <c r="F12">
        <v>30</v>
      </c>
      <c r="G12">
        <v>100</v>
      </c>
    </row>
    <row r="13" spans="1:7" x14ac:dyDescent="0.25">
      <c r="A13" s="1">
        <v>10</v>
      </c>
      <c r="B13" s="3">
        <v>6.8000000000000005E-2</v>
      </c>
      <c r="C13">
        <v>25</v>
      </c>
      <c r="D13">
        <v>30</v>
      </c>
      <c r="E13" s="20" t="s">
        <v>60</v>
      </c>
      <c r="F13">
        <v>50</v>
      </c>
      <c r="G13">
        <v>100</v>
      </c>
    </row>
    <row r="14" spans="1:7" x14ac:dyDescent="0.25">
      <c r="A14" s="1">
        <v>11</v>
      </c>
      <c r="B14" s="3">
        <v>8.8999999999999996E-2</v>
      </c>
      <c r="C14">
        <v>15</v>
      </c>
      <c r="D14">
        <v>51</v>
      </c>
      <c r="E14" s="20" t="s">
        <v>61</v>
      </c>
      <c r="F14">
        <v>60</v>
      </c>
      <c r="G14">
        <v>100</v>
      </c>
    </row>
    <row r="15" spans="1:7" x14ac:dyDescent="0.25">
      <c r="A15" s="1">
        <v>12</v>
      </c>
      <c r="B15" s="3">
        <v>0.114</v>
      </c>
      <c r="C15">
        <v>5</v>
      </c>
      <c r="D15">
        <v>68</v>
      </c>
      <c r="E15" s="20" t="s">
        <v>62</v>
      </c>
      <c r="F15">
        <v>60</v>
      </c>
      <c r="G15">
        <v>100</v>
      </c>
    </row>
    <row r="16" spans="1:7" x14ac:dyDescent="0.25">
      <c r="A16" s="1">
        <v>13</v>
      </c>
      <c r="B16" s="3">
        <v>0.14599999999999999</v>
      </c>
      <c r="C16" s="20" t="s">
        <v>58</v>
      </c>
      <c r="D16">
        <v>94</v>
      </c>
      <c r="E16" s="20" t="s">
        <v>63</v>
      </c>
      <c r="F16">
        <v>60</v>
      </c>
      <c r="G16">
        <v>100</v>
      </c>
    </row>
    <row r="17" spans="1:7" x14ac:dyDescent="0.25">
      <c r="A17" s="28">
        <v>14</v>
      </c>
      <c r="B17" s="29">
        <v>0.16300000000000001</v>
      </c>
      <c r="C17" s="26"/>
      <c r="D17" s="26">
        <v>111</v>
      </c>
      <c r="E17" s="20" t="s">
        <v>64</v>
      </c>
      <c r="F17">
        <v>60</v>
      </c>
      <c r="G17">
        <v>60</v>
      </c>
    </row>
    <row r="18" spans="1:7" x14ac:dyDescent="0.25">
      <c r="A18" s="1">
        <v>15</v>
      </c>
      <c r="B18" s="3">
        <v>0.17899999999999999</v>
      </c>
      <c r="D18">
        <v>119</v>
      </c>
      <c r="E18" s="20" t="s">
        <v>65</v>
      </c>
      <c r="F18">
        <v>60</v>
      </c>
      <c r="G18">
        <v>60</v>
      </c>
    </row>
    <row r="19" spans="1:7" x14ac:dyDescent="0.25">
      <c r="A19" s="1">
        <v>16</v>
      </c>
      <c r="B19" s="3">
        <v>0.19500000000000001</v>
      </c>
      <c r="D19">
        <v>136</v>
      </c>
      <c r="E19" s="20" t="s">
        <v>65</v>
      </c>
      <c r="F19">
        <v>60</v>
      </c>
      <c r="G19">
        <v>60</v>
      </c>
    </row>
    <row r="20" spans="1:7" x14ac:dyDescent="0.25">
      <c r="A20" s="1">
        <v>17</v>
      </c>
      <c r="B20" s="3">
        <v>0.222</v>
      </c>
      <c r="D20">
        <v>136</v>
      </c>
      <c r="E20" s="20" t="s">
        <v>65</v>
      </c>
      <c r="F20">
        <v>60</v>
      </c>
      <c r="G20">
        <v>60</v>
      </c>
    </row>
    <row r="21" spans="1:7" x14ac:dyDescent="0.25">
      <c r="A21" s="1">
        <v>18</v>
      </c>
      <c r="B21" s="3">
        <v>0.249</v>
      </c>
      <c r="D21">
        <v>136</v>
      </c>
      <c r="E21" s="20" t="s">
        <v>66</v>
      </c>
      <c r="F21">
        <v>60</v>
      </c>
      <c r="G21">
        <v>60</v>
      </c>
    </row>
    <row r="22" spans="1:7" x14ac:dyDescent="0.25">
      <c r="A22" s="1">
        <v>19</v>
      </c>
      <c r="B22" s="3">
        <v>0.27600000000000002</v>
      </c>
      <c r="D22">
        <v>128</v>
      </c>
      <c r="E22" s="20" t="s">
        <v>66</v>
      </c>
      <c r="F22">
        <v>60</v>
      </c>
      <c r="G22">
        <v>60</v>
      </c>
    </row>
    <row r="23" spans="1:7" x14ac:dyDescent="0.25">
      <c r="A23" s="1">
        <v>20</v>
      </c>
      <c r="B23" s="3">
        <v>0.35799999999999998</v>
      </c>
      <c r="D23">
        <v>119</v>
      </c>
      <c r="E23" s="20" t="s">
        <v>67</v>
      </c>
      <c r="F23">
        <v>60</v>
      </c>
      <c r="G23">
        <v>60</v>
      </c>
    </row>
    <row r="24" spans="1:7" x14ac:dyDescent="0.25">
      <c r="A24" s="1">
        <v>21</v>
      </c>
      <c r="B24" s="3">
        <v>0.439</v>
      </c>
      <c r="D24">
        <v>111</v>
      </c>
      <c r="E24" s="20" t="s">
        <v>68</v>
      </c>
      <c r="F24">
        <v>60</v>
      </c>
      <c r="G24">
        <v>60</v>
      </c>
    </row>
    <row r="25" spans="1:7" x14ac:dyDescent="0.25">
      <c r="A25" s="1">
        <v>22</v>
      </c>
      <c r="B25" s="3">
        <v>0.52</v>
      </c>
      <c r="D25">
        <v>102</v>
      </c>
      <c r="E25" s="20" t="s">
        <v>69</v>
      </c>
      <c r="F25">
        <v>60</v>
      </c>
      <c r="G25">
        <v>60</v>
      </c>
    </row>
    <row r="26" spans="1:7" x14ac:dyDescent="0.25">
      <c r="A26" s="1">
        <v>23</v>
      </c>
      <c r="B26" s="3">
        <v>0.60199999999999998</v>
      </c>
      <c r="D26">
        <v>85</v>
      </c>
      <c r="E26" s="20" t="s">
        <v>69</v>
      </c>
      <c r="F26">
        <v>60</v>
      </c>
      <c r="G26">
        <v>60</v>
      </c>
    </row>
    <row r="27" spans="1:7" x14ac:dyDescent="0.25">
      <c r="A27" s="1">
        <v>24</v>
      </c>
      <c r="B27" s="3">
        <v>0.66700000000000004</v>
      </c>
      <c r="D27">
        <v>68</v>
      </c>
      <c r="E27" s="20" t="s">
        <v>69</v>
      </c>
      <c r="F27">
        <v>60</v>
      </c>
      <c r="G27">
        <v>60</v>
      </c>
    </row>
    <row r="28" spans="1:7" x14ac:dyDescent="0.25">
      <c r="A28" s="1">
        <v>25</v>
      </c>
      <c r="B28" s="3">
        <v>0.68300000000000005</v>
      </c>
      <c r="D28">
        <v>64</v>
      </c>
      <c r="E28" s="20" t="s">
        <v>69</v>
      </c>
      <c r="F28">
        <v>55</v>
      </c>
      <c r="G28">
        <v>55</v>
      </c>
    </row>
    <row r="29" spans="1:7" x14ac:dyDescent="0.25">
      <c r="A29" s="1">
        <v>26</v>
      </c>
      <c r="B29" s="3">
        <v>0.73199999999999998</v>
      </c>
      <c r="D29">
        <v>47</v>
      </c>
      <c r="E29" s="20" t="s">
        <v>69</v>
      </c>
      <c r="F29">
        <v>45</v>
      </c>
      <c r="G29">
        <v>45</v>
      </c>
    </row>
    <row r="30" spans="1:7" x14ac:dyDescent="0.25">
      <c r="A30" s="1">
        <v>27</v>
      </c>
      <c r="B30" s="3">
        <v>0.76400000000000001</v>
      </c>
      <c r="D30">
        <v>34</v>
      </c>
      <c r="E30" s="20" t="s">
        <v>69</v>
      </c>
      <c r="F30">
        <v>30</v>
      </c>
      <c r="G30">
        <v>30</v>
      </c>
    </row>
    <row r="31" spans="1:7" x14ac:dyDescent="0.25">
      <c r="A31" s="1">
        <v>28</v>
      </c>
      <c r="B31" s="3">
        <v>0.84599999999999997</v>
      </c>
      <c r="D31">
        <v>17</v>
      </c>
      <c r="E31" s="20" t="s">
        <v>69</v>
      </c>
      <c r="F31">
        <v>15</v>
      </c>
      <c r="G31">
        <v>15</v>
      </c>
    </row>
    <row r="32" spans="1:7" x14ac:dyDescent="0.25">
      <c r="A32" s="1">
        <v>29</v>
      </c>
      <c r="B32" s="3">
        <v>0.89400000000000002</v>
      </c>
      <c r="D32">
        <v>9</v>
      </c>
      <c r="E32" s="20" t="s">
        <v>69</v>
      </c>
      <c r="F32">
        <v>10</v>
      </c>
      <c r="G32">
        <v>10</v>
      </c>
    </row>
    <row r="33" spans="1:7" x14ac:dyDescent="0.25">
      <c r="A33" s="1">
        <v>30</v>
      </c>
      <c r="B33" s="3">
        <v>0.94299999999999995</v>
      </c>
      <c r="D33">
        <v>5</v>
      </c>
      <c r="E33" s="20" t="s">
        <v>69</v>
      </c>
      <c r="F33">
        <v>5</v>
      </c>
      <c r="G33" s="20" t="s">
        <v>58</v>
      </c>
    </row>
    <row r="34" spans="1:7" x14ac:dyDescent="0.25">
      <c r="A34" s="1">
        <v>31</v>
      </c>
      <c r="B34" s="3">
        <v>0.95699999999999996</v>
      </c>
      <c r="D34">
        <v>5</v>
      </c>
      <c r="E34" s="20" t="s">
        <v>69</v>
      </c>
      <c r="F34">
        <v>5</v>
      </c>
    </row>
    <row r="35" spans="1:7" x14ac:dyDescent="0.25">
      <c r="A35" s="1">
        <v>32</v>
      </c>
      <c r="B35" s="3">
        <v>0.97199999999999998</v>
      </c>
      <c r="D35">
        <v>5</v>
      </c>
      <c r="E35" s="20" t="s">
        <v>69</v>
      </c>
      <c r="F35">
        <v>5</v>
      </c>
    </row>
    <row r="36" spans="1:7" x14ac:dyDescent="0.25">
      <c r="A36" s="1">
        <v>33</v>
      </c>
      <c r="B36" s="3">
        <v>0.98599999999999999</v>
      </c>
      <c r="D36">
        <v>5</v>
      </c>
      <c r="E36" s="20" t="s">
        <v>69</v>
      </c>
      <c r="F36">
        <v>5</v>
      </c>
    </row>
    <row r="37" spans="1:7" x14ac:dyDescent="0.25">
      <c r="A37" s="11">
        <v>34</v>
      </c>
      <c r="B37" s="15">
        <v>1</v>
      </c>
      <c r="C37" s="10"/>
      <c r="D37" s="21" t="s">
        <v>58</v>
      </c>
      <c r="E37" s="21" t="s">
        <v>58</v>
      </c>
      <c r="F37" s="21" t="s">
        <v>58</v>
      </c>
      <c r="G37" s="21"/>
    </row>
  </sheetData>
  <mergeCells count="2">
    <mergeCell ref="B1:B2"/>
    <mergeCell ref="A1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6"/>
  <sheetViews>
    <sheetView zoomScaleNormal="100" workbookViewId="0">
      <selection activeCell="P9" sqref="P9"/>
    </sheetView>
  </sheetViews>
  <sheetFormatPr defaultRowHeight="15" x14ac:dyDescent="0.25"/>
  <cols>
    <col min="1" max="1" width="9.7109375" customWidth="1"/>
    <col min="2" max="3" width="9.28515625" customWidth="1"/>
    <col min="4" max="4" width="7.28515625" customWidth="1"/>
    <col min="5" max="6" width="7.7109375" customWidth="1"/>
    <col min="7" max="7" width="10.42578125" customWidth="1"/>
    <col min="8" max="8" width="9" customWidth="1"/>
    <col min="9" max="9" width="11.42578125" customWidth="1"/>
    <col min="10" max="10" width="1.42578125" customWidth="1"/>
    <col min="11" max="11" width="6.140625" customWidth="1"/>
    <col min="12" max="12" width="6.7109375" customWidth="1"/>
    <col min="13" max="13" width="6.28515625" customWidth="1"/>
    <col min="14" max="14" width="1.42578125" customWidth="1"/>
    <col min="15" max="15" width="7" customWidth="1"/>
    <col min="16" max="16" width="6.5703125" customWidth="1"/>
    <col min="17" max="17" width="1.42578125" customWidth="1"/>
    <col min="18" max="18" width="21.42578125" customWidth="1"/>
  </cols>
  <sheetData>
    <row r="1" spans="1:18" x14ac:dyDescent="0.25">
      <c r="K1" s="112" t="s">
        <v>77</v>
      </c>
      <c r="L1" s="112"/>
      <c r="M1" s="112"/>
      <c r="N1" s="41"/>
      <c r="O1" s="112" t="s">
        <v>78</v>
      </c>
      <c r="P1" s="112"/>
      <c r="Q1" s="42"/>
    </row>
    <row r="2" spans="1:18" ht="45" x14ac:dyDescent="0.25">
      <c r="A2" s="24" t="s">
        <v>0</v>
      </c>
      <c r="B2" s="24" t="s">
        <v>86</v>
      </c>
      <c r="C2" s="24" t="s">
        <v>84</v>
      </c>
      <c r="D2" s="24" t="s">
        <v>2</v>
      </c>
      <c r="E2" s="24" t="s">
        <v>3</v>
      </c>
      <c r="F2" s="64" t="s">
        <v>89</v>
      </c>
      <c r="G2" s="24" t="s">
        <v>85</v>
      </c>
      <c r="H2" s="24" t="s">
        <v>87</v>
      </c>
      <c r="I2" s="24" t="s">
        <v>6</v>
      </c>
      <c r="J2" s="24"/>
      <c r="K2" s="24" t="s">
        <v>79</v>
      </c>
      <c r="L2" s="24" t="s">
        <v>80</v>
      </c>
      <c r="M2" s="24" t="s">
        <v>83</v>
      </c>
      <c r="N2" s="24"/>
      <c r="O2" s="24" t="s">
        <v>81</v>
      </c>
      <c r="P2" s="24" t="s">
        <v>82</v>
      </c>
      <c r="Q2" s="24"/>
      <c r="R2" s="24" t="s">
        <v>70</v>
      </c>
    </row>
    <row r="3" spans="1:18" x14ac:dyDescent="0.25">
      <c r="A3" s="35">
        <v>1</v>
      </c>
      <c r="B3" s="47">
        <v>0</v>
      </c>
      <c r="C3" s="37">
        <f>B3*100</f>
        <v>0</v>
      </c>
      <c r="D3" s="36">
        <f>'Airfoil &amp; Chord Properties'!C2</f>
        <v>5.694</v>
      </c>
      <c r="E3" s="36">
        <f>'Airfoil &amp; Chord Properties'!D2</f>
        <v>13.308</v>
      </c>
      <c r="F3" s="36">
        <f>RADIANS(E3)</f>
        <v>0.23226841685540536</v>
      </c>
      <c r="G3" s="47">
        <f>'Airfoil &amp; Chord Properties'!E2</f>
        <v>0.5</v>
      </c>
      <c r="H3" s="52">
        <f>D3*G3</f>
        <v>2.847</v>
      </c>
      <c r="I3" s="49">
        <f>'Airfoil &amp; Chord Properties'!G2</f>
        <v>1</v>
      </c>
      <c r="J3" s="49"/>
      <c r="K3" s="44"/>
      <c r="L3" s="36">
        <f>'Laminate Schedule'!D4/1000</f>
        <v>0</v>
      </c>
      <c r="M3" s="36">
        <f>'Laminate Schedule'!C4/1000</f>
        <v>0.16</v>
      </c>
      <c r="N3" s="44"/>
      <c r="O3" s="44"/>
      <c r="P3" s="44"/>
      <c r="Q3" s="44"/>
      <c r="R3" s="43"/>
    </row>
    <row r="4" spans="1:18" x14ac:dyDescent="0.25">
      <c r="A4" s="35">
        <v>2</v>
      </c>
      <c r="B4" s="47">
        <v>5.0000000000000001E-3</v>
      </c>
      <c r="C4" s="37">
        <f t="shared" ref="C4:C36" si="0">B4*100</f>
        <v>0.5</v>
      </c>
      <c r="D4" s="36">
        <f>'Airfoil &amp; Chord Properties'!C3</f>
        <v>5.694</v>
      </c>
      <c r="E4" s="36">
        <f>'Airfoil &amp; Chord Properties'!D3</f>
        <v>13.308</v>
      </c>
      <c r="F4" s="36">
        <f t="shared" ref="F4:F8" si="1">RADIANS(E4)</f>
        <v>0.23226841685540536</v>
      </c>
      <c r="G4" s="47">
        <f>'Airfoil &amp; Chord Properties'!E3</f>
        <v>0.5</v>
      </c>
      <c r="H4" s="52">
        <f t="shared" ref="H4:H36" si="2">D4*G4</f>
        <v>2.847</v>
      </c>
      <c r="I4" s="49">
        <f>'Airfoil &amp; Chord Properties'!G3</f>
        <v>1</v>
      </c>
      <c r="J4" s="49"/>
      <c r="K4" s="44"/>
      <c r="L4" s="36">
        <f>'Laminate Schedule'!D5/1000</f>
        <v>1E-3</v>
      </c>
      <c r="M4" s="36">
        <f>'Laminate Schedule'!C5/1000</f>
        <v>0.14000000000000001</v>
      </c>
      <c r="N4" s="44"/>
      <c r="O4" s="44"/>
      <c r="P4" s="44"/>
      <c r="Q4" s="44"/>
      <c r="R4" s="43"/>
    </row>
    <row r="5" spans="1:18" x14ac:dyDescent="0.25">
      <c r="A5" s="35">
        <v>3</v>
      </c>
      <c r="B5" s="47">
        <v>7.0000000000000001E-3</v>
      </c>
      <c r="C5" s="37">
        <f t="shared" si="0"/>
        <v>0.70000000000000007</v>
      </c>
      <c r="D5" s="36">
        <f>'Airfoil &amp; Chord Properties'!C4</f>
        <v>5.694</v>
      </c>
      <c r="E5" s="36">
        <f>'Airfoil &amp; Chord Properties'!D4</f>
        <v>13.308</v>
      </c>
      <c r="F5" s="36">
        <f t="shared" si="1"/>
        <v>0.23226841685540536</v>
      </c>
      <c r="G5" s="47">
        <f>'Airfoil &amp; Chord Properties'!E4</f>
        <v>0.5</v>
      </c>
      <c r="H5" s="52">
        <f t="shared" si="2"/>
        <v>2.847</v>
      </c>
      <c r="I5" s="49">
        <f>'Airfoil &amp; Chord Properties'!G4</f>
        <v>0.99250000000000005</v>
      </c>
      <c r="J5" s="49"/>
      <c r="K5" s="44"/>
      <c r="L5" s="36">
        <f>'Laminate Schedule'!D6/1000</f>
        <v>2E-3</v>
      </c>
      <c r="M5" s="36">
        <f>'Laminate Schedule'!C6/1000</f>
        <v>0.12</v>
      </c>
      <c r="N5" s="44"/>
      <c r="O5" s="44"/>
      <c r="P5" s="44"/>
      <c r="Q5" s="44"/>
      <c r="R5" s="43"/>
    </row>
    <row r="6" spans="1:18" x14ac:dyDescent="0.25">
      <c r="A6" s="35">
        <v>4</v>
      </c>
      <c r="B6" s="47">
        <v>8.9999999999999993E-3</v>
      </c>
      <c r="C6" s="37">
        <f t="shared" si="0"/>
        <v>0.89999999999999991</v>
      </c>
      <c r="D6" s="36">
        <f>'Airfoil &amp; Chord Properties'!C5</f>
        <v>5.694</v>
      </c>
      <c r="E6" s="36">
        <f>'Airfoil &amp; Chord Properties'!D5</f>
        <v>13.308</v>
      </c>
      <c r="F6" s="36">
        <f t="shared" si="1"/>
        <v>0.23226841685540536</v>
      </c>
      <c r="G6" s="47">
        <f>'Airfoil &amp; Chord Properties'!E5</f>
        <v>0.5</v>
      </c>
      <c r="H6" s="52">
        <f t="shared" si="2"/>
        <v>2.847</v>
      </c>
      <c r="I6" s="49">
        <f>'Airfoil &amp; Chord Properties'!G5</f>
        <v>0.98499999999999999</v>
      </c>
      <c r="J6" s="49"/>
      <c r="K6" s="44"/>
      <c r="L6" s="36">
        <f>'Laminate Schedule'!D7/1000</f>
        <v>3.0000000000000001E-3</v>
      </c>
      <c r="M6" s="36">
        <f>'Laminate Schedule'!C7/1000</f>
        <v>0.1</v>
      </c>
      <c r="N6" s="44"/>
      <c r="O6" s="44"/>
      <c r="P6" s="44"/>
      <c r="Q6" s="44"/>
      <c r="R6" s="43"/>
    </row>
    <row r="7" spans="1:18" x14ac:dyDescent="0.25">
      <c r="A7" s="35">
        <v>5</v>
      </c>
      <c r="B7" s="47">
        <v>1.0999999999999999E-2</v>
      </c>
      <c r="C7" s="37">
        <f t="shared" si="0"/>
        <v>1.0999999999999999</v>
      </c>
      <c r="D7" s="36">
        <f>'Airfoil &amp; Chord Properties'!C6</f>
        <v>5.694</v>
      </c>
      <c r="E7" s="36">
        <f>'Airfoil &amp; Chord Properties'!D6</f>
        <v>13.308</v>
      </c>
      <c r="F7" s="36">
        <f t="shared" si="1"/>
        <v>0.23226841685540536</v>
      </c>
      <c r="G7" s="47">
        <f>'Airfoil &amp; Chord Properties'!E6</f>
        <v>0.5</v>
      </c>
      <c r="H7" s="52">
        <f t="shared" si="2"/>
        <v>2.847</v>
      </c>
      <c r="I7" s="49">
        <f>'Airfoil &amp; Chord Properties'!G6</f>
        <v>0.97750000000000004</v>
      </c>
      <c r="J7" s="49"/>
      <c r="K7" s="44"/>
      <c r="L7" s="36">
        <f>'Laminate Schedule'!D8/1000</f>
        <v>4.0000000000000001E-3</v>
      </c>
      <c r="M7" s="36">
        <f>'Laminate Schedule'!C8/1000</f>
        <v>0.08</v>
      </c>
      <c r="N7" s="44"/>
      <c r="O7" s="44"/>
      <c r="P7" s="44"/>
      <c r="Q7" s="44"/>
      <c r="R7" s="43"/>
    </row>
    <row r="8" spans="1:18" x14ac:dyDescent="0.25">
      <c r="A8" s="35">
        <v>6</v>
      </c>
      <c r="B8" s="47">
        <v>1.2999999999999999E-2</v>
      </c>
      <c r="C8" s="37">
        <f t="shared" si="0"/>
        <v>1.3</v>
      </c>
      <c r="D8" s="36">
        <f>'Airfoil &amp; Chord Properties'!C7</f>
        <v>5.694</v>
      </c>
      <c r="E8" s="36">
        <f>'Airfoil &amp; Chord Properties'!D7</f>
        <v>13.308</v>
      </c>
      <c r="F8" s="36">
        <f t="shared" si="1"/>
        <v>0.23226841685540536</v>
      </c>
      <c r="G8" s="47">
        <f>'Airfoil &amp; Chord Properties'!E7</f>
        <v>0.5</v>
      </c>
      <c r="H8" s="52">
        <f t="shared" si="2"/>
        <v>2.847</v>
      </c>
      <c r="I8" s="49">
        <f>'Airfoil &amp; Chord Properties'!G7</f>
        <v>0.97</v>
      </c>
      <c r="J8" s="49"/>
      <c r="K8" s="44"/>
      <c r="L8" s="36">
        <f>'Laminate Schedule'!D9/1000</f>
        <v>0.01</v>
      </c>
      <c r="M8" s="36">
        <f>'Laminate Schedule'!C9/1000</f>
        <v>7.0000000000000007E-2</v>
      </c>
      <c r="N8" s="44"/>
      <c r="O8" s="44"/>
      <c r="P8" s="44"/>
      <c r="Q8" s="44"/>
      <c r="R8" s="43"/>
    </row>
    <row r="9" spans="1:18" x14ac:dyDescent="0.25">
      <c r="A9" s="31">
        <v>7</v>
      </c>
      <c r="B9" s="54">
        <v>2.4E-2</v>
      </c>
      <c r="C9" s="55">
        <f t="shared" si="0"/>
        <v>2.4</v>
      </c>
      <c r="D9" s="56">
        <f>'Airfoil &amp; Chord Properties'!C8</f>
        <v>5.7919999999999998</v>
      </c>
      <c r="E9" s="56">
        <f>'Airfoil &amp; Chord Properties'!D8</f>
        <v>13.308</v>
      </c>
      <c r="F9" s="56">
        <f>RADIANS(E9)</f>
        <v>0.23226841685540536</v>
      </c>
      <c r="G9" s="57">
        <f>'Airfoil &amp; Chord Properties'!E8</f>
        <v>0.499</v>
      </c>
      <c r="H9" s="59">
        <f t="shared" si="2"/>
        <v>2.8902079999999999</v>
      </c>
      <c r="I9" s="58">
        <f>'Airfoil &amp; Chord Properties'!G8</f>
        <v>0.93100000000000005</v>
      </c>
      <c r="J9" s="60"/>
      <c r="K9" s="34">
        <v>1.5</v>
      </c>
      <c r="L9" s="32">
        <f>'Laminate Schedule'!D10/1000</f>
        <v>1.2999999999999999E-2</v>
      </c>
      <c r="M9" s="32">
        <f>'Laminate Schedule'!C10/1000</f>
        <v>6.3E-2</v>
      </c>
      <c r="N9" s="26"/>
      <c r="O9" s="34">
        <v>8.5999999999999993E-2</v>
      </c>
      <c r="P9" s="32">
        <f>D9*I9</f>
        <v>5.3923519999999998</v>
      </c>
      <c r="Q9" s="3"/>
      <c r="R9" s="9" t="s">
        <v>71</v>
      </c>
    </row>
    <row r="10" spans="1:18" x14ac:dyDescent="0.25">
      <c r="A10" s="31">
        <v>8</v>
      </c>
      <c r="B10" s="54">
        <v>2.5999999999999999E-2</v>
      </c>
      <c r="C10" s="55">
        <f t="shared" si="0"/>
        <v>2.6</v>
      </c>
      <c r="D10" s="56">
        <f>'Airfoil &amp; Chord Properties'!C9</f>
        <v>5.8109999999999999</v>
      </c>
      <c r="E10" s="56">
        <f>'Airfoil &amp; Chord Properties'!D9</f>
        <v>13.308</v>
      </c>
      <c r="F10" s="56">
        <f t="shared" ref="F10:F32" si="3">RADIANS(E10)</f>
        <v>0.23226841685540536</v>
      </c>
      <c r="G10" s="57">
        <f>'Airfoil &amp; Chord Properties'!E9</f>
        <v>0.498</v>
      </c>
      <c r="H10" s="59">
        <f t="shared" si="2"/>
        <v>2.893878</v>
      </c>
      <c r="I10" s="58">
        <f>'Airfoil &amp; Chord Properties'!G9</f>
        <v>0.92500000000000004</v>
      </c>
      <c r="J10" s="51"/>
      <c r="K10" s="34">
        <v>1.5</v>
      </c>
      <c r="L10" s="32">
        <f>'Laminate Schedule'!D11/1000</f>
        <v>1.2999999999999999E-2</v>
      </c>
      <c r="M10" s="32">
        <f>'Laminate Schedule'!C11/1000</f>
        <v>5.5E-2</v>
      </c>
      <c r="O10" s="34">
        <v>8.5999999999999993E-2</v>
      </c>
      <c r="P10" s="32">
        <f t="shared" ref="P10:P32" si="4">D10*I10</f>
        <v>5.3751750000000005</v>
      </c>
      <c r="Q10" s="3"/>
      <c r="R10" s="9"/>
    </row>
    <row r="11" spans="1:18" x14ac:dyDescent="0.25">
      <c r="A11" s="31">
        <v>9</v>
      </c>
      <c r="B11" s="54">
        <v>4.7E-2</v>
      </c>
      <c r="C11" s="55">
        <f t="shared" si="0"/>
        <v>4.7</v>
      </c>
      <c r="D11" s="56">
        <f>'Airfoil &amp; Chord Properties'!C10</f>
        <v>6.0579999999999998</v>
      </c>
      <c r="E11" s="56">
        <f>'Airfoil &amp; Chord Properties'!D10</f>
        <v>13.308</v>
      </c>
      <c r="F11" s="56">
        <f t="shared" si="3"/>
        <v>0.23226841685540536</v>
      </c>
      <c r="G11" s="57">
        <f>'Airfoil &amp; Chord Properties'!E10</f>
        <v>0.48299999999999998</v>
      </c>
      <c r="H11" s="59">
        <f t="shared" si="2"/>
        <v>2.9260139999999999</v>
      </c>
      <c r="I11" s="58">
        <f>'Airfoil &amp; Chord Properties'!G10</f>
        <v>0.84</v>
      </c>
      <c r="J11" s="51"/>
      <c r="K11" s="34">
        <v>1.5</v>
      </c>
      <c r="L11" s="32">
        <f>'Laminate Schedule'!D12/1000</f>
        <v>0.02</v>
      </c>
      <c r="M11" s="32">
        <f>'Laminate Schedule'!C12/1000</f>
        <v>0.04</v>
      </c>
      <c r="O11" s="34">
        <v>8.5999999999999993E-2</v>
      </c>
      <c r="P11" s="32">
        <f t="shared" si="4"/>
        <v>5.0887199999999995</v>
      </c>
      <c r="Q11" s="3"/>
      <c r="R11" s="9"/>
    </row>
    <row r="12" spans="1:18" x14ac:dyDescent="0.25">
      <c r="A12" s="31">
        <v>10</v>
      </c>
      <c r="B12" s="54">
        <v>6.8000000000000005E-2</v>
      </c>
      <c r="C12" s="55">
        <f t="shared" si="0"/>
        <v>6.8000000000000007</v>
      </c>
      <c r="D12" s="56">
        <f>'Airfoil &amp; Chord Properties'!C11</f>
        <v>6.3040000000000003</v>
      </c>
      <c r="E12" s="56">
        <f>'Airfoil &amp; Chord Properties'!D11</f>
        <v>13.308</v>
      </c>
      <c r="F12" s="56">
        <f t="shared" si="3"/>
        <v>0.23226841685540536</v>
      </c>
      <c r="G12" s="57">
        <f>'Airfoil &amp; Chord Properties'!E11</f>
        <v>0.46800000000000003</v>
      </c>
      <c r="H12" s="59">
        <f t="shared" si="2"/>
        <v>2.9502720000000004</v>
      </c>
      <c r="I12" s="58">
        <f>'Airfoil &amp; Chord Properties'!G11</f>
        <v>0.76</v>
      </c>
      <c r="J12" s="51"/>
      <c r="K12" s="34">
        <v>1.5</v>
      </c>
      <c r="L12" s="32">
        <f>'Laminate Schedule'!D13/1000</f>
        <v>0.03</v>
      </c>
      <c r="M12" s="32">
        <f>'Laminate Schedule'!C13/1000</f>
        <v>2.5000000000000001E-2</v>
      </c>
      <c r="O12" s="34">
        <v>8.5999999999999993E-2</v>
      </c>
      <c r="P12" s="32">
        <f t="shared" si="4"/>
        <v>4.7910400000000006</v>
      </c>
      <c r="Q12" s="3"/>
      <c r="R12" s="9"/>
    </row>
    <row r="13" spans="1:18" x14ac:dyDescent="0.25">
      <c r="A13" s="31">
        <v>11</v>
      </c>
      <c r="B13" s="54">
        <v>8.8999999999999996E-2</v>
      </c>
      <c r="C13" s="55">
        <f t="shared" si="0"/>
        <v>8.9</v>
      </c>
      <c r="D13" s="56">
        <f>'Airfoil &amp; Chord Properties'!C12</f>
        <v>6.5510000000000002</v>
      </c>
      <c r="E13" s="56">
        <f>'Airfoil &amp; Chord Properties'!D12</f>
        <v>13.308</v>
      </c>
      <c r="F13" s="56">
        <f t="shared" si="3"/>
        <v>0.23226841685540536</v>
      </c>
      <c r="G13" s="57">
        <f>'Airfoil &amp; Chord Properties'!E12</f>
        <v>0.45300000000000001</v>
      </c>
      <c r="H13" s="59">
        <f t="shared" si="2"/>
        <v>2.967603</v>
      </c>
      <c r="I13" s="58">
        <f>'Airfoil &amp; Chord Properties'!G12</f>
        <v>0.68</v>
      </c>
      <c r="J13" s="51"/>
      <c r="K13" s="34">
        <v>1.5</v>
      </c>
      <c r="L13" s="32">
        <f>'Laminate Schedule'!D14/1000</f>
        <v>5.0999999999999997E-2</v>
      </c>
      <c r="M13" s="32">
        <f>'Laminate Schedule'!C14/1000</f>
        <v>1.4999999999999999E-2</v>
      </c>
      <c r="O13" s="34">
        <v>8.5999999999999993E-2</v>
      </c>
      <c r="P13" s="32">
        <f t="shared" si="4"/>
        <v>4.4546800000000006</v>
      </c>
      <c r="Q13" s="3"/>
      <c r="R13" s="9" t="s">
        <v>75</v>
      </c>
    </row>
    <row r="14" spans="1:18" x14ac:dyDescent="0.25">
      <c r="A14" s="31">
        <v>12</v>
      </c>
      <c r="B14" s="54">
        <v>0.114</v>
      </c>
      <c r="C14" s="55">
        <f t="shared" si="0"/>
        <v>11.4</v>
      </c>
      <c r="D14" s="56">
        <f>'Airfoil &amp; Chord Properties'!C13</f>
        <v>6.835</v>
      </c>
      <c r="E14" s="56">
        <f>'Airfoil &amp; Chord Properties'!D13</f>
        <v>13.308</v>
      </c>
      <c r="F14" s="56">
        <f t="shared" si="3"/>
        <v>0.23226841685540536</v>
      </c>
      <c r="G14" s="57">
        <f>'Airfoil &amp; Chord Properties'!E13</f>
        <v>0.41</v>
      </c>
      <c r="H14" s="59">
        <f t="shared" si="2"/>
        <v>2.8023499999999997</v>
      </c>
      <c r="I14" s="58">
        <f>'Airfoil &amp; Chord Properties'!G13</f>
        <v>0.6</v>
      </c>
      <c r="J14" s="51"/>
      <c r="K14" s="34">
        <v>1.5</v>
      </c>
      <c r="L14" s="32">
        <f>'Laminate Schedule'!D15/1000</f>
        <v>6.8000000000000005E-2</v>
      </c>
      <c r="M14" s="32">
        <f>'Laminate Schedule'!C15/1000</f>
        <v>5.0000000000000001E-3</v>
      </c>
      <c r="O14" s="34">
        <v>8.5999999999999993E-2</v>
      </c>
      <c r="P14" s="32">
        <f t="shared" si="4"/>
        <v>4.101</v>
      </c>
      <c r="Q14" s="3"/>
      <c r="R14" s="9"/>
    </row>
    <row r="15" spans="1:18" x14ac:dyDescent="0.25">
      <c r="A15" s="31">
        <v>13</v>
      </c>
      <c r="B15" s="54">
        <v>0.14599999999999999</v>
      </c>
      <c r="C15" s="55">
        <f t="shared" si="0"/>
        <v>14.6</v>
      </c>
      <c r="D15" s="56">
        <f>'Airfoil &amp; Chord Properties'!C14</f>
        <v>7.2149999999999999</v>
      </c>
      <c r="E15" s="56">
        <f>'Airfoil &amp; Chord Properties'!D14</f>
        <v>13.308</v>
      </c>
      <c r="F15" s="56">
        <f t="shared" si="3"/>
        <v>0.23226841685540536</v>
      </c>
      <c r="G15" s="57">
        <f>'Airfoil &amp; Chord Properties'!E14</f>
        <v>0.4</v>
      </c>
      <c r="H15" s="59">
        <f t="shared" si="2"/>
        <v>2.8860000000000001</v>
      </c>
      <c r="I15" s="58">
        <f>'Airfoil &amp; Chord Properties'!G14</f>
        <v>0.51</v>
      </c>
      <c r="J15" s="51"/>
      <c r="K15" s="34">
        <v>1.5</v>
      </c>
      <c r="L15" s="32">
        <f>'Laminate Schedule'!D16/1000</f>
        <v>9.4E-2</v>
      </c>
      <c r="M15" s="65">
        <v>0</v>
      </c>
      <c r="O15" s="34">
        <v>8.5999999999999993E-2</v>
      </c>
      <c r="P15" s="32">
        <f t="shared" si="4"/>
        <v>3.6796500000000001</v>
      </c>
      <c r="Q15" s="3"/>
      <c r="R15" s="9" t="s">
        <v>74</v>
      </c>
    </row>
    <row r="16" spans="1:18" x14ac:dyDescent="0.25">
      <c r="A16" s="31">
        <v>14</v>
      </c>
      <c r="B16" s="54">
        <v>0.16300000000000001</v>
      </c>
      <c r="C16" s="55">
        <f t="shared" si="0"/>
        <v>16.3</v>
      </c>
      <c r="D16" s="56">
        <f>'Airfoil &amp; Chord Properties'!C15</f>
        <v>7.4039999999999999</v>
      </c>
      <c r="E16" s="56">
        <f>'Airfoil &amp; Chord Properties'!D15</f>
        <v>13.177</v>
      </c>
      <c r="F16" s="56">
        <f t="shared" si="3"/>
        <v>0.22998203553529278</v>
      </c>
      <c r="G16" s="57">
        <f>'Airfoil &amp; Chord Properties'!E15</f>
        <v>0.39</v>
      </c>
      <c r="H16" s="59">
        <f t="shared" si="2"/>
        <v>2.8875600000000001</v>
      </c>
      <c r="I16" s="58">
        <f>'Airfoil &amp; Chord Properties'!G15</f>
        <v>0.47</v>
      </c>
      <c r="J16" s="51"/>
      <c r="K16" s="34">
        <v>1.5</v>
      </c>
      <c r="L16" s="32">
        <f>'Laminate Schedule'!D17/1000</f>
        <v>0.111</v>
      </c>
      <c r="M16" s="65">
        <v>0</v>
      </c>
      <c r="O16" s="34">
        <v>8.5999999999999993E-2</v>
      </c>
      <c r="P16" s="32">
        <f t="shared" si="4"/>
        <v>3.4798799999999996</v>
      </c>
      <c r="Q16" s="3"/>
      <c r="R16" s="9"/>
    </row>
    <row r="17" spans="1:18" x14ac:dyDescent="0.25">
      <c r="A17" s="31">
        <v>15</v>
      </c>
      <c r="B17" s="54">
        <v>0.17899999999999999</v>
      </c>
      <c r="C17" s="55">
        <f t="shared" si="0"/>
        <v>17.899999999999999</v>
      </c>
      <c r="D17" s="56">
        <f>'Airfoil &amp; Chord Properties'!C16</f>
        <v>7.5519999999999996</v>
      </c>
      <c r="E17" s="56">
        <f>'Airfoil &amp; Chord Properties'!D16</f>
        <v>13.045999999999999</v>
      </c>
      <c r="F17" s="56">
        <f t="shared" si="3"/>
        <v>0.22769565421518023</v>
      </c>
      <c r="G17" s="57">
        <f>'Airfoil &amp; Chord Properties'!E16</f>
        <v>0.38</v>
      </c>
      <c r="H17" s="59">
        <f t="shared" si="2"/>
        <v>2.8697599999999999</v>
      </c>
      <c r="I17" s="58">
        <f>'Airfoil &amp; Chord Properties'!G16</f>
        <v>0.435</v>
      </c>
      <c r="J17" s="51"/>
      <c r="K17" s="34">
        <v>1.5</v>
      </c>
      <c r="L17" s="32">
        <f>'Laminate Schedule'!D18/1000</f>
        <v>0.11899999999999999</v>
      </c>
      <c r="M17" s="65">
        <v>0</v>
      </c>
      <c r="O17" s="34">
        <v>8.5999999999999993E-2</v>
      </c>
      <c r="P17" s="32">
        <f t="shared" si="4"/>
        <v>3.2851199999999996</v>
      </c>
      <c r="Q17" s="3"/>
      <c r="R17" s="9"/>
    </row>
    <row r="18" spans="1:18" x14ac:dyDescent="0.25">
      <c r="A18" s="31">
        <v>16</v>
      </c>
      <c r="B18" s="54">
        <v>0.19500000000000001</v>
      </c>
      <c r="C18" s="55">
        <f t="shared" si="0"/>
        <v>19.5</v>
      </c>
      <c r="D18" s="56">
        <f>'Airfoil &amp; Chord Properties'!C17</f>
        <v>7.6280000000000001</v>
      </c>
      <c r="E18" s="56">
        <f>'Airfoil &amp; Chord Properties'!D17</f>
        <v>12.914999999999999</v>
      </c>
      <c r="F18" s="56">
        <f t="shared" si="3"/>
        <v>0.22540927289506765</v>
      </c>
      <c r="G18" s="57">
        <f>'Airfoil &amp; Chord Properties'!E17</f>
        <v>0.378</v>
      </c>
      <c r="H18" s="59">
        <f t="shared" si="2"/>
        <v>2.8833839999999999</v>
      </c>
      <c r="I18" s="58">
        <f>'Airfoil &amp; Chord Properties'!G17</f>
        <v>0.40500000000000003</v>
      </c>
      <c r="J18" s="51"/>
      <c r="K18" s="34">
        <v>1.5</v>
      </c>
      <c r="L18" s="32">
        <f>'Laminate Schedule'!D19/1000</f>
        <v>0.13600000000000001</v>
      </c>
      <c r="M18" s="65">
        <v>0</v>
      </c>
      <c r="O18" s="34">
        <v>8.5999999999999993E-2</v>
      </c>
      <c r="P18" s="32">
        <f t="shared" si="4"/>
        <v>3.0893400000000004</v>
      </c>
      <c r="Q18" s="3"/>
      <c r="R18" s="9" t="s">
        <v>76</v>
      </c>
    </row>
    <row r="19" spans="1:18" x14ac:dyDescent="0.25">
      <c r="A19" s="31">
        <v>17</v>
      </c>
      <c r="B19" s="54">
        <v>0.222</v>
      </c>
      <c r="C19" s="55">
        <f t="shared" si="0"/>
        <v>22.2</v>
      </c>
      <c r="D19" s="56">
        <f>'Airfoil &amp; Chord Properties'!C18</f>
        <v>7.585</v>
      </c>
      <c r="E19" s="56">
        <f>'Airfoil &amp; Chord Properties'!D18</f>
        <v>12.132999999999999</v>
      </c>
      <c r="F19" s="56">
        <f t="shared" si="3"/>
        <v>0.21176079814447199</v>
      </c>
      <c r="G19" s="57">
        <f>'Airfoil &amp; Chord Properties'!E18</f>
        <v>0.377</v>
      </c>
      <c r="H19" s="59">
        <f t="shared" si="2"/>
        <v>2.8595449999999998</v>
      </c>
      <c r="I19" s="58">
        <f>'Airfoil &amp; Chord Properties'!G18</f>
        <v>0.38</v>
      </c>
      <c r="J19" s="51"/>
      <c r="K19" s="34">
        <v>1.5</v>
      </c>
      <c r="L19" s="32">
        <f>'Laminate Schedule'!D20/1000</f>
        <v>0.13600000000000001</v>
      </c>
      <c r="M19" s="65">
        <v>0</v>
      </c>
      <c r="O19" s="34">
        <v>8.5999999999999993E-2</v>
      </c>
      <c r="P19" s="32">
        <f t="shared" si="4"/>
        <v>2.8822999999999999</v>
      </c>
      <c r="Q19" s="3"/>
      <c r="R19" s="9"/>
    </row>
    <row r="20" spans="1:18" x14ac:dyDescent="0.25">
      <c r="A20" s="31">
        <v>18</v>
      </c>
      <c r="B20" s="54">
        <v>0.249</v>
      </c>
      <c r="C20" s="55">
        <f t="shared" si="0"/>
        <v>24.9</v>
      </c>
      <c r="D20" s="56">
        <f>'Airfoil &amp; Chord Properties'!C19</f>
        <v>7.4880000000000004</v>
      </c>
      <c r="E20" s="56">
        <f>'Airfoil &amp; Chord Properties'!D19</f>
        <v>11.35</v>
      </c>
      <c r="F20" s="56">
        <f t="shared" si="3"/>
        <v>0.1980948701013564</v>
      </c>
      <c r="G20" s="57">
        <f>'Airfoil &amp; Chord Properties'!E19</f>
        <v>0.375</v>
      </c>
      <c r="H20" s="59">
        <f t="shared" si="2"/>
        <v>2.8080000000000003</v>
      </c>
      <c r="I20" s="58">
        <f>'Airfoil &amp; Chord Properties'!G19</f>
        <v>0.36</v>
      </c>
      <c r="J20" s="51"/>
      <c r="K20" s="34">
        <v>1.5</v>
      </c>
      <c r="L20" s="32">
        <f>'Laminate Schedule'!D21/1000</f>
        <v>0.13600000000000001</v>
      </c>
      <c r="M20" s="65">
        <v>0</v>
      </c>
      <c r="O20" s="34">
        <v>8.5999999999999993E-2</v>
      </c>
      <c r="P20" s="32">
        <f t="shared" si="4"/>
        <v>2.6956799999999999</v>
      </c>
      <c r="Q20" s="3"/>
      <c r="R20" s="9"/>
    </row>
    <row r="21" spans="1:18" x14ac:dyDescent="0.25">
      <c r="A21" s="31">
        <v>19</v>
      </c>
      <c r="B21" s="54">
        <v>0.27600000000000002</v>
      </c>
      <c r="C21" s="55">
        <f t="shared" si="0"/>
        <v>27.6</v>
      </c>
      <c r="D21" s="56">
        <f>'Airfoil &amp; Chord Properties'!C20</f>
        <v>7.3470000000000004</v>
      </c>
      <c r="E21" s="56">
        <f>'Airfoil &amp; Chord Properties'!D20</f>
        <v>10.568</v>
      </c>
      <c r="F21" s="56">
        <f t="shared" si="3"/>
        <v>0.18444639535076074</v>
      </c>
      <c r="G21" s="57">
        <f>'Airfoil &amp; Chord Properties'!E20</f>
        <v>0.375</v>
      </c>
      <c r="H21" s="59">
        <f t="shared" si="2"/>
        <v>2.755125</v>
      </c>
      <c r="I21" s="58">
        <f>'Airfoil &amp; Chord Properties'!G20</f>
        <v>0.34</v>
      </c>
      <c r="J21" s="51"/>
      <c r="K21" s="34">
        <v>1.5</v>
      </c>
      <c r="L21" s="32">
        <f>'Laminate Schedule'!D22/1000</f>
        <v>0.128</v>
      </c>
      <c r="M21" s="65">
        <v>0</v>
      </c>
      <c r="O21" s="34">
        <v>8.5999999999999993E-2</v>
      </c>
      <c r="P21" s="32">
        <f t="shared" si="4"/>
        <v>2.4979800000000005</v>
      </c>
      <c r="Q21" s="3"/>
      <c r="R21" s="9"/>
    </row>
    <row r="22" spans="1:18" x14ac:dyDescent="0.25">
      <c r="A22" s="31">
        <v>20</v>
      </c>
      <c r="B22" s="54">
        <v>0.35799999999999998</v>
      </c>
      <c r="C22" s="55">
        <f t="shared" si="0"/>
        <v>35.799999999999997</v>
      </c>
      <c r="D22" s="56">
        <f>'Airfoil &amp; Chord Properties'!C21</f>
        <v>6.923</v>
      </c>
      <c r="E22" s="56">
        <f>'Airfoil &amp; Chord Properties'!D21</f>
        <v>9.1660000000000004</v>
      </c>
      <c r="F22" s="56">
        <f t="shared" si="3"/>
        <v>0.15997687923780024</v>
      </c>
      <c r="G22" s="57">
        <f>'Airfoil &amp; Chord Properties'!E21</f>
        <v>0.375</v>
      </c>
      <c r="H22" s="59">
        <f t="shared" si="2"/>
        <v>2.5961249999999998</v>
      </c>
      <c r="I22" s="58">
        <f>'Airfoil &amp; Chord Properties'!G21</f>
        <v>0.3</v>
      </c>
      <c r="J22" s="51"/>
      <c r="K22" s="34">
        <v>1.5</v>
      </c>
      <c r="L22" s="32">
        <f>'Laminate Schedule'!D23/1000</f>
        <v>0.11899999999999999</v>
      </c>
      <c r="M22" s="65">
        <v>0</v>
      </c>
      <c r="O22" s="34">
        <v>8.5999999999999993E-2</v>
      </c>
      <c r="P22" s="32">
        <f t="shared" si="4"/>
        <v>2.0768999999999997</v>
      </c>
      <c r="Q22" s="3"/>
      <c r="R22" s="9"/>
    </row>
    <row r="23" spans="1:18" x14ac:dyDescent="0.25">
      <c r="A23" s="31">
        <v>21</v>
      </c>
      <c r="B23" s="54">
        <v>0.439</v>
      </c>
      <c r="C23" s="55">
        <f t="shared" si="0"/>
        <v>43.9</v>
      </c>
      <c r="D23" s="56">
        <f>'Airfoil &amp; Chord Properties'!C22</f>
        <v>6.4290000000000003</v>
      </c>
      <c r="E23" s="56">
        <f>'Airfoil &amp; Chord Properties'!D22</f>
        <v>7.6879999999999997</v>
      </c>
      <c r="F23" s="56">
        <f t="shared" si="3"/>
        <v>0.13418091289332404</v>
      </c>
      <c r="G23" s="57">
        <f>'Airfoil &amp; Chord Properties'!E22</f>
        <v>0.375</v>
      </c>
      <c r="H23" s="59">
        <f t="shared" si="2"/>
        <v>2.4108749999999999</v>
      </c>
      <c r="I23" s="58">
        <f>'Airfoil &amp; Chord Properties'!G22</f>
        <v>0.26</v>
      </c>
      <c r="J23" s="51"/>
      <c r="K23" s="34">
        <v>1.5</v>
      </c>
      <c r="L23" s="32">
        <f>'Laminate Schedule'!D24/1000</f>
        <v>0.111</v>
      </c>
      <c r="M23" s="65">
        <v>0</v>
      </c>
      <c r="O23" s="34">
        <v>8.5999999999999993E-2</v>
      </c>
      <c r="P23" s="32">
        <f t="shared" si="4"/>
        <v>1.67154</v>
      </c>
      <c r="Q23" s="3"/>
      <c r="R23" s="9"/>
    </row>
    <row r="24" spans="1:18" x14ac:dyDescent="0.25">
      <c r="A24" s="31">
        <v>22</v>
      </c>
      <c r="B24" s="54">
        <v>0.52</v>
      </c>
      <c r="C24" s="55">
        <f t="shared" si="0"/>
        <v>52</v>
      </c>
      <c r="D24" s="56">
        <f>'Airfoil &amp; Chord Properties'!C23</f>
        <v>5.915</v>
      </c>
      <c r="E24" s="56">
        <f>'Airfoil &amp; Chord Properties'!D23</f>
        <v>6.18</v>
      </c>
      <c r="F24" s="56">
        <f t="shared" si="3"/>
        <v>0.10786134777324956</v>
      </c>
      <c r="G24" s="57">
        <f>'Airfoil &amp; Chord Properties'!E23</f>
        <v>0.375</v>
      </c>
      <c r="H24" s="59">
        <f t="shared" si="2"/>
        <v>2.2181250000000001</v>
      </c>
      <c r="I24" s="58">
        <f>'Airfoil &amp; Chord Properties'!G23</f>
        <v>0.23</v>
      </c>
      <c r="J24" s="51"/>
      <c r="K24" s="34">
        <v>1.5</v>
      </c>
      <c r="L24" s="32">
        <f>'Laminate Schedule'!D25/1000</f>
        <v>0.10199999999999999</v>
      </c>
      <c r="M24" s="65">
        <v>0</v>
      </c>
      <c r="O24" s="34">
        <v>8.5999999999999993E-2</v>
      </c>
      <c r="P24" s="32">
        <f t="shared" si="4"/>
        <v>1.3604500000000002</v>
      </c>
      <c r="Q24" s="3"/>
      <c r="R24" s="9"/>
    </row>
    <row r="25" spans="1:18" x14ac:dyDescent="0.25">
      <c r="A25" s="31">
        <v>23</v>
      </c>
      <c r="B25" s="54">
        <v>0.60199999999999998</v>
      </c>
      <c r="C25" s="55">
        <f t="shared" si="0"/>
        <v>60.199999999999996</v>
      </c>
      <c r="D25" s="56">
        <f>'Airfoil &amp; Chord Properties'!C24</f>
        <v>5.4169999999999998</v>
      </c>
      <c r="E25" s="56">
        <f>'Airfoil &amp; Chord Properties'!D24</f>
        <v>4.7430000000000003</v>
      </c>
      <c r="F25" s="56">
        <f t="shared" si="3"/>
        <v>8.2780966422091054E-2</v>
      </c>
      <c r="G25" s="57">
        <f>'Airfoil &amp; Chord Properties'!E24</f>
        <v>0.375</v>
      </c>
      <c r="H25" s="59">
        <f t="shared" si="2"/>
        <v>2.0313749999999997</v>
      </c>
      <c r="I25" s="58">
        <f>'Airfoil &amp; Chord Properties'!G24</f>
        <v>0.21</v>
      </c>
      <c r="J25" s="51"/>
      <c r="K25" s="34">
        <v>1.5</v>
      </c>
      <c r="L25" s="32">
        <f>'Laminate Schedule'!D26/1000</f>
        <v>8.5000000000000006E-2</v>
      </c>
      <c r="M25" s="65">
        <v>0</v>
      </c>
      <c r="O25" s="34">
        <v>8.5999999999999993E-2</v>
      </c>
      <c r="P25" s="32">
        <f t="shared" si="4"/>
        <v>1.13757</v>
      </c>
      <c r="Q25" s="3"/>
      <c r="R25" s="9" t="s">
        <v>73</v>
      </c>
    </row>
    <row r="26" spans="1:18" x14ac:dyDescent="0.25">
      <c r="A26" s="31">
        <v>24</v>
      </c>
      <c r="B26" s="54">
        <v>0.66700000000000004</v>
      </c>
      <c r="C26" s="55">
        <f t="shared" si="0"/>
        <v>66.7</v>
      </c>
      <c r="D26" s="56">
        <f>'Airfoil &amp; Chord Properties'!C25</f>
        <v>5.0190000000000001</v>
      </c>
      <c r="E26" s="56">
        <f>'Airfoil &amp; Chord Properties'!D25</f>
        <v>3.633</v>
      </c>
      <c r="F26" s="56">
        <f t="shared" si="3"/>
        <v>6.3407811724953994E-2</v>
      </c>
      <c r="G26" s="57">
        <f>'Airfoil &amp; Chord Properties'!E25</f>
        <v>0.375</v>
      </c>
      <c r="H26" s="59">
        <f t="shared" si="2"/>
        <v>1.882125</v>
      </c>
      <c r="I26" s="58">
        <f>'Airfoil &amp; Chord Properties'!G25</f>
        <v>0.19</v>
      </c>
      <c r="J26" s="51"/>
      <c r="K26" s="34">
        <v>1.5</v>
      </c>
      <c r="L26" s="32">
        <f>'Laminate Schedule'!D27/1000</f>
        <v>6.8000000000000005E-2</v>
      </c>
      <c r="M26" s="65">
        <v>0</v>
      </c>
      <c r="O26" s="34">
        <v>8.5999999999999993E-2</v>
      </c>
      <c r="P26" s="32">
        <f t="shared" si="4"/>
        <v>0.95361000000000007</v>
      </c>
      <c r="Q26" s="3"/>
      <c r="R26" s="9"/>
    </row>
    <row r="27" spans="1:18" x14ac:dyDescent="0.25">
      <c r="A27" s="31">
        <v>25</v>
      </c>
      <c r="B27" s="54">
        <v>0.68300000000000005</v>
      </c>
      <c r="C27" s="55">
        <f t="shared" si="0"/>
        <v>68.300000000000011</v>
      </c>
      <c r="D27" s="56">
        <f>'Airfoil &amp; Chord Properties'!C26</f>
        <v>4.92</v>
      </c>
      <c r="E27" s="56">
        <f>'Airfoil &amp; Chord Properties'!D26</f>
        <v>3.383</v>
      </c>
      <c r="F27" s="56">
        <f t="shared" si="3"/>
        <v>5.9044488594968171E-2</v>
      </c>
      <c r="G27" s="57">
        <f>'Airfoil &amp; Chord Properties'!E26</f>
        <v>0.375</v>
      </c>
      <c r="H27" s="59">
        <f t="shared" si="2"/>
        <v>1.845</v>
      </c>
      <c r="I27" s="58">
        <f>'Airfoil &amp; Chord Properties'!G26</f>
        <v>0.185</v>
      </c>
      <c r="J27" s="51"/>
      <c r="K27" s="34">
        <v>1.5</v>
      </c>
      <c r="L27" s="32">
        <f>'Laminate Schedule'!D28/1000</f>
        <v>6.4000000000000001E-2</v>
      </c>
      <c r="M27" s="65">
        <v>0</v>
      </c>
      <c r="O27" s="34">
        <v>8.5999999999999993E-2</v>
      </c>
      <c r="P27" s="32">
        <f t="shared" si="4"/>
        <v>0.91020000000000001</v>
      </c>
      <c r="Q27" s="3"/>
      <c r="R27" s="9"/>
    </row>
    <row r="28" spans="1:18" x14ac:dyDescent="0.25">
      <c r="A28" s="31">
        <v>26</v>
      </c>
      <c r="B28" s="54">
        <v>0.73199999999999998</v>
      </c>
      <c r="C28" s="55">
        <f t="shared" si="0"/>
        <v>73.2</v>
      </c>
      <c r="D28" s="56">
        <f>'Airfoil &amp; Chord Properties'!C27</f>
        <v>4.6210000000000004</v>
      </c>
      <c r="E28" s="56">
        <f>'Airfoil &amp; Chord Properties'!D27</f>
        <v>2.7349999999999999</v>
      </c>
      <c r="F28" s="56">
        <f t="shared" si="3"/>
        <v>4.7734755042044913E-2</v>
      </c>
      <c r="G28" s="57">
        <f>'Airfoil &amp; Chord Properties'!E27</f>
        <v>0.375</v>
      </c>
      <c r="H28" s="59">
        <f t="shared" si="2"/>
        <v>1.7328750000000002</v>
      </c>
      <c r="I28" s="58">
        <f>'Airfoil &amp; Chord Properties'!G27</f>
        <v>0.18</v>
      </c>
      <c r="J28" s="51"/>
      <c r="K28" s="34">
        <v>1.5</v>
      </c>
      <c r="L28" s="32">
        <f>'Laminate Schedule'!D29/1000</f>
        <v>4.7E-2</v>
      </c>
      <c r="M28" s="65">
        <v>0</v>
      </c>
      <c r="O28" s="34">
        <v>8.5999999999999993E-2</v>
      </c>
      <c r="P28" s="32">
        <f t="shared" si="4"/>
        <v>0.83178000000000007</v>
      </c>
      <c r="Q28" s="3"/>
      <c r="R28" s="9"/>
    </row>
    <row r="29" spans="1:18" x14ac:dyDescent="0.25">
      <c r="A29" s="31">
        <v>27</v>
      </c>
      <c r="B29" s="54">
        <v>0.76400000000000001</v>
      </c>
      <c r="C29" s="55">
        <f t="shared" si="0"/>
        <v>76.400000000000006</v>
      </c>
      <c r="D29" s="56">
        <f>'Airfoil &amp; Chord Properties'!C28</f>
        <v>4.4219999999999997</v>
      </c>
      <c r="E29" s="56">
        <f>'Airfoil &amp; Chord Properties'!D28</f>
        <v>2.3479999999999999</v>
      </c>
      <c r="F29" s="56">
        <f t="shared" si="3"/>
        <v>4.0980330836826853E-2</v>
      </c>
      <c r="G29" s="57">
        <f>'Airfoil &amp; Chord Properties'!E28</f>
        <v>0.375</v>
      </c>
      <c r="H29" s="59">
        <f t="shared" si="2"/>
        <v>1.6582499999999998</v>
      </c>
      <c r="I29" s="58">
        <f>'Airfoil &amp; Chord Properties'!G28</f>
        <v>0.18</v>
      </c>
      <c r="J29" s="51"/>
      <c r="K29" s="34">
        <v>1.5</v>
      </c>
      <c r="L29" s="32">
        <f>'Laminate Schedule'!D30/1000</f>
        <v>3.4000000000000002E-2</v>
      </c>
      <c r="M29" s="65">
        <v>0</v>
      </c>
      <c r="O29" s="34">
        <v>8.5999999999999993E-2</v>
      </c>
      <c r="P29" s="32">
        <f t="shared" si="4"/>
        <v>0.79595999999999989</v>
      </c>
      <c r="Q29" s="3"/>
      <c r="R29" s="9"/>
    </row>
    <row r="30" spans="1:18" x14ac:dyDescent="0.25">
      <c r="A30" s="31">
        <v>28</v>
      </c>
      <c r="B30" s="54">
        <v>0.84599999999999997</v>
      </c>
      <c r="C30" s="55">
        <f t="shared" si="0"/>
        <v>84.6</v>
      </c>
      <c r="D30" s="56">
        <f>'Airfoil &amp; Chord Properties'!C29</f>
        <v>3.9249999999999998</v>
      </c>
      <c r="E30" s="56">
        <f>'Airfoil &amp; Chord Properties'!D29</f>
        <v>1.38</v>
      </c>
      <c r="F30" s="56">
        <f t="shared" si="3"/>
        <v>2.4085543677521744E-2</v>
      </c>
      <c r="G30" s="57">
        <f>'Airfoil &amp; Chord Properties'!E29</f>
        <v>0.375</v>
      </c>
      <c r="H30" s="59">
        <f t="shared" si="2"/>
        <v>1.4718749999999998</v>
      </c>
      <c r="I30" s="58">
        <f>'Airfoil &amp; Chord Properties'!G29</f>
        <v>0.18</v>
      </c>
      <c r="J30" s="51"/>
      <c r="K30" s="34">
        <v>1.5</v>
      </c>
      <c r="L30" s="32">
        <f>'Laminate Schedule'!D31/1000</f>
        <v>1.7000000000000001E-2</v>
      </c>
      <c r="M30" s="65">
        <v>0</v>
      </c>
      <c r="O30" s="34">
        <v>8.5999999999999993E-2</v>
      </c>
      <c r="P30" s="32">
        <f t="shared" si="4"/>
        <v>0.70649999999999991</v>
      </c>
      <c r="Q30" s="3"/>
      <c r="R30" s="9"/>
    </row>
    <row r="31" spans="1:18" x14ac:dyDescent="0.25">
      <c r="A31" s="31">
        <v>29</v>
      </c>
      <c r="B31" s="54">
        <v>0.89400000000000002</v>
      </c>
      <c r="C31" s="55">
        <f t="shared" si="0"/>
        <v>89.4</v>
      </c>
      <c r="D31" s="56">
        <f>'Airfoil &amp; Chord Properties'!C30</f>
        <v>3.6190000000000002</v>
      </c>
      <c r="E31" s="56">
        <f>'Airfoil &amp; Chord Properties'!D30</f>
        <v>0.79900000000000004</v>
      </c>
      <c r="F31" s="56">
        <f t="shared" si="3"/>
        <v>1.3945180723434694E-2</v>
      </c>
      <c r="G31" s="57">
        <f>'Airfoil &amp; Chord Properties'!E30</f>
        <v>0.375</v>
      </c>
      <c r="H31" s="59">
        <f t="shared" si="2"/>
        <v>1.3571250000000001</v>
      </c>
      <c r="I31" s="58">
        <f>'Airfoil &amp; Chord Properties'!G30</f>
        <v>0.18</v>
      </c>
      <c r="J31" s="51"/>
      <c r="K31" s="34">
        <v>1.5</v>
      </c>
      <c r="L31" s="32">
        <f>'Laminate Schedule'!D32/1000</f>
        <v>8.9999999999999993E-3</v>
      </c>
      <c r="M31" s="65">
        <v>0</v>
      </c>
      <c r="O31" s="34">
        <v>8.5999999999999993E-2</v>
      </c>
      <c r="P31" s="32">
        <f t="shared" si="4"/>
        <v>0.65142</v>
      </c>
      <c r="Q31" s="3"/>
      <c r="R31" s="9"/>
    </row>
    <row r="32" spans="1:18" x14ac:dyDescent="0.25">
      <c r="A32" s="31">
        <v>30</v>
      </c>
      <c r="B32" s="54">
        <v>0.94299999999999995</v>
      </c>
      <c r="C32" s="55">
        <f t="shared" si="0"/>
        <v>94.3</v>
      </c>
      <c r="D32" s="56">
        <f>'Airfoil &amp; Chord Properties'!C31</f>
        <v>2.8239999999999998</v>
      </c>
      <c r="E32" s="56">
        <f>'Airfoil &amp; Chord Properties'!D31</f>
        <v>0.28000000000000003</v>
      </c>
      <c r="F32" s="56">
        <f t="shared" si="3"/>
        <v>4.8869219055841231E-3</v>
      </c>
      <c r="G32" s="57">
        <f>'Airfoil &amp; Chord Properties'!E31</f>
        <v>0.375</v>
      </c>
      <c r="H32" s="59">
        <f t="shared" si="2"/>
        <v>1.0589999999999999</v>
      </c>
      <c r="I32" s="58">
        <f>'Airfoil &amp; Chord Properties'!G31</f>
        <v>0.18</v>
      </c>
      <c r="J32" s="51"/>
      <c r="K32" s="34">
        <v>1.5</v>
      </c>
      <c r="L32" s="32">
        <f>'Laminate Schedule'!D33/1000</f>
        <v>5.0000000000000001E-3</v>
      </c>
      <c r="M32" s="65">
        <v>0</v>
      </c>
      <c r="O32" s="34">
        <v>8.5999999999999993E-2</v>
      </c>
      <c r="P32" s="32">
        <f t="shared" si="4"/>
        <v>0.50831999999999999</v>
      </c>
      <c r="Q32" s="3"/>
      <c r="R32" s="9" t="s">
        <v>72</v>
      </c>
    </row>
    <row r="33" spans="1:18" x14ac:dyDescent="0.25">
      <c r="A33" s="35">
        <v>31</v>
      </c>
      <c r="B33" s="47">
        <v>0.95699999999999996</v>
      </c>
      <c r="C33" s="37">
        <f t="shared" si="0"/>
        <v>95.7</v>
      </c>
      <c r="D33" s="36">
        <f>'Airfoil &amp; Chord Properties'!C32</f>
        <v>2.375</v>
      </c>
      <c r="E33" s="36">
        <f>'Airfoil &amp; Chord Properties'!D32</f>
        <v>0.21</v>
      </c>
      <c r="F33" s="36">
        <f>RADIANS(E33)</f>
        <v>3.6651914291880921E-3</v>
      </c>
      <c r="G33" s="47">
        <f>'Airfoil &amp; Chord Properties'!E32</f>
        <v>0.375</v>
      </c>
      <c r="H33" s="52">
        <f t="shared" si="2"/>
        <v>0.890625</v>
      </c>
      <c r="I33" s="49">
        <f>'Airfoil &amp; Chord Properties'!G32</f>
        <v>0.18</v>
      </c>
      <c r="J33" s="49"/>
      <c r="K33" s="44"/>
      <c r="L33" s="36">
        <f>'Laminate Schedule'!D34/1000</f>
        <v>5.0000000000000001E-3</v>
      </c>
      <c r="M33" s="44"/>
      <c r="N33" s="44"/>
      <c r="O33" s="44"/>
      <c r="P33" s="44"/>
      <c r="Q33" s="44"/>
      <c r="R33" s="43"/>
    </row>
    <row r="34" spans="1:18" x14ac:dyDescent="0.25">
      <c r="A34" s="35">
        <v>32</v>
      </c>
      <c r="B34" s="47">
        <v>0.97199999999999998</v>
      </c>
      <c r="C34" s="37">
        <f t="shared" si="0"/>
        <v>97.2</v>
      </c>
      <c r="D34" s="36">
        <f>'Airfoil &amp; Chord Properties'!C33</f>
        <v>1.8360000000000001</v>
      </c>
      <c r="E34" s="36">
        <f>'Airfoil &amp; Chord Properties'!D33</f>
        <v>0.14000000000000001</v>
      </c>
      <c r="F34" s="36">
        <f t="shared" ref="F34:F35" si="5">RADIANS(E34)</f>
        <v>2.4434609527920616E-3</v>
      </c>
      <c r="G34" s="47">
        <f>'Airfoil &amp; Chord Properties'!E33</f>
        <v>0.375</v>
      </c>
      <c r="H34" s="52">
        <f t="shared" si="2"/>
        <v>0.6885</v>
      </c>
      <c r="I34" s="49">
        <f>'Airfoil &amp; Chord Properties'!G33</f>
        <v>0.18</v>
      </c>
      <c r="J34" s="49"/>
      <c r="K34" s="44"/>
      <c r="L34" s="36">
        <f>'Laminate Schedule'!D35/1000</f>
        <v>5.0000000000000001E-3</v>
      </c>
      <c r="M34" s="44"/>
      <c r="N34" s="44"/>
      <c r="O34" s="44"/>
      <c r="P34" s="44"/>
      <c r="Q34" s="44"/>
      <c r="R34" s="43"/>
    </row>
    <row r="35" spans="1:18" x14ac:dyDescent="0.25">
      <c r="A35" s="35">
        <v>33</v>
      </c>
      <c r="B35" s="47">
        <v>0.98599999999999999</v>
      </c>
      <c r="C35" s="37">
        <f t="shared" si="0"/>
        <v>98.6</v>
      </c>
      <c r="D35" s="36">
        <f>'Airfoil &amp; Chord Properties'!C34</f>
        <v>1.208</v>
      </c>
      <c r="E35" s="36">
        <f>'Airfoil &amp; Chord Properties'!D34</f>
        <v>7.0000000000000007E-2</v>
      </c>
      <c r="F35" s="36">
        <f t="shared" si="5"/>
        <v>1.2217304763960308E-3</v>
      </c>
      <c r="G35" s="47">
        <f>'Airfoil &amp; Chord Properties'!E34</f>
        <v>0.375</v>
      </c>
      <c r="H35" s="52">
        <f t="shared" si="2"/>
        <v>0.45299999999999996</v>
      </c>
      <c r="I35" s="49">
        <f>'Airfoil &amp; Chord Properties'!G34</f>
        <v>0.18</v>
      </c>
      <c r="J35" s="49"/>
      <c r="K35" s="44"/>
      <c r="L35" s="36">
        <f>'Laminate Schedule'!D36/1000</f>
        <v>5.0000000000000001E-3</v>
      </c>
      <c r="M35" s="44"/>
      <c r="N35" s="44"/>
      <c r="O35" s="44"/>
      <c r="P35" s="44"/>
      <c r="Q35" s="44"/>
      <c r="R35" s="43"/>
    </row>
    <row r="36" spans="1:18" x14ac:dyDescent="0.25">
      <c r="A36" s="38">
        <v>34</v>
      </c>
      <c r="B36" s="48">
        <v>1</v>
      </c>
      <c r="C36" s="40">
        <f t="shared" si="0"/>
        <v>100</v>
      </c>
      <c r="D36" s="39">
        <f>'Airfoil &amp; Chord Properties'!C35</f>
        <v>0.1</v>
      </c>
      <c r="E36" s="39">
        <f>'Airfoil &amp; Chord Properties'!D35</f>
        <v>0</v>
      </c>
      <c r="F36" s="39">
        <f>RADIANS(E36)</f>
        <v>0</v>
      </c>
      <c r="G36" s="48">
        <f>'Airfoil &amp; Chord Properties'!E35</f>
        <v>0.375</v>
      </c>
      <c r="H36" s="53">
        <f t="shared" si="2"/>
        <v>3.7500000000000006E-2</v>
      </c>
      <c r="I36" s="50">
        <f>'Airfoil &amp; Chord Properties'!G35</f>
        <v>0.18</v>
      </c>
      <c r="J36" s="50"/>
      <c r="K36" s="46"/>
      <c r="L36" s="39"/>
      <c r="M36" s="46"/>
      <c r="N36" s="46"/>
      <c r="O36" s="46"/>
      <c r="P36" s="46"/>
      <c r="Q36" s="46"/>
      <c r="R36" s="45"/>
    </row>
  </sheetData>
  <mergeCells count="2">
    <mergeCell ref="O1:P1"/>
    <mergeCell ref="K1:M1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24" sqref="I24"/>
    </sheetView>
  </sheetViews>
  <sheetFormatPr defaultRowHeight="15" x14ac:dyDescent="0.25"/>
  <cols>
    <col min="1" max="1" width="18.28515625" customWidth="1"/>
    <col min="2" max="2" width="11" customWidth="1"/>
    <col min="6" max="6" width="15.42578125" customWidth="1"/>
    <col min="8" max="8" width="10.42578125" customWidth="1"/>
    <col min="10" max="10" width="10.85546875" customWidth="1"/>
    <col min="13" max="13" width="11.140625" bestFit="1" customWidth="1"/>
  </cols>
  <sheetData>
    <row r="1" spans="1:13" x14ac:dyDescent="0.25">
      <c r="A1" s="9" t="s">
        <v>41</v>
      </c>
    </row>
    <row r="2" spans="1:13" ht="15" customHeight="1" x14ac:dyDescent="0.25">
      <c r="A2" s="114" t="s">
        <v>16</v>
      </c>
      <c r="B2" s="114"/>
      <c r="C2" s="114"/>
      <c r="D2" s="116" t="s">
        <v>27</v>
      </c>
      <c r="E2" s="116"/>
      <c r="F2" s="116"/>
      <c r="G2" s="116"/>
      <c r="H2" s="116"/>
      <c r="I2" s="116"/>
      <c r="J2" s="116"/>
      <c r="K2" s="116"/>
      <c r="L2" s="114" t="s">
        <v>35</v>
      </c>
      <c r="M2" s="113" t="s">
        <v>88</v>
      </c>
    </row>
    <row r="3" spans="1:13" x14ac:dyDescent="0.25">
      <c r="A3" s="115"/>
      <c r="B3" s="115"/>
      <c r="C3" s="115"/>
      <c r="D3" s="112" t="s">
        <v>28</v>
      </c>
      <c r="E3" s="112"/>
      <c r="F3" s="112"/>
      <c r="G3" s="112"/>
      <c r="H3" s="112" t="s">
        <v>33</v>
      </c>
      <c r="I3" s="112"/>
      <c r="J3" s="112" t="s">
        <v>34</v>
      </c>
      <c r="K3" s="112"/>
      <c r="L3" s="115"/>
      <c r="M3" s="110"/>
    </row>
    <row r="4" spans="1:13" ht="18" x14ac:dyDescent="0.35">
      <c r="A4" s="17" t="s">
        <v>17</v>
      </c>
      <c r="B4" s="17" t="s">
        <v>21</v>
      </c>
      <c r="C4" s="17" t="s">
        <v>25</v>
      </c>
      <c r="D4" s="17" t="s">
        <v>30</v>
      </c>
      <c r="E4" s="17" t="s">
        <v>29</v>
      </c>
      <c r="F4" s="18" t="s">
        <v>31</v>
      </c>
      <c r="G4" s="17" t="s">
        <v>32</v>
      </c>
      <c r="H4" s="17" t="s">
        <v>36</v>
      </c>
      <c r="I4" s="18" t="s">
        <v>37</v>
      </c>
      <c r="J4" s="17" t="s">
        <v>39</v>
      </c>
      <c r="K4" s="18" t="s">
        <v>38</v>
      </c>
      <c r="L4" s="18" t="s">
        <v>40</v>
      </c>
      <c r="M4" s="111"/>
    </row>
    <row r="5" spans="1:13" ht="18" x14ac:dyDescent="0.35">
      <c r="A5" t="s">
        <v>18</v>
      </c>
      <c r="B5" t="s">
        <v>22</v>
      </c>
      <c r="C5" s="4">
        <v>0.54</v>
      </c>
      <c r="D5" s="7">
        <v>41.8</v>
      </c>
      <c r="E5" s="7">
        <v>14</v>
      </c>
      <c r="F5" s="2">
        <v>0.28000000000000003</v>
      </c>
      <c r="G5" s="2">
        <v>2.63</v>
      </c>
      <c r="H5" s="8">
        <v>972</v>
      </c>
      <c r="I5" s="5">
        <v>2.4400000000000002E-2</v>
      </c>
      <c r="J5" s="8">
        <v>-702</v>
      </c>
      <c r="K5" s="5">
        <v>-1.5299999999999999E-2</v>
      </c>
      <c r="L5" s="8">
        <v>30</v>
      </c>
      <c r="M5" s="61">
        <v>1920</v>
      </c>
    </row>
    <row r="6" spans="1:13" ht="18" x14ac:dyDescent="0.35">
      <c r="A6" t="s">
        <v>19</v>
      </c>
      <c r="B6" t="s">
        <v>23</v>
      </c>
      <c r="C6" s="4">
        <v>0.44</v>
      </c>
      <c r="D6" s="7">
        <v>13.6</v>
      </c>
      <c r="E6" s="7">
        <v>13.3</v>
      </c>
      <c r="F6" s="2">
        <v>0.51</v>
      </c>
      <c r="G6" s="7">
        <v>11.8</v>
      </c>
      <c r="H6" s="8">
        <v>144</v>
      </c>
      <c r="I6" s="5">
        <v>2.1600000000000001E-2</v>
      </c>
      <c r="J6" s="8">
        <v>-213</v>
      </c>
      <c r="K6" s="5">
        <v>-1.7999999999999999E-2</v>
      </c>
      <c r="L6" s="6" t="s">
        <v>26</v>
      </c>
      <c r="M6" s="62">
        <v>1780</v>
      </c>
    </row>
    <row r="7" spans="1:13" ht="18" x14ac:dyDescent="0.35">
      <c r="A7" s="10" t="s">
        <v>20</v>
      </c>
      <c r="B7" s="10" t="s">
        <v>24</v>
      </c>
      <c r="C7" s="11" t="s">
        <v>26</v>
      </c>
      <c r="D7" s="12">
        <v>27.7</v>
      </c>
      <c r="E7" s="13">
        <v>13.65</v>
      </c>
      <c r="F7" s="13">
        <v>0.39</v>
      </c>
      <c r="G7" s="12">
        <v>7.2</v>
      </c>
      <c r="H7" s="14" t="s">
        <v>26</v>
      </c>
      <c r="I7" s="14" t="s">
        <v>26</v>
      </c>
      <c r="J7" s="14" t="s">
        <v>26</v>
      </c>
      <c r="K7" s="14" t="s">
        <v>26</v>
      </c>
      <c r="L7" s="14" t="s">
        <v>26</v>
      </c>
      <c r="M7" s="63">
        <f>AVERAGE(M5,M6)</f>
        <v>1850</v>
      </c>
    </row>
    <row r="8" spans="1:13" x14ac:dyDescent="0.25">
      <c r="G8" s="2"/>
    </row>
    <row r="11" spans="1:13" x14ac:dyDescent="0.25">
      <c r="A11" s="9" t="s">
        <v>42</v>
      </c>
    </row>
    <row r="12" spans="1:13" ht="18.75" x14ac:dyDescent="0.35">
      <c r="A12" s="17" t="s">
        <v>43</v>
      </c>
      <c r="B12" s="17" t="s">
        <v>30</v>
      </c>
      <c r="C12" s="17" t="s">
        <v>29</v>
      </c>
      <c r="D12" s="17" t="s">
        <v>32</v>
      </c>
      <c r="E12" s="18" t="s">
        <v>31</v>
      </c>
      <c r="F12" s="18" t="s">
        <v>44</v>
      </c>
    </row>
    <row r="13" spans="1:13" x14ac:dyDescent="0.25">
      <c r="A13" t="s">
        <v>47</v>
      </c>
      <c r="B13">
        <v>3.44</v>
      </c>
      <c r="C13">
        <v>3.44</v>
      </c>
      <c r="D13">
        <v>1.38</v>
      </c>
      <c r="E13">
        <v>0.3</v>
      </c>
      <c r="F13">
        <v>1235</v>
      </c>
    </row>
    <row r="14" spans="1:13" x14ac:dyDescent="0.25">
      <c r="A14" t="s">
        <v>45</v>
      </c>
      <c r="B14">
        <v>3.5</v>
      </c>
      <c r="C14">
        <v>3.5</v>
      </c>
      <c r="D14">
        <v>1.4</v>
      </c>
      <c r="E14">
        <v>0.3</v>
      </c>
      <c r="F14">
        <v>1100</v>
      </c>
    </row>
    <row r="15" spans="1:13" x14ac:dyDescent="0.25">
      <c r="A15" s="10" t="s">
        <v>46</v>
      </c>
      <c r="B15" s="10">
        <v>0.25600000000000001</v>
      </c>
      <c r="C15" s="10">
        <v>0.25600000000000001</v>
      </c>
      <c r="D15" s="10">
        <v>2.1999999999999999E-2</v>
      </c>
      <c r="E15" s="10">
        <v>0.3</v>
      </c>
      <c r="F15" s="10">
        <v>200</v>
      </c>
    </row>
  </sheetData>
  <mergeCells count="7">
    <mergeCell ref="M2:M4"/>
    <mergeCell ref="L2:L3"/>
    <mergeCell ref="A2:C3"/>
    <mergeCell ref="D3:G3"/>
    <mergeCell ref="D2:K2"/>
    <mergeCell ref="H3:I3"/>
    <mergeCell ref="J3:K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6"/>
  <sheetViews>
    <sheetView zoomScaleNormal="100" workbookViewId="0">
      <pane ySplit="2" topLeftCell="A3" activePane="bottomLeft" state="frozen"/>
      <selection pane="bottomLeft" activeCell="AQ25" sqref="AQ25"/>
    </sheetView>
  </sheetViews>
  <sheetFormatPr defaultRowHeight="15" x14ac:dyDescent="0.25"/>
  <cols>
    <col min="1" max="1" width="9.7109375" customWidth="1"/>
    <col min="2" max="3" width="9.28515625" customWidth="1"/>
    <col min="4" max="4" width="7.28515625" customWidth="1"/>
    <col min="5" max="6" width="7.7109375" customWidth="1"/>
    <col min="7" max="7" width="10.42578125" customWidth="1"/>
    <col min="8" max="8" width="9" customWidth="1"/>
    <col min="9" max="9" width="11.42578125" customWidth="1"/>
    <col min="10" max="10" width="1.42578125" customWidth="1"/>
    <col min="11" max="11" width="6.140625" customWidth="1"/>
    <col min="12" max="12" width="6.7109375" customWidth="1"/>
    <col min="13" max="13" width="6.28515625" customWidth="1"/>
    <col min="14" max="14" width="1.42578125" customWidth="1"/>
    <col min="15" max="15" width="7" customWidth="1"/>
    <col min="16" max="16" width="6.5703125" customWidth="1"/>
    <col min="17" max="17" width="1.42578125" customWidth="1"/>
    <col min="18" max="18" width="21.42578125" customWidth="1"/>
    <col min="19" max="19" width="20" customWidth="1"/>
    <col min="21" max="21" width="12.7109375" bestFit="1" customWidth="1"/>
    <col min="22" max="22" width="12.7109375" customWidth="1"/>
    <col min="23" max="23" width="12.140625" bestFit="1" customWidth="1"/>
    <col min="24" max="24" width="10.5703125" bestFit="1" customWidth="1"/>
    <col min="26" max="26" width="10.5703125" bestFit="1" customWidth="1"/>
  </cols>
  <sheetData>
    <row r="1" spans="1:26" x14ac:dyDescent="0.25">
      <c r="K1" s="112" t="s">
        <v>77</v>
      </c>
      <c r="L1" s="112"/>
      <c r="M1" s="112"/>
      <c r="N1" s="41"/>
      <c r="O1" s="112" t="s">
        <v>78</v>
      </c>
      <c r="P1" s="112"/>
      <c r="Q1" s="42"/>
    </row>
    <row r="2" spans="1:26" ht="60" x14ac:dyDescent="0.25">
      <c r="A2" s="66" t="s">
        <v>0</v>
      </c>
      <c r="B2" s="66" t="s">
        <v>86</v>
      </c>
      <c r="C2" s="66" t="s">
        <v>84</v>
      </c>
      <c r="D2" s="66" t="s">
        <v>2</v>
      </c>
      <c r="E2" s="66" t="s">
        <v>3</v>
      </c>
      <c r="F2" s="66" t="s">
        <v>89</v>
      </c>
      <c r="G2" s="66" t="s">
        <v>85</v>
      </c>
      <c r="H2" s="66" t="s">
        <v>87</v>
      </c>
      <c r="I2" s="66" t="s">
        <v>6</v>
      </c>
      <c r="J2" s="66"/>
      <c r="K2" s="66" t="s">
        <v>79</v>
      </c>
      <c r="L2" s="66" t="s">
        <v>80</v>
      </c>
      <c r="M2" s="66" t="s">
        <v>83</v>
      </c>
      <c r="N2" s="66"/>
      <c r="O2" s="66" t="s">
        <v>81</v>
      </c>
      <c r="P2" s="66" t="s">
        <v>82</v>
      </c>
      <c r="Q2" s="66"/>
      <c r="R2" s="66" t="s">
        <v>70</v>
      </c>
      <c r="S2" s="66" t="s">
        <v>90</v>
      </c>
      <c r="T2" s="89" t="s">
        <v>94</v>
      </c>
      <c r="U2" s="89" t="s">
        <v>100</v>
      </c>
      <c r="V2" s="89" t="s">
        <v>99</v>
      </c>
      <c r="W2" s="89" t="s">
        <v>95</v>
      </c>
      <c r="X2" s="89" t="s">
        <v>96</v>
      </c>
      <c r="Y2" s="89" t="s">
        <v>97</v>
      </c>
      <c r="Z2" s="89" t="s">
        <v>98</v>
      </c>
    </row>
    <row r="3" spans="1:26" x14ac:dyDescent="0.25">
      <c r="A3" s="35">
        <v>1</v>
      </c>
      <c r="B3" s="47">
        <v>0</v>
      </c>
      <c r="C3" s="37">
        <f>B3*100</f>
        <v>0</v>
      </c>
      <c r="D3" s="36">
        <f>'Airfoil &amp; Chord Properties'!C2</f>
        <v>5.694</v>
      </c>
      <c r="E3" s="36">
        <f>'Airfoil &amp; Chord Properties'!D2</f>
        <v>13.308</v>
      </c>
      <c r="F3" s="36">
        <f>RADIANS(E3)</f>
        <v>0.23226841685540536</v>
      </c>
      <c r="G3" s="47">
        <f>'Airfoil &amp; Chord Properties'!E2</f>
        <v>0.5</v>
      </c>
      <c r="H3" s="52">
        <f>D3*G3</f>
        <v>2.847</v>
      </c>
      <c r="I3" s="49">
        <f>'Airfoil &amp; Chord Properties'!G2</f>
        <v>1</v>
      </c>
      <c r="J3" s="49"/>
      <c r="K3" s="44"/>
      <c r="L3" s="36">
        <f>'Laminate Schedule'!D4/1000</f>
        <v>0</v>
      </c>
      <c r="M3" s="36">
        <f>'Laminate Schedule'!C4/1000</f>
        <v>0.16</v>
      </c>
      <c r="N3" s="44"/>
      <c r="O3" s="44"/>
      <c r="P3" s="44"/>
      <c r="Q3" s="44"/>
      <c r="R3" s="43"/>
      <c r="S3" s="43"/>
    </row>
    <row r="4" spans="1:26" x14ac:dyDescent="0.25">
      <c r="A4" s="35">
        <v>2</v>
      </c>
      <c r="B4" s="47">
        <v>5.0000000000000001E-3</v>
      </c>
      <c r="C4" s="37">
        <f t="shared" ref="C4:C36" si="0">B4*100</f>
        <v>0.5</v>
      </c>
      <c r="D4" s="36">
        <f>'Airfoil &amp; Chord Properties'!C3</f>
        <v>5.694</v>
      </c>
      <c r="E4" s="36">
        <f>'Airfoil &amp; Chord Properties'!D3</f>
        <v>13.308</v>
      </c>
      <c r="F4" s="36">
        <f t="shared" ref="F4:F8" si="1">RADIANS(E4)</f>
        <v>0.23226841685540536</v>
      </c>
      <c r="G4" s="47">
        <f>'Airfoil &amp; Chord Properties'!E3</f>
        <v>0.5</v>
      </c>
      <c r="H4" s="52">
        <f t="shared" ref="H4:H36" si="2">D4*G4</f>
        <v>2.847</v>
      </c>
      <c r="I4" s="49">
        <f>'Airfoil &amp; Chord Properties'!G3</f>
        <v>1</v>
      </c>
      <c r="J4" s="49"/>
      <c r="K4" s="44"/>
      <c r="L4" s="36">
        <f>'Laminate Schedule'!D5/1000</f>
        <v>1E-3</v>
      </c>
      <c r="M4" s="36">
        <f>'Laminate Schedule'!C5/1000</f>
        <v>0.14000000000000001</v>
      </c>
      <c r="N4" s="44"/>
      <c r="O4" s="44"/>
      <c r="P4" s="44"/>
      <c r="Q4" s="44"/>
      <c r="R4" s="43"/>
      <c r="S4" s="43"/>
    </row>
    <row r="5" spans="1:26" x14ac:dyDescent="0.25">
      <c r="A5" s="35">
        <v>3</v>
      </c>
      <c r="B5" s="47">
        <v>7.0000000000000001E-3</v>
      </c>
      <c r="C5" s="37">
        <f t="shared" si="0"/>
        <v>0.70000000000000007</v>
      </c>
      <c r="D5" s="36">
        <f>'Airfoil &amp; Chord Properties'!C4</f>
        <v>5.694</v>
      </c>
      <c r="E5" s="36">
        <f>'Airfoil &amp; Chord Properties'!D4</f>
        <v>13.308</v>
      </c>
      <c r="F5" s="36">
        <f t="shared" si="1"/>
        <v>0.23226841685540536</v>
      </c>
      <c r="G5" s="47">
        <f>'Airfoil &amp; Chord Properties'!E4</f>
        <v>0.5</v>
      </c>
      <c r="H5" s="52">
        <f t="shared" si="2"/>
        <v>2.847</v>
      </c>
      <c r="I5" s="49">
        <f>'Airfoil &amp; Chord Properties'!G4</f>
        <v>0.99250000000000005</v>
      </c>
      <c r="J5" s="49"/>
      <c r="K5" s="44"/>
      <c r="L5" s="36">
        <f>'Laminate Schedule'!D6/1000</f>
        <v>2E-3</v>
      </c>
      <c r="M5" s="36">
        <f>'Laminate Schedule'!C6/1000</f>
        <v>0.12</v>
      </c>
      <c r="N5" s="44"/>
      <c r="O5" s="44"/>
      <c r="P5" s="44"/>
      <c r="Q5" s="44"/>
      <c r="R5" s="43"/>
      <c r="S5" s="43"/>
    </row>
    <row r="6" spans="1:26" x14ac:dyDescent="0.25">
      <c r="A6" s="35">
        <v>4</v>
      </c>
      <c r="B6" s="47">
        <v>8.9999999999999993E-3</v>
      </c>
      <c r="C6" s="37">
        <f t="shared" si="0"/>
        <v>0.89999999999999991</v>
      </c>
      <c r="D6" s="36">
        <f>'Airfoil &amp; Chord Properties'!C5</f>
        <v>5.694</v>
      </c>
      <c r="E6" s="36">
        <f>'Airfoil &amp; Chord Properties'!D5</f>
        <v>13.308</v>
      </c>
      <c r="F6" s="36">
        <f t="shared" si="1"/>
        <v>0.23226841685540536</v>
      </c>
      <c r="G6" s="47">
        <f>'Airfoil &amp; Chord Properties'!E5</f>
        <v>0.5</v>
      </c>
      <c r="H6" s="52">
        <f t="shared" si="2"/>
        <v>2.847</v>
      </c>
      <c r="I6" s="49">
        <f>'Airfoil &amp; Chord Properties'!G5</f>
        <v>0.98499999999999999</v>
      </c>
      <c r="J6" s="49"/>
      <c r="K6" s="44"/>
      <c r="L6" s="36">
        <f>'Laminate Schedule'!D7/1000</f>
        <v>3.0000000000000001E-3</v>
      </c>
      <c r="M6" s="36">
        <f>'Laminate Schedule'!C7/1000</f>
        <v>0.1</v>
      </c>
      <c r="N6" s="44"/>
      <c r="O6" s="44"/>
      <c r="P6" s="44"/>
      <c r="Q6" s="44"/>
      <c r="R6" s="43"/>
      <c r="S6" s="43"/>
    </row>
    <row r="7" spans="1:26" x14ac:dyDescent="0.25">
      <c r="A7" s="35">
        <v>5</v>
      </c>
      <c r="B7" s="47">
        <v>1.0999999999999999E-2</v>
      </c>
      <c r="C7" s="37">
        <f t="shared" si="0"/>
        <v>1.0999999999999999</v>
      </c>
      <c r="D7" s="36">
        <f>'Airfoil &amp; Chord Properties'!C6</f>
        <v>5.694</v>
      </c>
      <c r="E7" s="36">
        <f>'Airfoil &amp; Chord Properties'!D6</f>
        <v>13.308</v>
      </c>
      <c r="F7" s="36">
        <f t="shared" si="1"/>
        <v>0.23226841685540536</v>
      </c>
      <c r="G7" s="47">
        <f>'Airfoil &amp; Chord Properties'!E6</f>
        <v>0.5</v>
      </c>
      <c r="H7" s="52">
        <f t="shared" si="2"/>
        <v>2.847</v>
      </c>
      <c r="I7" s="49">
        <f>'Airfoil &amp; Chord Properties'!G6</f>
        <v>0.97750000000000004</v>
      </c>
      <c r="J7" s="49"/>
      <c r="K7" s="44"/>
      <c r="L7" s="36">
        <f>'Laminate Schedule'!D8/1000</f>
        <v>4.0000000000000001E-3</v>
      </c>
      <c r="M7" s="36">
        <f>'Laminate Schedule'!C8/1000</f>
        <v>0.08</v>
      </c>
      <c r="N7" s="44"/>
      <c r="O7" s="44"/>
      <c r="P7" s="44"/>
      <c r="Q7" s="44"/>
      <c r="R7" s="43"/>
      <c r="S7" s="43"/>
    </row>
    <row r="8" spans="1:26" x14ac:dyDescent="0.25">
      <c r="A8" s="35">
        <v>6</v>
      </c>
      <c r="B8" s="47">
        <v>1.2999999999999999E-2</v>
      </c>
      <c r="C8" s="37">
        <f t="shared" si="0"/>
        <v>1.3</v>
      </c>
      <c r="D8" s="36">
        <f>'Airfoil &amp; Chord Properties'!C7</f>
        <v>5.694</v>
      </c>
      <c r="E8" s="36">
        <f>'Airfoil &amp; Chord Properties'!D7</f>
        <v>13.308</v>
      </c>
      <c r="F8" s="36">
        <f t="shared" si="1"/>
        <v>0.23226841685540536</v>
      </c>
      <c r="G8" s="47">
        <f>'Airfoil &amp; Chord Properties'!E7</f>
        <v>0.5</v>
      </c>
      <c r="H8" s="52">
        <f t="shared" si="2"/>
        <v>2.847</v>
      </c>
      <c r="I8" s="49">
        <f>'Airfoil &amp; Chord Properties'!G7</f>
        <v>0.97</v>
      </c>
      <c r="J8" s="49"/>
      <c r="K8" s="44"/>
      <c r="L8" s="36">
        <f>'Laminate Schedule'!D9/1000</f>
        <v>0.01</v>
      </c>
      <c r="M8" s="36">
        <f>'Laminate Schedule'!C9/1000</f>
        <v>7.0000000000000007E-2</v>
      </c>
      <c r="N8" s="44"/>
      <c r="O8" s="44"/>
      <c r="P8" s="44"/>
      <c r="Q8" s="44"/>
      <c r="R8" s="43"/>
      <c r="S8" s="43"/>
    </row>
    <row r="9" spans="1:26" x14ac:dyDescent="0.25">
      <c r="A9" s="31">
        <v>7</v>
      </c>
      <c r="B9" s="54">
        <v>2.4E-2</v>
      </c>
      <c r="C9" s="55">
        <f t="shared" si="0"/>
        <v>2.4</v>
      </c>
      <c r="D9" s="56">
        <f>'Airfoil &amp; Chord Properties'!C8</f>
        <v>5.7919999999999998</v>
      </c>
      <c r="E9" s="56">
        <f>'Airfoil &amp; Chord Properties'!D8</f>
        <v>13.308</v>
      </c>
      <c r="F9" s="56">
        <f>RADIANS(E9)</f>
        <v>0.23226841685540536</v>
      </c>
      <c r="G9" s="57">
        <f>'Airfoil &amp; Chord Properties'!E8</f>
        <v>0.499</v>
      </c>
      <c r="H9" s="59">
        <f t="shared" si="2"/>
        <v>2.8902079999999999</v>
      </c>
      <c r="I9" s="58">
        <f>'Airfoil &amp; Chord Properties'!G8</f>
        <v>0.93100000000000005</v>
      </c>
      <c r="J9" s="60"/>
      <c r="K9" s="34">
        <v>1.5</v>
      </c>
      <c r="L9" s="32">
        <f>'Laminate Schedule'!D10/1000</f>
        <v>1.2999999999999999E-2</v>
      </c>
      <c r="M9" s="32">
        <f>'Laminate Schedule'!C10/1000</f>
        <v>6.3E-2</v>
      </c>
      <c r="N9" s="26"/>
      <c r="O9" s="34">
        <v>8.5999999999999993E-2</v>
      </c>
      <c r="P9" s="32">
        <f>D9*I9-2*M9</f>
        <v>5.2663519999999995</v>
      </c>
      <c r="Q9" s="3"/>
      <c r="R9" s="9" t="s">
        <v>71</v>
      </c>
      <c r="S9" s="69" t="s">
        <v>91</v>
      </c>
      <c r="T9" s="7">
        <f t="shared" ref="T9:T32" si="3">C9-$C$9</f>
        <v>0</v>
      </c>
      <c r="U9" s="92">
        <f>T9/$T$32</f>
        <v>0</v>
      </c>
      <c r="V9" s="94">
        <f>U9</f>
        <v>0</v>
      </c>
      <c r="W9" s="3">
        <f t="shared" ref="W9:W32" si="4">L9+M9</f>
        <v>7.5999999999999998E-2</v>
      </c>
      <c r="X9" s="3">
        <f>W9</f>
        <v>7.5999999999999998E-2</v>
      </c>
      <c r="Y9">
        <v>0</v>
      </c>
      <c r="Z9" s="85">
        <v>0</v>
      </c>
    </row>
    <row r="10" spans="1:26" x14ac:dyDescent="0.25">
      <c r="A10" s="31">
        <v>8</v>
      </c>
      <c r="B10" s="54">
        <v>2.5999999999999999E-2</v>
      </c>
      <c r="C10" s="55">
        <f t="shared" si="0"/>
        <v>2.6</v>
      </c>
      <c r="D10" s="56">
        <f>'Airfoil &amp; Chord Properties'!C9</f>
        <v>5.8109999999999999</v>
      </c>
      <c r="E10" s="56">
        <f>'Airfoil &amp; Chord Properties'!D9</f>
        <v>13.308</v>
      </c>
      <c r="F10" s="56">
        <f t="shared" ref="F10:F32" si="5">RADIANS(E10)</f>
        <v>0.23226841685540536</v>
      </c>
      <c r="G10" s="57">
        <f>'Airfoil &amp; Chord Properties'!E9</f>
        <v>0.498</v>
      </c>
      <c r="H10" s="59">
        <f t="shared" si="2"/>
        <v>2.893878</v>
      </c>
      <c r="I10" s="58">
        <f>'Airfoil &amp; Chord Properties'!G9</f>
        <v>0.92500000000000004</v>
      </c>
      <c r="J10" s="51"/>
      <c r="K10" s="34">
        <v>1.5</v>
      </c>
      <c r="L10" s="32">
        <f>'Laminate Schedule'!D11/1000</f>
        <v>1.2999999999999999E-2</v>
      </c>
      <c r="M10" s="32">
        <f>'Laminate Schedule'!C11/1000</f>
        <v>5.5E-2</v>
      </c>
      <c r="O10" s="34">
        <v>8.5999999999999993E-2</v>
      </c>
      <c r="P10" s="32">
        <f>D10*I10-2*M10</f>
        <v>5.2651750000000002</v>
      </c>
      <c r="Q10" s="3"/>
      <c r="R10" s="9"/>
      <c r="S10" s="69" t="s">
        <v>91</v>
      </c>
      <c r="T10" s="7">
        <f t="shared" si="3"/>
        <v>0.20000000000000018</v>
      </c>
      <c r="U10" s="92">
        <f t="shared" ref="U10:U32" si="6">T10/$T$32</f>
        <v>2.1762785636561502E-3</v>
      </c>
      <c r="V10" s="94">
        <f t="shared" ref="V10:V21" si="7">U10</f>
        <v>2.1762785636561502E-3</v>
      </c>
      <c r="W10" s="3">
        <f t="shared" si="4"/>
        <v>6.8000000000000005E-2</v>
      </c>
      <c r="X10" s="3">
        <f t="shared" ref="X10:X32" si="8">W10</f>
        <v>6.8000000000000005E-2</v>
      </c>
      <c r="Y10">
        <f t="shared" ref="Y10:Y32" si="9">(F10-F9)/(T10-T9)</f>
        <v>0</v>
      </c>
      <c r="Z10" s="85">
        <f>Y10*X10</f>
        <v>0</v>
      </c>
    </row>
    <row r="11" spans="1:26" x14ac:dyDescent="0.25">
      <c r="A11" s="31">
        <v>9</v>
      </c>
      <c r="B11" s="54">
        <v>4.7E-2</v>
      </c>
      <c r="C11" s="55">
        <f t="shared" si="0"/>
        <v>4.7</v>
      </c>
      <c r="D11" s="56">
        <f>'Airfoil &amp; Chord Properties'!C10</f>
        <v>6.0579999999999998</v>
      </c>
      <c r="E11" s="56">
        <f>'Airfoil &amp; Chord Properties'!D10</f>
        <v>13.308</v>
      </c>
      <c r="F11" s="56">
        <f t="shared" si="5"/>
        <v>0.23226841685540536</v>
      </c>
      <c r="G11" s="57">
        <f>'Airfoil &amp; Chord Properties'!E10</f>
        <v>0.48299999999999998</v>
      </c>
      <c r="H11" s="59">
        <f t="shared" si="2"/>
        <v>2.9260139999999999</v>
      </c>
      <c r="I11" s="58">
        <f>'Airfoil &amp; Chord Properties'!G10</f>
        <v>0.84</v>
      </c>
      <c r="J11" s="51"/>
      <c r="K11" s="34">
        <v>1.5</v>
      </c>
      <c r="L11" s="32">
        <f>'Laminate Schedule'!D12/1000</f>
        <v>0.02</v>
      </c>
      <c r="M11" s="32">
        <f>'Laminate Schedule'!C12/1000</f>
        <v>0.04</v>
      </c>
      <c r="O11" s="34">
        <v>8.5999999999999993E-2</v>
      </c>
      <c r="P11" s="32">
        <f t="shared" ref="P11:P21" si="10">D11*I11-2*M11</f>
        <v>5.0087199999999994</v>
      </c>
      <c r="Q11" s="3"/>
      <c r="R11" s="9"/>
      <c r="S11" s="69" t="s">
        <v>91</v>
      </c>
      <c r="T11" s="7">
        <f t="shared" si="3"/>
        <v>2.3000000000000003</v>
      </c>
      <c r="U11" s="92">
        <f t="shared" si="6"/>
        <v>2.5027203482045707E-2</v>
      </c>
      <c r="V11" s="94">
        <f t="shared" si="7"/>
        <v>2.5027203482045707E-2</v>
      </c>
      <c r="W11" s="3">
        <f t="shared" si="4"/>
        <v>0.06</v>
      </c>
      <c r="X11" s="3">
        <f t="shared" si="8"/>
        <v>0.06</v>
      </c>
      <c r="Y11">
        <f t="shared" si="9"/>
        <v>0</v>
      </c>
      <c r="Z11" s="85">
        <f t="shared" ref="Z11:Z32" si="11">Y11*X11</f>
        <v>0</v>
      </c>
    </row>
    <row r="12" spans="1:26" x14ac:dyDescent="0.25">
      <c r="A12" s="31">
        <v>10</v>
      </c>
      <c r="B12" s="54">
        <v>6.8000000000000005E-2</v>
      </c>
      <c r="C12" s="55">
        <f t="shared" si="0"/>
        <v>6.8000000000000007</v>
      </c>
      <c r="D12" s="56">
        <f>'Airfoil &amp; Chord Properties'!C11</f>
        <v>6.3040000000000003</v>
      </c>
      <c r="E12" s="56">
        <f>'Airfoil &amp; Chord Properties'!D11</f>
        <v>13.308</v>
      </c>
      <c r="F12" s="56">
        <f t="shared" si="5"/>
        <v>0.23226841685540536</v>
      </c>
      <c r="G12" s="57">
        <f>'Airfoil &amp; Chord Properties'!E11</f>
        <v>0.46800000000000003</v>
      </c>
      <c r="H12" s="59">
        <f t="shared" si="2"/>
        <v>2.9502720000000004</v>
      </c>
      <c r="I12" s="58">
        <f>'Airfoil &amp; Chord Properties'!G11</f>
        <v>0.76</v>
      </c>
      <c r="J12" s="51"/>
      <c r="K12" s="34">
        <v>1.5</v>
      </c>
      <c r="L12" s="32">
        <f>'Laminate Schedule'!D13/1000</f>
        <v>0.03</v>
      </c>
      <c r="M12" s="32">
        <f>'Laminate Schedule'!C13/1000</f>
        <v>2.5000000000000001E-2</v>
      </c>
      <c r="O12" s="34">
        <v>8.5999999999999993E-2</v>
      </c>
      <c r="P12" s="32">
        <f t="shared" si="10"/>
        <v>4.7410400000000008</v>
      </c>
      <c r="Q12" s="3"/>
      <c r="R12" s="9"/>
      <c r="S12" s="69" t="s">
        <v>91</v>
      </c>
      <c r="T12" s="7">
        <f t="shared" si="3"/>
        <v>4.4000000000000004</v>
      </c>
      <c r="U12" s="92">
        <f t="shared" si="6"/>
        <v>4.7878128400435267E-2</v>
      </c>
      <c r="V12" s="94">
        <f t="shared" si="7"/>
        <v>4.7878128400435267E-2</v>
      </c>
      <c r="W12" s="3">
        <f t="shared" si="4"/>
        <v>5.5E-2</v>
      </c>
      <c r="X12" s="3">
        <f t="shared" si="8"/>
        <v>5.5E-2</v>
      </c>
      <c r="Y12">
        <f t="shared" si="9"/>
        <v>0</v>
      </c>
      <c r="Z12" s="85">
        <f t="shared" si="11"/>
        <v>0</v>
      </c>
    </row>
    <row r="13" spans="1:26" x14ac:dyDescent="0.25">
      <c r="A13" s="31">
        <v>11</v>
      </c>
      <c r="B13" s="54">
        <v>8.8999999999999996E-2</v>
      </c>
      <c r="C13" s="55">
        <f t="shared" si="0"/>
        <v>8.9</v>
      </c>
      <c r="D13" s="56">
        <f>'Airfoil &amp; Chord Properties'!C12</f>
        <v>6.5510000000000002</v>
      </c>
      <c r="E13" s="56">
        <f>'Airfoil &amp; Chord Properties'!D12</f>
        <v>13.308</v>
      </c>
      <c r="F13" s="56">
        <f t="shared" si="5"/>
        <v>0.23226841685540536</v>
      </c>
      <c r="G13" s="57">
        <f>'Airfoil &amp; Chord Properties'!E12</f>
        <v>0.45300000000000001</v>
      </c>
      <c r="H13" s="59">
        <f t="shared" si="2"/>
        <v>2.967603</v>
      </c>
      <c r="I13" s="58">
        <f>'Airfoil &amp; Chord Properties'!G12</f>
        <v>0.68</v>
      </c>
      <c r="J13" s="51"/>
      <c r="K13" s="34">
        <v>1.5</v>
      </c>
      <c r="L13" s="32">
        <f>'Laminate Schedule'!D14/1000</f>
        <v>5.0999999999999997E-2</v>
      </c>
      <c r="M13" s="32">
        <f>'Laminate Schedule'!C14/1000</f>
        <v>1.4999999999999999E-2</v>
      </c>
      <c r="O13" s="34">
        <v>8.5999999999999993E-2</v>
      </c>
      <c r="P13" s="32">
        <f t="shared" si="10"/>
        <v>4.4246800000000004</v>
      </c>
      <c r="Q13" s="3"/>
      <c r="R13" s="9" t="s">
        <v>75</v>
      </c>
      <c r="S13" s="69" t="s">
        <v>91</v>
      </c>
      <c r="T13" s="7">
        <f t="shared" si="3"/>
        <v>6.5</v>
      </c>
      <c r="U13" s="92">
        <f t="shared" si="6"/>
        <v>7.0729053318824814E-2</v>
      </c>
      <c r="V13" s="94">
        <f t="shared" si="7"/>
        <v>7.0729053318824814E-2</v>
      </c>
      <c r="W13" s="3">
        <f t="shared" si="4"/>
        <v>6.6000000000000003E-2</v>
      </c>
      <c r="X13" s="3">
        <f t="shared" si="8"/>
        <v>6.6000000000000003E-2</v>
      </c>
      <c r="Y13">
        <f t="shared" si="9"/>
        <v>0</v>
      </c>
      <c r="Z13" s="85">
        <f t="shared" si="11"/>
        <v>0</v>
      </c>
    </row>
    <row r="14" spans="1:26" x14ac:dyDescent="0.25">
      <c r="A14" s="31">
        <v>12</v>
      </c>
      <c r="B14" s="54">
        <v>0.114</v>
      </c>
      <c r="C14" s="55">
        <f t="shared" si="0"/>
        <v>11.4</v>
      </c>
      <c r="D14" s="56">
        <f>'Airfoil &amp; Chord Properties'!C13</f>
        <v>6.835</v>
      </c>
      <c r="E14" s="56">
        <f>'Airfoil &amp; Chord Properties'!D13</f>
        <v>13.308</v>
      </c>
      <c r="F14" s="56">
        <f t="shared" si="5"/>
        <v>0.23226841685540536</v>
      </c>
      <c r="G14" s="57">
        <f>'Airfoil &amp; Chord Properties'!E13</f>
        <v>0.41</v>
      </c>
      <c r="H14" s="59">
        <f t="shared" si="2"/>
        <v>2.8023499999999997</v>
      </c>
      <c r="I14" s="58">
        <f>'Airfoil &amp; Chord Properties'!G13</f>
        <v>0.6</v>
      </c>
      <c r="J14" s="51"/>
      <c r="K14" s="34">
        <v>1.5</v>
      </c>
      <c r="L14" s="32">
        <f>'Laminate Schedule'!D15/1000</f>
        <v>6.8000000000000005E-2</v>
      </c>
      <c r="M14" s="32">
        <f>'Laminate Schedule'!C15/1000</f>
        <v>5.0000000000000001E-3</v>
      </c>
      <c r="O14" s="34">
        <v>8.5999999999999993E-2</v>
      </c>
      <c r="P14" s="32">
        <f t="shared" si="10"/>
        <v>4.0910000000000002</v>
      </c>
      <c r="Q14" s="3"/>
      <c r="R14" s="9"/>
      <c r="S14" s="69" t="s">
        <v>91</v>
      </c>
      <c r="T14" s="7">
        <f t="shared" si="3"/>
        <v>9</v>
      </c>
      <c r="U14" s="92">
        <f t="shared" si="6"/>
        <v>9.7932535364526674E-2</v>
      </c>
      <c r="V14" s="94">
        <f t="shared" si="7"/>
        <v>9.7932535364526674E-2</v>
      </c>
      <c r="W14" s="3">
        <f t="shared" si="4"/>
        <v>7.3000000000000009E-2</v>
      </c>
      <c r="X14" s="3">
        <f t="shared" si="8"/>
        <v>7.3000000000000009E-2</v>
      </c>
      <c r="Y14">
        <f t="shared" si="9"/>
        <v>0</v>
      </c>
      <c r="Z14" s="85">
        <f t="shared" si="11"/>
        <v>0</v>
      </c>
    </row>
    <row r="15" spans="1:26" x14ac:dyDescent="0.25">
      <c r="A15" s="31">
        <v>13</v>
      </c>
      <c r="B15" s="54">
        <v>0.14599999999999999</v>
      </c>
      <c r="C15" s="55">
        <f t="shared" si="0"/>
        <v>14.6</v>
      </c>
      <c r="D15" s="56">
        <f>'Airfoil &amp; Chord Properties'!C14</f>
        <v>7.2149999999999999</v>
      </c>
      <c r="E15" s="56">
        <f>'Airfoil &amp; Chord Properties'!D14</f>
        <v>13.308</v>
      </c>
      <c r="F15" s="56">
        <f t="shared" si="5"/>
        <v>0.23226841685540536</v>
      </c>
      <c r="G15" s="57">
        <f>'Airfoil &amp; Chord Properties'!E14</f>
        <v>0.4</v>
      </c>
      <c r="H15" s="59">
        <f t="shared" si="2"/>
        <v>2.8860000000000001</v>
      </c>
      <c r="I15" s="58">
        <f>'Airfoil &amp; Chord Properties'!G14</f>
        <v>0.51</v>
      </c>
      <c r="J15" s="51"/>
      <c r="K15" s="34">
        <v>1.5</v>
      </c>
      <c r="L15" s="32">
        <f>'Laminate Schedule'!D16/1000</f>
        <v>9.4E-2</v>
      </c>
      <c r="M15" s="65">
        <v>0</v>
      </c>
      <c r="O15" s="34">
        <v>8.5999999999999993E-2</v>
      </c>
      <c r="P15" s="32">
        <f t="shared" si="10"/>
        <v>3.6796500000000001</v>
      </c>
      <c r="Q15" s="3"/>
      <c r="R15" s="9" t="s">
        <v>74</v>
      </c>
      <c r="S15" s="69" t="s">
        <v>91</v>
      </c>
      <c r="T15" s="7">
        <f t="shared" si="3"/>
        <v>12.2</v>
      </c>
      <c r="U15" s="92">
        <f t="shared" si="6"/>
        <v>0.13275299238302504</v>
      </c>
      <c r="V15" s="94">
        <f t="shared" si="7"/>
        <v>0.13275299238302504</v>
      </c>
      <c r="W15" s="3">
        <f t="shared" si="4"/>
        <v>9.4E-2</v>
      </c>
      <c r="X15" s="3">
        <f>O15</f>
        <v>8.5999999999999993E-2</v>
      </c>
      <c r="Y15">
        <f t="shared" si="9"/>
        <v>0</v>
      </c>
      <c r="Z15" s="85">
        <f t="shared" si="11"/>
        <v>0</v>
      </c>
    </row>
    <row r="16" spans="1:26" x14ac:dyDescent="0.25">
      <c r="A16" s="31">
        <v>14</v>
      </c>
      <c r="B16" s="54">
        <v>0.16300000000000001</v>
      </c>
      <c r="C16" s="55">
        <f t="shared" si="0"/>
        <v>16.3</v>
      </c>
      <c r="D16" s="56">
        <f>'Airfoil &amp; Chord Properties'!C15</f>
        <v>7.4039999999999999</v>
      </c>
      <c r="E16" s="56">
        <f>'Airfoil &amp; Chord Properties'!D15</f>
        <v>13.177</v>
      </c>
      <c r="F16" s="56">
        <f t="shared" si="5"/>
        <v>0.22998203553529278</v>
      </c>
      <c r="G16" s="57">
        <f>'Airfoil &amp; Chord Properties'!E15</f>
        <v>0.39</v>
      </c>
      <c r="H16" s="59">
        <f t="shared" si="2"/>
        <v>2.8875600000000001</v>
      </c>
      <c r="I16" s="58">
        <f>'Airfoil &amp; Chord Properties'!G15</f>
        <v>0.47</v>
      </c>
      <c r="J16" s="51"/>
      <c r="K16" s="34">
        <v>1.5</v>
      </c>
      <c r="L16" s="32">
        <f>'Laminate Schedule'!D17/1000</f>
        <v>0.111</v>
      </c>
      <c r="M16" s="65">
        <v>0</v>
      </c>
      <c r="O16" s="34">
        <v>8.5999999999999993E-2</v>
      </c>
      <c r="P16" s="32">
        <f t="shared" si="10"/>
        <v>3.4798799999999996</v>
      </c>
      <c r="Q16" s="3"/>
      <c r="R16" s="9"/>
      <c r="S16" s="69" t="s">
        <v>91</v>
      </c>
      <c r="T16" s="7">
        <f t="shared" si="3"/>
        <v>13.9</v>
      </c>
      <c r="U16" s="92">
        <f t="shared" si="6"/>
        <v>0.15125136017410229</v>
      </c>
      <c r="V16" s="94">
        <f t="shared" si="7"/>
        <v>0.15125136017410229</v>
      </c>
      <c r="W16" s="3">
        <f t="shared" si="4"/>
        <v>0.111</v>
      </c>
      <c r="X16" s="3">
        <f t="shared" ref="X16:X24" si="12">O16</f>
        <v>8.5999999999999993E-2</v>
      </c>
      <c r="Y16">
        <f t="shared" si="9"/>
        <v>-1.3449301883015163E-3</v>
      </c>
      <c r="Z16" s="85">
        <f t="shared" si="11"/>
        <v>-1.156639961939304E-4</v>
      </c>
    </row>
    <row r="17" spans="1:26" x14ac:dyDescent="0.25">
      <c r="A17" s="31">
        <v>15</v>
      </c>
      <c r="B17" s="54">
        <v>0.17899999999999999</v>
      </c>
      <c r="C17" s="55">
        <f t="shared" si="0"/>
        <v>17.899999999999999</v>
      </c>
      <c r="D17" s="56">
        <f>'Airfoil &amp; Chord Properties'!C16</f>
        <v>7.5519999999999996</v>
      </c>
      <c r="E17" s="56">
        <f>'Airfoil &amp; Chord Properties'!D16</f>
        <v>13.045999999999999</v>
      </c>
      <c r="F17" s="56">
        <f t="shared" si="5"/>
        <v>0.22769565421518023</v>
      </c>
      <c r="G17" s="57">
        <f>'Airfoil &amp; Chord Properties'!E16</f>
        <v>0.38</v>
      </c>
      <c r="H17" s="59">
        <f t="shared" si="2"/>
        <v>2.8697599999999999</v>
      </c>
      <c r="I17" s="58">
        <f>'Airfoil &amp; Chord Properties'!G16</f>
        <v>0.435</v>
      </c>
      <c r="J17" s="51"/>
      <c r="K17" s="34">
        <v>1.5</v>
      </c>
      <c r="L17" s="32">
        <f>'Laminate Schedule'!D18/1000</f>
        <v>0.11899999999999999</v>
      </c>
      <c r="M17" s="65">
        <v>0</v>
      </c>
      <c r="O17" s="34">
        <v>8.5999999999999993E-2</v>
      </c>
      <c r="P17" s="32">
        <f t="shared" si="10"/>
        <v>3.2851199999999996</v>
      </c>
      <c r="Q17" s="3"/>
      <c r="R17" s="9"/>
      <c r="S17" s="69" t="s">
        <v>91</v>
      </c>
      <c r="T17" s="7">
        <f t="shared" si="3"/>
        <v>15.499999999999998</v>
      </c>
      <c r="U17" s="92">
        <f>T17/$T$32</f>
        <v>0.16866158868335146</v>
      </c>
      <c r="V17" s="94">
        <f t="shared" si="7"/>
        <v>0.16866158868335146</v>
      </c>
      <c r="W17" s="3">
        <f t="shared" si="4"/>
        <v>0.11899999999999999</v>
      </c>
      <c r="X17" s="3">
        <f t="shared" si="12"/>
        <v>8.5999999999999993E-2</v>
      </c>
      <c r="Y17">
        <f t="shared" si="9"/>
        <v>-1.4289883250703467E-3</v>
      </c>
      <c r="Z17" s="85">
        <f t="shared" si="11"/>
        <v>-1.228929959560498E-4</v>
      </c>
    </row>
    <row r="18" spans="1:26" x14ac:dyDescent="0.25">
      <c r="A18" s="31">
        <v>16</v>
      </c>
      <c r="B18" s="54">
        <v>0.19500000000000001</v>
      </c>
      <c r="C18" s="55">
        <f t="shared" si="0"/>
        <v>19.5</v>
      </c>
      <c r="D18" s="56">
        <f>'Airfoil &amp; Chord Properties'!C17</f>
        <v>7.6280000000000001</v>
      </c>
      <c r="E18" s="56">
        <f>'Airfoil &amp; Chord Properties'!D17</f>
        <v>12.914999999999999</v>
      </c>
      <c r="F18" s="56">
        <f t="shared" si="5"/>
        <v>0.22540927289506765</v>
      </c>
      <c r="G18" s="57">
        <f>'Airfoil &amp; Chord Properties'!E17</f>
        <v>0.378</v>
      </c>
      <c r="H18" s="59">
        <f t="shared" si="2"/>
        <v>2.8833839999999999</v>
      </c>
      <c r="I18" s="58">
        <f>'Airfoil &amp; Chord Properties'!G17</f>
        <v>0.40500000000000003</v>
      </c>
      <c r="J18" s="51"/>
      <c r="K18" s="34">
        <v>1.5</v>
      </c>
      <c r="L18" s="32">
        <f>'Laminate Schedule'!D19/1000</f>
        <v>0.13600000000000001</v>
      </c>
      <c r="M18" s="65">
        <v>0</v>
      </c>
      <c r="O18" s="34">
        <v>8.5999999999999993E-2</v>
      </c>
      <c r="P18" s="32">
        <f t="shared" si="10"/>
        <v>3.0893400000000004</v>
      </c>
      <c r="Q18" s="3"/>
      <c r="R18" s="9" t="s">
        <v>76</v>
      </c>
      <c r="S18" s="69" t="s">
        <v>91</v>
      </c>
      <c r="T18" s="7">
        <f t="shared" si="3"/>
        <v>17.100000000000001</v>
      </c>
      <c r="U18" s="92">
        <f t="shared" si="6"/>
        <v>0.18607181719260069</v>
      </c>
      <c r="V18" s="94">
        <f t="shared" si="7"/>
        <v>0.18607181719260069</v>
      </c>
      <c r="W18" s="3">
        <f t="shared" si="4"/>
        <v>0.13600000000000001</v>
      </c>
      <c r="X18" s="3">
        <f t="shared" si="12"/>
        <v>8.5999999999999993E-2</v>
      </c>
      <c r="Y18">
        <f t="shared" si="9"/>
        <v>-1.4289883250703593E-3</v>
      </c>
      <c r="Z18" s="85">
        <f t="shared" si="11"/>
        <v>-1.2289299595605088E-4</v>
      </c>
    </row>
    <row r="19" spans="1:26" x14ac:dyDescent="0.25">
      <c r="A19" s="31">
        <v>17</v>
      </c>
      <c r="B19" s="54">
        <v>0.222</v>
      </c>
      <c r="C19" s="55">
        <f t="shared" si="0"/>
        <v>22.2</v>
      </c>
      <c r="D19" s="56">
        <f>'Airfoil &amp; Chord Properties'!C18</f>
        <v>7.585</v>
      </c>
      <c r="E19" s="56">
        <f>'Airfoil &amp; Chord Properties'!D18</f>
        <v>12.132999999999999</v>
      </c>
      <c r="F19" s="56">
        <f t="shared" si="5"/>
        <v>0.21176079814447199</v>
      </c>
      <c r="G19" s="57">
        <f>'Airfoil &amp; Chord Properties'!E18</f>
        <v>0.377</v>
      </c>
      <c r="H19" s="59">
        <f t="shared" si="2"/>
        <v>2.8595449999999998</v>
      </c>
      <c r="I19" s="58">
        <f>'Airfoil &amp; Chord Properties'!G18</f>
        <v>0.38</v>
      </c>
      <c r="J19" s="51"/>
      <c r="K19" s="34">
        <v>1.5</v>
      </c>
      <c r="L19" s="32">
        <f>'Laminate Schedule'!D20/1000</f>
        <v>0.13600000000000001</v>
      </c>
      <c r="M19" s="65">
        <v>0</v>
      </c>
      <c r="O19" s="34">
        <v>8.5999999999999993E-2</v>
      </c>
      <c r="P19" s="32">
        <f t="shared" si="10"/>
        <v>2.8822999999999999</v>
      </c>
      <c r="Q19" s="3"/>
      <c r="R19" s="9"/>
      <c r="S19" s="69" t="s">
        <v>91</v>
      </c>
      <c r="T19" s="7">
        <f t="shared" si="3"/>
        <v>19.8</v>
      </c>
      <c r="U19" s="92">
        <f t="shared" si="6"/>
        <v>0.21545157780195867</v>
      </c>
      <c r="V19" s="94">
        <f t="shared" si="7"/>
        <v>0.21545157780195867</v>
      </c>
      <c r="W19" s="3">
        <f t="shared" si="4"/>
        <v>0.13600000000000001</v>
      </c>
      <c r="X19" s="3">
        <f t="shared" si="12"/>
        <v>8.5999999999999993E-2</v>
      </c>
      <c r="Y19">
        <f t="shared" si="9"/>
        <v>-5.0549906483687655E-3</v>
      </c>
      <c r="Z19" s="85">
        <f t="shared" si="11"/>
        <v>-4.347291957597138E-4</v>
      </c>
    </row>
    <row r="20" spans="1:26" x14ac:dyDescent="0.25">
      <c r="A20" s="31">
        <v>18</v>
      </c>
      <c r="B20" s="54">
        <v>0.249</v>
      </c>
      <c r="C20" s="55">
        <f t="shared" si="0"/>
        <v>24.9</v>
      </c>
      <c r="D20" s="56">
        <f>'Airfoil &amp; Chord Properties'!C19</f>
        <v>7.4880000000000004</v>
      </c>
      <c r="E20" s="56">
        <f>'Airfoil &amp; Chord Properties'!D19</f>
        <v>11.35</v>
      </c>
      <c r="F20" s="56">
        <f t="shared" si="5"/>
        <v>0.1980948701013564</v>
      </c>
      <c r="G20" s="57">
        <f>'Airfoil &amp; Chord Properties'!E19</f>
        <v>0.375</v>
      </c>
      <c r="H20" s="59">
        <f t="shared" si="2"/>
        <v>2.8080000000000003</v>
      </c>
      <c r="I20" s="58">
        <f>'Airfoil &amp; Chord Properties'!G19</f>
        <v>0.36</v>
      </c>
      <c r="J20" s="51"/>
      <c r="K20" s="34">
        <v>1.5</v>
      </c>
      <c r="L20" s="32">
        <f>'Laminate Schedule'!D21/1000</f>
        <v>0.13600000000000001</v>
      </c>
      <c r="M20" s="65">
        <v>0</v>
      </c>
      <c r="O20" s="34">
        <v>8.5999999999999993E-2</v>
      </c>
      <c r="P20" s="32">
        <f t="shared" si="10"/>
        <v>2.6956799999999999</v>
      </c>
      <c r="Q20" s="3"/>
      <c r="R20" s="9"/>
      <c r="S20" s="69" t="s">
        <v>91</v>
      </c>
      <c r="T20" s="7">
        <f t="shared" si="3"/>
        <v>22.5</v>
      </c>
      <c r="U20" s="92">
        <f t="shared" si="6"/>
        <v>0.24483133841131668</v>
      </c>
      <c r="V20" s="94">
        <f t="shared" si="7"/>
        <v>0.24483133841131668</v>
      </c>
      <c r="W20" s="3">
        <f t="shared" si="4"/>
        <v>0.13600000000000001</v>
      </c>
      <c r="X20" s="3">
        <f t="shared" si="12"/>
        <v>8.5999999999999993E-2</v>
      </c>
      <c r="Y20">
        <f t="shared" si="9"/>
        <v>-5.0614548307835521E-3</v>
      </c>
      <c r="Z20" s="85">
        <f t="shared" si="11"/>
        <v>-4.3528511544738547E-4</v>
      </c>
    </row>
    <row r="21" spans="1:26" x14ac:dyDescent="0.25">
      <c r="A21" s="31">
        <v>19</v>
      </c>
      <c r="B21" s="54">
        <v>0.27600000000000002</v>
      </c>
      <c r="C21" s="55">
        <f t="shared" si="0"/>
        <v>27.6</v>
      </c>
      <c r="D21" s="56">
        <f>'Airfoil &amp; Chord Properties'!C20</f>
        <v>7.3470000000000004</v>
      </c>
      <c r="E21" s="56">
        <f>'Airfoil &amp; Chord Properties'!D20</f>
        <v>10.568</v>
      </c>
      <c r="F21" s="56">
        <f t="shared" si="5"/>
        <v>0.18444639535076074</v>
      </c>
      <c r="G21" s="57">
        <f>'Airfoil &amp; Chord Properties'!E20</f>
        <v>0.375</v>
      </c>
      <c r="H21" s="59">
        <f t="shared" si="2"/>
        <v>2.755125</v>
      </c>
      <c r="I21" s="58">
        <f>'Airfoil &amp; Chord Properties'!G20</f>
        <v>0.34</v>
      </c>
      <c r="J21" s="51"/>
      <c r="K21" s="34">
        <v>1.5</v>
      </c>
      <c r="L21" s="32">
        <f>'Laminate Schedule'!D22/1000</f>
        <v>0.128</v>
      </c>
      <c r="M21" s="65">
        <v>0</v>
      </c>
      <c r="O21" s="34">
        <v>8.5999999999999993E-2</v>
      </c>
      <c r="P21" s="32">
        <f t="shared" si="10"/>
        <v>2.4979800000000005</v>
      </c>
      <c r="Q21" s="3"/>
      <c r="R21" s="9"/>
      <c r="S21" s="69" t="s">
        <v>91</v>
      </c>
      <c r="T21" s="7">
        <f t="shared" si="3"/>
        <v>25.200000000000003</v>
      </c>
      <c r="U21" s="92">
        <f t="shared" si="6"/>
        <v>0.2742110990206747</v>
      </c>
      <c r="V21" s="94">
        <f t="shared" si="7"/>
        <v>0.2742110990206747</v>
      </c>
      <c r="W21" s="3">
        <f t="shared" si="4"/>
        <v>0.128</v>
      </c>
      <c r="X21" s="3">
        <f t="shared" si="12"/>
        <v>8.5999999999999993E-2</v>
      </c>
      <c r="Y21">
        <f t="shared" si="9"/>
        <v>-5.0549906483687585E-3</v>
      </c>
      <c r="Z21" s="85">
        <f t="shared" si="11"/>
        <v>-4.347291957597132E-4</v>
      </c>
    </row>
    <row r="22" spans="1:26" ht="15.75" thickBot="1" x14ac:dyDescent="0.3">
      <c r="A22" s="70">
        <v>20</v>
      </c>
      <c r="B22" s="71">
        <v>0.35799999999999998</v>
      </c>
      <c r="C22" s="72">
        <f t="shared" si="0"/>
        <v>35.799999999999997</v>
      </c>
      <c r="D22" s="73">
        <f>'Airfoil &amp; Chord Properties'!C21</f>
        <v>6.923</v>
      </c>
      <c r="E22" s="73">
        <f>'Airfoil &amp; Chord Properties'!D21</f>
        <v>9.1660000000000004</v>
      </c>
      <c r="F22" s="73">
        <f t="shared" si="5"/>
        <v>0.15997687923780024</v>
      </c>
      <c r="G22" s="74">
        <f>'Airfoil &amp; Chord Properties'!E21</f>
        <v>0.375</v>
      </c>
      <c r="H22" s="75">
        <f t="shared" si="2"/>
        <v>2.5961249999999998</v>
      </c>
      <c r="I22" s="76">
        <f>'Airfoil &amp; Chord Properties'!G21</f>
        <v>0.3</v>
      </c>
      <c r="J22" s="77"/>
      <c r="K22" s="78">
        <v>1.5</v>
      </c>
      <c r="L22" s="79">
        <f>'Laminate Schedule'!D23/1000</f>
        <v>0.11899999999999999</v>
      </c>
      <c r="M22" s="80">
        <v>0</v>
      </c>
      <c r="N22" s="81"/>
      <c r="O22" s="78">
        <v>8.5999999999999993E-2</v>
      </c>
      <c r="P22" s="79">
        <f>D22*I22-2*M22</f>
        <v>2.0768999999999997</v>
      </c>
      <c r="Q22" s="82"/>
      <c r="R22" s="83"/>
      <c r="S22" s="84" t="s">
        <v>91</v>
      </c>
      <c r="T22" s="90">
        <f t="shared" si="3"/>
        <v>33.4</v>
      </c>
      <c r="U22" s="93">
        <f t="shared" si="6"/>
        <v>0.36343852013057676</v>
      </c>
      <c r="V22" s="95">
        <f>U22</f>
        <v>0.36343852013057676</v>
      </c>
      <c r="W22" s="82">
        <f t="shared" si="4"/>
        <v>0.11899999999999999</v>
      </c>
      <c r="X22" s="82">
        <f t="shared" si="12"/>
        <v>8.5999999999999993E-2</v>
      </c>
      <c r="Y22" s="81">
        <f t="shared" si="9"/>
        <v>-2.984087330848843E-3</v>
      </c>
      <c r="Z22" s="91">
        <f t="shared" si="11"/>
        <v>-2.5663151045300046E-4</v>
      </c>
    </row>
    <row r="23" spans="1:26" x14ac:dyDescent="0.25">
      <c r="A23" s="31">
        <v>21</v>
      </c>
      <c r="B23" s="54">
        <v>0.439</v>
      </c>
      <c r="C23" s="55">
        <f t="shared" si="0"/>
        <v>43.9</v>
      </c>
      <c r="D23" s="56">
        <f>'Airfoil &amp; Chord Properties'!C22</f>
        <v>6.4290000000000003</v>
      </c>
      <c r="E23" s="56">
        <f>'Airfoil &amp; Chord Properties'!D22</f>
        <v>7.6879999999999997</v>
      </c>
      <c r="F23" s="56">
        <f t="shared" si="5"/>
        <v>0.13418091289332404</v>
      </c>
      <c r="G23" s="57">
        <f>'Airfoil &amp; Chord Properties'!E22</f>
        <v>0.375</v>
      </c>
      <c r="H23" s="59">
        <f t="shared" si="2"/>
        <v>2.4108749999999999</v>
      </c>
      <c r="I23" s="58">
        <f>'Airfoil &amp; Chord Properties'!G22</f>
        <v>0.26</v>
      </c>
      <c r="J23" s="51"/>
      <c r="K23" s="34">
        <v>1.5</v>
      </c>
      <c r="L23" s="32">
        <f>'Laminate Schedule'!D24/1000</f>
        <v>0.111</v>
      </c>
      <c r="M23" s="65">
        <v>0</v>
      </c>
      <c r="O23" s="34">
        <v>8.5999999999999993E-2</v>
      </c>
      <c r="P23" s="32">
        <f>D23*I23-2*M23</f>
        <v>1.67154</v>
      </c>
      <c r="Q23" s="3"/>
      <c r="R23" s="9"/>
      <c r="S23" s="69" t="s">
        <v>92</v>
      </c>
      <c r="T23" s="7">
        <f t="shared" si="3"/>
        <v>41.5</v>
      </c>
      <c r="U23" s="92">
        <f t="shared" si="6"/>
        <v>0.45157780195865077</v>
      </c>
      <c r="V23" s="94">
        <f>U23</f>
        <v>0.45157780195865077</v>
      </c>
      <c r="W23" s="3">
        <f t="shared" si="4"/>
        <v>0.111</v>
      </c>
      <c r="X23" s="3">
        <f t="shared" si="12"/>
        <v>8.5999999999999993E-2</v>
      </c>
      <c r="Y23">
        <f t="shared" si="9"/>
        <v>-3.1846872030217525E-3</v>
      </c>
      <c r="Z23" s="85">
        <f t="shared" si="11"/>
        <v>-2.7388309945987067E-4</v>
      </c>
    </row>
    <row r="24" spans="1:26" x14ac:dyDescent="0.25">
      <c r="A24" s="31">
        <v>22</v>
      </c>
      <c r="B24" s="54">
        <v>0.52</v>
      </c>
      <c r="C24" s="55">
        <f t="shared" si="0"/>
        <v>52</v>
      </c>
      <c r="D24" s="56">
        <f>'Airfoil &amp; Chord Properties'!C23</f>
        <v>5.915</v>
      </c>
      <c r="E24" s="56">
        <f>'Airfoil &amp; Chord Properties'!D23</f>
        <v>6.18</v>
      </c>
      <c r="F24" s="56">
        <f t="shared" si="5"/>
        <v>0.10786134777324956</v>
      </c>
      <c r="G24" s="57">
        <f>'Airfoil &amp; Chord Properties'!E23</f>
        <v>0.375</v>
      </c>
      <c r="H24" s="59">
        <f t="shared" si="2"/>
        <v>2.2181250000000001</v>
      </c>
      <c r="I24" s="58">
        <f>'Airfoil &amp; Chord Properties'!G23</f>
        <v>0.23</v>
      </c>
      <c r="J24" s="51"/>
      <c r="K24" s="34">
        <v>1.5</v>
      </c>
      <c r="L24" s="32">
        <f>'Laminate Schedule'!D25/1000</f>
        <v>0.10199999999999999</v>
      </c>
      <c r="M24" s="65">
        <v>0</v>
      </c>
      <c r="O24" s="34">
        <v>8.5999999999999993E-2</v>
      </c>
      <c r="P24" s="32">
        <f t="shared" ref="P24:P32" si="13">D24*I24-2*M24</f>
        <v>1.3604500000000002</v>
      </c>
      <c r="Q24" s="3"/>
      <c r="R24" s="9"/>
      <c r="S24" s="69" t="s">
        <v>92</v>
      </c>
      <c r="T24" s="7">
        <f t="shared" si="3"/>
        <v>49.6</v>
      </c>
      <c r="U24" s="92">
        <f t="shared" si="6"/>
        <v>0.53971708378672478</v>
      </c>
      <c r="V24" s="94">
        <f>U24</f>
        <v>0.53971708378672478</v>
      </c>
      <c r="W24" s="3">
        <f t="shared" si="4"/>
        <v>0.10199999999999999</v>
      </c>
      <c r="X24" s="3">
        <f t="shared" si="12"/>
        <v>8.5999999999999993E-2</v>
      </c>
      <c r="Y24">
        <f t="shared" si="9"/>
        <v>-3.2493290271696884E-3</v>
      </c>
      <c r="Z24" s="85">
        <f t="shared" si="11"/>
        <v>-2.794422963365932E-4</v>
      </c>
    </row>
    <row r="25" spans="1:26" x14ac:dyDescent="0.25">
      <c r="A25" s="31">
        <v>23</v>
      </c>
      <c r="B25" s="54">
        <v>0.60199999999999998</v>
      </c>
      <c r="C25" s="55">
        <f t="shared" si="0"/>
        <v>60.199999999999996</v>
      </c>
      <c r="D25" s="56">
        <f>'Airfoil &amp; Chord Properties'!C24</f>
        <v>5.4169999999999998</v>
      </c>
      <c r="E25" s="56">
        <f>'Airfoil &amp; Chord Properties'!D24</f>
        <v>4.7430000000000003</v>
      </c>
      <c r="F25" s="56">
        <f t="shared" si="5"/>
        <v>8.2780966422091054E-2</v>
      </c>
      <c r="G25" s="57">
        <f>'Airfoil &amp; Chord Properties'!E24</f>
        <v>0.375</v>
      </c>
      <c r="H25" s="59">
        <f t="shared" si="2"/>
        <v>2.0313749999999997</v>
      </c>
      <c r="I25" s="58">
        <f>'Airfoil &amp; Chord Properties'!G24</f>
        <v>0.21</v>
      </c>
      <c r="J25" s="51"/>
      <c r="K25" s="34">
        <v>1.5</v>
      </c>
      <c r="L25" s="32">
        <f>'Laminate Schedule'!D26/1000</f>
        <v>8.5000000000000006E-2</v>
      </c>
      <c r="M25" s="65">
        <v>0</v>
      </c>
      <c r="O25" s="34">
        <v>8.5999999999999993E-2</v>
      </c>
      <c r="P25" s="32">
        <f t="shared" si="13"/>
        <v>1.13757</v>
      </c>
      <c r="Q25" s="3"/>
      <c r="R25" s="9" t="s">
        <v>73</v>
      </c>
      <c r="S25" s="69" t="s">
        <v>92</v>
      </c>
      <c r="T25" s="7">
        <f t="shared" si="3"/>
        <v>57.8</v>
      </c>
      <c r="U25" s="92">
        <f t="shared" si="6"/>
        <v>0.62894450489662679</v>
      </c>
      <c r="V25" s="94">
        <f t="shared" ref="V25:V32" si="14">U25</f>
        <v>0.62894450489662679</v>
      </c>
      <c r="W25" s="3">
        <f t="shared" si="4"/>
        <v>8.5000000000000006E-2</v>
      </c>
      <c r="X25" s="3">
        <f t="shared" si="8"/>
        <v>8.5000000000000006E-2</v>
      </c>
      <c r="Y25">
        <f t="shared" si="9"/>
        <v>-3.0585830916046971E-3</v>
      </c>
      <c r="Z25" s="85">
        <f t="shared" si="11"/>
        <v>-2.5997956278639927E-4</v>
      </c>
    </row>
    <row r="26" spans="1:26" x14ac:dyDescent="0.25">
      <c r="A26" s="31">
        <v>24</v>
      </c>
      <c r="B26" s="54">
        <v>0.66700000000000004</v>
      </c>
      <c r="C26" s="55">
        <f t="shared" si="0"/>
        <v>66.7</v>
      </c>
      <c r="D26" s="56">
        <f>'Airfoil &amp; Chord Properties'!C25</f>
        <v>5.0190000000000001</v>
      </c>
      <c r="E26" s="56">
        <f>'Airfoil &amp; Chord Properties'!D25</f>
        <v>3.633</v>
      </c>
      <c r="F26" s="56">
        <f t="shared" si="5"/>
        <v>6.3407811724953994E-2</v>
      </c>
      <c r="G26" s="57">
        <f>'Airfoil &amp; Chord Properties'!E25</f>
        <v>0.375</v>
      </c>
      <c r="H26" s="59">
        <f t="shared" si="2"/>
        <v>1.882125</v>
      </c>
      <c r="I26" s="58">
        <f>'Airfoil &amp; Chord Properties'!G25</f>
        <v>0.19</v>
      </c>
      <c r="J26" s="51"/>
      <c r="K26" s="34">
        <v>1.5</v>
      </c>
      <c r="L26" s="32">
        <f>'Laminate Schedule'!D27/1000</f>
        <v>6.8000000000000005E-2</v>
      </c>
      <c r="M26" s="65">
        <v>0</v>
      </c>
      <c r="O26" s="34">
        <v>8.5999999999999993E-2</v>
      </c>
      <c r="P26" s="32">
        <f t="shared" si="13"/>
        <v>0.95361000000000007</v>
      </c>
      <c r="Q26" s="3"/>
      <c r="R26" s="9"/>
      <c r="S26" s="69" t="s">
        <v>92</v>
      </c>
      <c r="T26" s="7">
        <f t="shared" si="3"/>
        <v>64.3</v>
      </c>
      <c r="U26" s="92">
        <f t="shared" si="6"/>
        <v>0.69967355821545163</v>
      </c>
      <c r="V26" s="94">
        <f t="shared" si="14"/>
        <v>0.69967355821545163</v>
      </c>
      <c r="W26" s="3">
        <f t="shared" si="4"/>
        <v>6.8000000000000005E-2</v>
      </c>
      <c r="X26" s="3">
        <f t="shared" si="8"/>
        <v>6.8000000000000005E-2</v>
      </c>
      <c r="Y26">
        <f t="shared" si="9"/>
        <v>-2.9804853380210861E-3</v>
      </c>
      <c r="Z26" s="85">
        <f t="shared" si="11"/>
        <v>-2.0267300298543387E-4</v>
      </c>
    </row>
    <row r="27" spans="1:26" x14ac:dyDescent="0.25">
      <c r="A27" s="31">
        <v>25</v>
      </c>
      <c r="B27" s="54">
        <v>0.68300000000000005</v>
      </c>
      <c r="C27" s="55">
        <f t="shared" si="0"/>
        <v>68.300000000000011</v>
      </c>
      <c r="D27" s="56">
        <f>'Airfoil &amp; Chord Properties'!C26</f>
        <v>4.92</v>
      </c>
      <c r="E27" s="56">
        <f>'Airfoil &amp; Chord Properties'!D26</f>
        <v>3.383</v>
      </c>
      <c r="F27" s="56">
        <f t="shared" si="5"/>
        <v>5.9044488594968171E-2</v>
      </c>
      <c r="G27" s="57">
        <f>'Airfoil &amp; Chord Properties'!E26</f>
        <v>0.375</v>
      </c>
      <c r="H27" s="59">
        <f t="shared" si="2"/>
        <v>1.845</v>
      </c>
      <c r="I27" s="58">
        <f>'Airfoil &amp; Chord Properties'!G26</f>
        <v>0.185</v>
      </c>
      <c r="J27" s="51"/>
      <c r="K27" s="34">
        <v>1.5</v>
      </c>
      <c r="L27" s="32">
        <f>'Laminate Schedule'!D28/1000</f>
        <v>6.4000000000000001E-2</v>
      </c>
      <c r="M27" s="65">
        <v>0</v>
      </c>
      <c r="O27" s="34">
        <v>8.5999999999999993E-2</v>
      </c>
      <c r="P27" s="32">
        <f t="shared" si="13"/>
        <v>0.91020000000000001</v>
      </c>
      <c r="Q27" s="3"/>
      <c r="R27" s="9"/>
      <c r="S27" s="69" t="s">
        <v>92</v>
      </c>
      <c r="T27" s="7">
        <f t="shared" si="3"/>
        <v>65.900000000000006</v>
      </c>
      <c r="U27" s="92">
        <f t="shared" si="6"/>
        <v>0.71708378672470086</v>
      </c>
      <c r="V27" s="94">
        <f t="shared" si="14"/>
        <v>0.71708378672470086</v>
      </c>
      <c r="W27" s="3">
        <f t="shared" si="4"/>
        <v>6.4000000000000001E-2</v>
      </c>
      <c r="X27" s="3">
        <f t="shared" si="8"/>
        <v>6.4000000000000001E-2</v>
      </c>
      <c r="Y27">
        <f t="shared" si="9"/>
        <v>-2.7270769562411246E-3</v>
      </c>
      <c r="Z27" s="85">
        <f t="shared" si="11"/>
        <v>-1.7453292519943199E-4</v>
      </c>
    </row>
    <row r="28" spans="1:26" x14ac:dyDescent="0.25">
      <c r="A28" s="31">
        <v>26</v>
      </c>
      <c r="B28" s="54">
        <v>0.73199999999999998</v>
      </c>
      <c r="C28" s="55">
        <f t="shared" si="0"/>
        <v>73.2</v>
      </c>
      <c r="D28" s="56">
        <f>'Airfoil &amp; Chord Properties'!C27</f>
        <v>4.6210000000000004</v>
      </c>
      <c r="E28" s="56">
        <f>'Airfoil &amp; Chord Properties'!D27</f>
        <v>2.7349999999999999</v>
      </c>
      <c r="F28" s="56">
        <f t="shared" si="5"/>
        <v>4.7734755042044913E-2</v>
      </c>
      <c r="G28" s="57">
        <f>'Airfoil &amp; Chord Properties'!E27</f>
        <v>0.375</v>
      </c>
      <c r="H28" s="59">
        <f t="shared" si="2"/>
        <v>1.7328750000000002</v>
      </c>
      <c r="I28" s="58">
        <f>'Airfoil &amp; Chord Properties'!G27</f>
        <v>0.18</v>
      </c>
      <c r="J28" s="51"/>
      <c r="K28" s="34">
        <v>1.5</v>
      </c>
      <c r="L28" s="32">
        <f>'Laminate Schedule'!D29/1000</f>
        <v>4.7E-2</v>
      </c>
      <c r="M28" s="65">
        <v>0</v>
      </c>
      <c r="O28" s="34">
        <v>8.5999999999999993E-2</v>
      </c>
      <c r="P28" s="32">
        <f t="shared" si="13"/>
        <v>0.83178000000000007</v>
      </c>
      <c r="Q28" s="3"/>
      <c r="R28" s="9"/>
      <c r="S28" s="69" t="s">
        <v>92</v>
      </c>
      <c r="T28" s="7">
        <f t="shared" si="3"/>
        <v>70.8</v>
      </c>
      <c r="U28" s="92">
        <f t="shared" si="6"/>
        <v>0.77040261153427647</v>
      </c>
      <c r="V28" s="94">
        <f t="shared" si="14"/>
        <v>0.77040261153427647</v>
      </c>
      <c r="W28" s="3">
        <f t="shared" si="4"/>
        <v>4.7E-2</v>
      </c>
      <c r="X28" s="3">
        <f t="shared" si="8"/>
        <v>4.7E-2</v>
      </c>
      <c r="Y28">
        <f t="shared" si="9"/>
        <v>-2.3081088883516892E-3</v>
      </c>
      <c r="Z28" s="85">
        <f t="shared" si="11"/>
        <v>-1.0848111775252939E-4</v>
      </c>
    </row>
    <row r="29" spans="1:26" x14ac:dyDescent="0.25">
      <c r="A29" s="31">
        <v>27</v>
      </c>
      <c r="B29" s="54">
        <v>0.76400000000000001</v>
      </c>
      <c r="C29" s="55">
        <f t="shared" si="0"/>
        <v>76.400000000000006</v>
      </c>
      <c r="D29" s="56">
        <f>'Airfoil &amp; Chord Properties'!C28</f>
        <v>4.4219999999999997</v>
      </c>
      <c r="E29" s="56">
        <f>'Airfoil &amp; Chord Properties'!D28</f>
        <v>2.3479999999999999</v>
      </c>
      <c r="F29" s="56">
        <f t="shared" si="5"/>
        <v>4.0980330836826853E-2</v>
      </c>
      <c r="G29" s="57">
        <f>'Airfoil &amp; Chord Properties'!E28</f>
        <v>0.375</v>
      </c>
      <c r="H29" s="59">
        <f t="shared" si="2"/>
        <v>1.6582499999999998</v>
      </c>
      <c r="I29" s="58">
        <f>'Airfoil &amp; Chord Properties'!G28</f>
        <v>0.18</v>
      </c>
      <c r="J29" s="51"/>
      <c r="K29" s="34">
        <v>1.5</v>
      </c>
      <c r="L29" s="32">
        <f>'Laminate Schedule'!D30/1000</f>
        <v>3.4000000000000002E-2</v>
      </c>
      <c r="M29" s="65">
        <v>0</v>
      </c>
      <c r="O29" s="34">
        <v>8.5999999999999993E-2</v>
      </c>
      <c r="P29" s="32">
        <f t="shared" si="13"/>
        <v>0.79595999999999989</v>
      </c>
      <c r="Q29" s="3"/>
      <c r="R29" s="9"/>
      <c r="S29" s="69" t="s">
        <v>92</v>
      </c>
      <c r="T29" s="7">
        <f t="shared" si="3"/>
        <v>74</v>
      </c>
      <c r="U29" s="92">
        <f t="shared" si="6"/>
        <v>0.80522306855277481</v>
      </c>
      <c r="V29" s="94">
        <f t="shared" si="14"/>
        <v>0.80522306855277481</v>
      </c>
      <c r="W29" s="3">
        <f t="shared" si="4"/>
        <v>3.4000000000000002E-2</v>
      </c>
      <c r="X29" s="3">
        <f t="shared" si="8"/>
        <v>3.4000000000000002E-2</v>
      </c>
      <c r="Y29">
        <f t="shared" si="9"/>
        <v>-2.1107575641306419E-3</v>
      </c>
      <c r="Z29" s="85">
        <f t="shared" si="11"/>
        <v>-7.1765757180441828E-5</v>
      </c>
    </row>
    <row r="30" spans="1:26" x14ac:dyDescent="0.25">
      <c r="A30" s="31">
        <v>28</v>
      </c>
      <c r="B30" s="54">
        <v>0.84599999999999997</v>
      </c>
      <c r="C30" s="55">
        <f t="shared" si="0"/>
        <v>84.6</v>
      </c>
      <c r="D30" s="56">
        <f>'Airfoil &amp; Chord Properties'!C29</f>
        <v>3.9249999999999998</v>
      </c>
      <c r="E30" s="56">
        <f>'Airfoil &amp; Chord Properties'!D29</f>
        <v>1.38</v>
      </c>
      <c r="F30" s="56">
        <f t="shared" si="5"/>
        <v>2.4085543677521744E-2</v>
      </c>
      <c r="G30" s="57">
        <f>'Airfoil &amp; Chord Properties'!E29</f>
        <v>0.375</v>
      </c>
      <c r="H30" s="59">
        <f t="shared" si="2"/>
        <v>1.4718749999999998</v>
      </c>
      <c r="I30" s="58">
        <f>'Airfoil &amp; Chord Properties'!G29</f>
        <v>0.18</v>
      </c>
      <c r="J30" s="51"/>
      <c r="K30" s="34">
        <v>1.5</v>
      </c>
      <c r="L30" s="32">
        <f>'Laminate Schedule'!D31/1000</f>
        <v>1.7000000000000001E-2</v>
      </c>
      <c r="M30" s="65">
        <v>0</v>
      </c>
      <c r="O30" s="34">
        <v>8.5999999999999993E-2</v>
      </c>
      <c r="P30" s="32">
        <f t="shared" si="13"/>
        <v>0.70649999999999991</v>
      </c>
      <c r="Q30" s="3"/>
      <c r="R30" s="9"/>
      <c r="S30" s="69" t="s">
        <v>92</v>
      </c>
      <c r="T30" s="7">
        <f t="shared" si="3"/>
        <v>82.199999999999989</v>
      </c>
      <c r="U30" s="92">
        <f t="shared" si="6"/>
        <v>0.89445048966267682</v>
      </c>
      <c r="V30" s="94">
        <f t="shared" si="14"/>
        <v>0.89445048966267682</v>
      </c>
      <c r="W30" s="3">
        <f t="shared" si="4"/>
        <v>1.7000000000000001E-2</v>
      </c>
      <c r="X30" s="3">
        <f t="shared" si="8"/>
        <v>1.7000000000000001E-2</v>
      </c>
      <c r="Y30">
        <f t="shared" si="9"/>
        <v>-2.0603398974762357E-3</v>
      </c>
      <c r="Z30" s="85">
        <f t="shared" si="11"/>
        <v>-3.5025778257096006E-5</v>
      </c>
    </row>
    <row r="31" spans="1:26" x14ac:dyDescent="0.25">
      <c r="A31" s="31">
        <v>29</v>
      </c>
      <c r="B31" s="54">
        <v>0.89400000000000002</v>
      </c>
      <c r="C31" s="55">
        <f t="shared" si="0"/>
        <v>89.4</v>
      </c>
      <c r="D31" s="56">
        <f>'Airfoil &amp; Chord Properties'!C30</f>
        <v>3.6190000000000002</v>
      </c>
      <c r="E31" s="56">
        <f>'Airfoil &amp; Chord Properties'!D30</f>
        <v>0.79900000000000004</v>
      </c>
      <c r="F31" s="56">
        <f t="shared" si="5"/>
        <v>1.3945180723434694E-2</v>
      </c>
      <c r="G31" s="57">
        <f>'Airfoil &amp; Chord Properties'!E30</f>
        <v>0.375</v>
      </c>
      <c r="H31" s="59">
        <f t="shared" si="2"/>
        <v>1.3571250000000001</v>
      </c>
      <c r="I31" s="58">
        <f>'Airfoil &amp; Chord Properties'!G30</f>
        <v>0.18</v>
      </c>
      <c r="J31" s="51"/>
      <c r="K31" s="34">
        <v>1.5</v>
      </c>
      <c r="L31" s="32">
        <f>'Laminate Schedule'!D32/1000</f>
        <v>8.9999999999999993E-3</v>
      </c>
      <c r="M31" s="65">
        <v>0</v>
      </c>
      <c r="O31" s="34">
        <v>8.5999999999999993E-2</v>
      </c>
      <c r="P31" s="32">
        <f t="shared" si="13"/>
        <v>0.65142</v>
      </c>
      <c r="Q31" s="3"/>
      <c r="R31" s="9"/>
      <c r="S31" s="69" t="s">
        <v>92</v>
      </c>
      <c r="T31" s="7">
        <f t="shared" si="3"/>
        <v>87</v>
      </c>
      <c r="U31" s="92">
        <f>T31/$T$32</f>
        <v>0.9466811751904245</v>
      </c>
      <c r="V31" s="94">
        <f t="shared" si="14"/>
        <v>0.9466811751904245</v>
      </c>
      <c r="W31" s="3">
        <f t="shared" si="4"/>
        <v>8.9999999999999993E-3</v>
      </c>
      <c r="X31" s="3">
        <f t="shared" si="8"/>
        <v>8.9999999999999993E-3</v>
      </c>
      <c r="Y31">
        <f t="shared" si="9"/>
        <v>-2.1125756154347971E-3</v>
      </c>
      <c r="Z31" s="85">
        <f t="shared" si="11"/>
        <v>-1.9013180538913171E-5</v>
      </c>
    </row>
    <row r="32" spans="1:26" x14ac:dyDescent="0.25">
      <c r="A32" s="31">
        <v>30</v>
      </c>
      <c r="B32" s="54">
        <v>0.94299999999999995</v>
      </c>
      <c r="C32" s="55">
        <f t="shared" si="0"/>
        <v>94.3</v>
      </c>
      <c r="D32" s="56">
        <f>'Airfoil &amp; Chord Properties'!C31</f>
        <v>2.8239999999999998</v>
      </c>
      <c r="E32" s="56">
        <f>'Airfoil &amp; Chord Properties'!D31</f>
        <v>0.28000000000000003</v>
      </c>
      <c r="F32" s="56">
        <f t="shared" si="5"/>
        <v>4.8869219055841231E-3</v>
      </c>
      <c r="G32" s="57">
        <f>'Airfoil &amp; Chord Properties'!E31</f>
        <v>0.375</v>
      </c>
      <c r="H32" s="59">
        <f t="shared" si="2"/>
        <v>1.0589999999999999</v>
      </c>
      <c r="I32" s="58">
        <f>'Airfoil &amp; Chord Properties'!G31</f>
        <v>0.18</v>
      </c>
      <c r="J32" s="51"/>
      <c r="K32" s="34">
        <v>1.5</v>
      </c>
      <c r="L32" s="32">
        <f>'Laminate Schedule'!D33/1000</f>
        <v>5.0000000000000001E-3</v>
      </c>
      <c r="M32" s="65">
        <v>0</v>
      </c>
      <c r="O32" s="34">
        <v>8.5999999999999993E-2</v>
      </c>
      <c r="P32" s="32">
        <f t="shared" si="13"/>
        <v>0.50831999999999999</v>
      </c>
      <c r="Q32" s="3"/>
      <c r="R32" s="9" t="s">
        <v>72</v>
      </c>
      <c r="S32" s="69" t="s">
        <v>92</v>
      </c>
      <c r="T32" s="7">
        <f t="shared" si="3"/>
        <v>91.899999999999991</v>
      </c>
      <c r="U32" s="92">
        <f t="shared" si="6"/>
        <v>1</v>
      </c>
      <c r="V32" s="94">
        <f t="shared" si="14"/>
        <v>1</v>
      </c>
      <c r="W32" s="3">
        <f t="shared" si="4"/>
        <v>5.0000000000000001E-3</v>
      </c>
      <c r="X32" s="3">
        <f t="shared" si="8"/>
        <v>5.0000000000000001E-3</v>
      </c>
      <c r="Y32">
        <f t="shared" si="9"/>
        <v>-1.8486242485409362E-3</v>
      </c>
      <c r="Z32" s="85">
        <f t="shared" si="11"/>
        <v>-9.2431212427046808E-6</v>
      </c>
    </row>
    <row r="33" spans="1:19" x14ac:dyDescent="0.25">
      <c r="A33" s="35">
        <v>31</v>
      </c>
      <c r="B33" s="47">
        <v>0.95699999999999996</v>
      </c>
      <c r="C33" s="37">
        <f t="shared" si="0"/>
        <v>95.7</v>
      </c>
      <c r="D33" s="36">
        <f>'Airfoil &amp; Chord Properties'!C32</f>
        <v>2.375</v>
      </c>
      <c r="E33" s="36">
        <f>'Airfoil &amp; Chord Properties'!D32</f>
        <v>0.21</v>
      </c>
      <c r="F33" s="36">
        <f>RADIANS(E33)</f>
        <v>3.6651914291880921E-3</v>
      </c>
      <c r="G33" s="47">
        <f>'Airfoil &amp; Chord Properties'!E32</f>
        <v>0.375</v>
      </c>
      <c r="H33" s="52">
        <f t="shared" si="2"/>
        <v>0.890625</v>
      </c>
      <c r="I33" s="49">
        <f>'Airfoil &amp; Chord Properties'!G32</f>
        <v>0.18</v>
      </c>
      <c r="J33" s="49"/>
      <c r="K33" s="44"/>
      <c r="L33" s="36">
        <f>'Laminate Schedule'!D34/1000</f>
        <v>5.0000000000000001E-3</v>
      </c>
      <c r="M33" s="44"/>
      <c r="N33" s="44"/>
      <c r="O33" s="44"/>
      <c r="P33" s="44"/>
      <c r="Q33" s="44"/>
      <c r="R33" s="43"/>
      <c r="S33" s="43"/>
    </row>
    <row r="34" spans="1:19" x14ac:dyDescent="0.25">
      <c r="A34" s="35">
        <v>32</v>
      </c>
      <c r="B34" s="47">
        <v>0.97199999999999998</v>
      </c>
      <c r="C34" s="37">
        <f t="shared" si="0"/>
        <v>97.2</v>
      </c>
      <c r="D34" s="36">
        <f>'Airfoil &amp; Chord Properties'!C33</f>
        <v>1.8360000000000001</v>
      </c>
      <c r="E34" s="36">
        <f>'Airfoil &amp; Chord Properties'!D33</f>
        <v>0.14000000000000001</v>
      </c>
      <c r="F34" s="36">
        <f t="shared" ref="F34:F35" si="15">RADIANS(E34)</f>
        <v>2.4434609527920616E-3</v>
      </c>
      <c r="G34" s="47">
        <f>'Airfoil &amp; Chord Properties'!E33</f>
        <v>0.375</v>
      </c>
      <c r="H34" s="52">
        <f t="shared" si="2"/>
        <v>0.6885</v>
      </c>
      <c r="I34" s="49">
        <f>'Airfoil &amp; Chord Properties'!G33</f>
        <v>0.18</v>
      </c>
      <c r="J34" s="49"/>
      <c r="K34" s="44"/>
      <c r="L34" s="36">
        <f>'Laminate Schedule'!D35/1000</f>
        <v>5.0000000000000001E-3</v>
      </c>
      <c r="M34" s="44"/>
      <c r="N34" s="44"/>
      <c r="O34" s="44"/>
      <c r="P34" s="44"/>
      <c r="Q34" s="44"/>
      <c r="R34" s="43"/>
      <c r="S34" s="43"/>
    </row>
    <row r="35" spans="1:19" x14ac:dyDescent="0.25">
      <c r="A35" s="35">
        <v>33</v>
      </c>
      <c r="B35" s="47">
        <v>0.98599999999999999</v>
      </c>
      <c r="C35" s="37">
        <f t="shared" si="0"/>
        <v>98.6</v>
      </c>
      <c r="D35" s="36">
        <f>'Airfoil &amp; Chord Properties'!C34</f>
        <v>1.208</v>
      </c>
      <c r="E35" s="36">
        <f>'Airfoil &amp; Chord Properties'!D34</f>
        <v>7.0000000000000007E-2</v>
      </c>
      <c r="F35" s="36">
        <f t="shared" si="15"/>
        <v>1.2217304763960308E-3</v>
      </c>
      <c r="G35" s="47">
        <f>'Airfoil &amp; Chord Properties'!E34</f>
        <v>0.375</v>
      </c>
      <c r="H35" s="52">
        <f t="shared" si="2"/>
        <v>0.45299999999999996</v>
      </c>
      <c r="I35" s="49">
        <f>'Airfoil &amp; Chord Properties'!G34</f>
        <v>0.18</v>
      </c>
      <c r="J35" s="49"/>
      <c r="K35" s="44"/>
      <c r="L35" s="36">
        <f>'Laminate Schedule'!D36/1000</f>
        <v>5.0000000000000001E-3</v>
      </c>
      <c r="M35" s="44"/>
      <c r="N35" s="44"/>
      <c r="O35" s="44"/>
      <c r="P35" s="44"/>
      <c r="Q35" s="44"/>
      <c r="R35" s="43"/>
      <c r="S35" s="43"/>
    </row>
    <row r="36" spans="1:19" x14ac:dyDescent="0.25">
      <c r="A36" s="38">
        <v>34</v>
      </c>
      <c r="B36" s="48">
        <v>1</v>
      </c>
      <c r="C36" s="40">
        <f t="shared" si="0"/>
        <v>100</v>
      </c>
      <c r="D36" s="39">
        <f>'Airfoil &amp; Chord Properties'!C35</f>
        <v>0.1</v>
      </c>
      <c r="E36" s="39">
        <f>'Airfoil &amp; Chord Properties'!D35</f>
        <v>0</v>
      </c>
      <c r="F36" s="39">
        <f>RADIANS(E36)</f>
        <v>0</v>
      </c>
      <c r="G36" s="48">
        <f>'Airfoil &amp; Chord Properties'!E35</f>
        <v>0.375</v>
      </c>
      <c r="H36" s="53">
        <f t="shared" si="2"/>
        <v>3.7500000000000006E-2</v>
      </c>
      <c r="I36" s="50">
        <f>'Airfoil &amp; Chord Properties'!G35</f>
        <v>0.18</v>
      </c>
      <c r="J36" s="50"/>
      <c r="K36" s="46"/>
      <c r="L36" s="39"/>
      <c r="M36" s="46"/>
      <c r="N36" s="46"/>
      <c r="O36" s="46"/>
      <c r="P36" s="46"/>
      <c r="Q36" s="46"/>
      <c r="R36" s="45"/>
      <c r="S36" s="68"/>
    </row>
  </sheetData>
  <mergeCells count="2">
    <mergeCell ref="K1:M1"/>
    <mergeCell ref="O1:P1"/>
  </mergeCells>
  <conditionalFormatting sqref="S9:S32">
    <cfRule type="containsText" dxfId="29" priority="3" operator="containsText" text="N">
      <formula>NOT(ISERROR(SEARCH("N",S9)))</formula>
    </cfRule>
    <cfRule type="containsText" dxfId="28" priority="4" operator="containsText" text="Y">
      <formula>NOT(ISERROR(SEARCH("Y",S9)))</formula>
    </cfRule>
  </conditionalFormatting>
  <conditionalFormatting sqref="W9:W32">
    <cfRule type="cellIs" dxfId="27" priority="1" operator="greaterThan">
      <formula>$O$9</formula>
    </cfRule>
    <cfRule type="cellIs" dxfId="26" priority="2" operator="lessThan">
      <formula>$O$9</formula>
    </cfRule>
  </conditionalFormatting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5"/>
  <sheetViews>
    <sheetView zoomScale="120" zoomScaleNormal="120" workbookViewId="0">
      <selection activeCell="B16" sqref="B16"/>
    </sheetView>
  </sheetViews>
  <sheetFormatPr defaultRowHeight="15" x14ac:dyDescent="0.25"/>
  <cols>
    <col min="2" max="2" width="9.140625" bestFit="1" customWidth="1"/>
    <col min="3" max="3" width="10" bestFit="1" customWidth="1"/>
    <col min="4" max="4" width="10.5703125" bestFit="1" customWidth="1"/>
    <col min="5" max="5" width="7.140625" bestFit="1" customWidth="1"/>
    <col min="6" max="6" width="6.42578125" bestFit="1" customWidth="1"/>
    <col min="7" max="7" width="10.28515625" bestFit="1" customWidth="1"/>
    <col min="8" max="9" width="10.85546875" bestFit="1" customWidth="1"/>
    <col min="11" max="12" width="7.7109375" bestFit="1" customWidth="1"/>
    <col min="13" max="13" width="7.42578125" bestFit="1" customWidth="1"/>
    <col min="15" max="16" width="8.140625" bestFit="1" customWidth="1"/>
    <col min="18" max="18" width="22.7109375" bestFit="1" customWidth="1"/>
    <col min="19" max="19" width="10" bestFit="1" customWidth="1"/>
  </cols>
  <sheetData>
    <row r="1" spans="1:19" x14ac:dyDescent="0.25">
      <c r="K1" s="112" t="s">
        <v>77</v>
      </c>
      <c r="L1" s="112"/>
      <c r="M1" s="112"/>
      <c r="N1" s="41"/>
      <c r="O1" s="112" t="s">
        <v>78</v>
      </c>
      <c r="P1" s="112"/>
      <c r="Q1" s="42"/>
    </row>
    <row r="2" spans="1:19" ht="75" x14ac:dyDescent="0.25">
      <c r="A2" s="66" t="s">
        <v>0</v>
      </c>
      <c r="B2" s="66" t="s">
        <v>86</v>
      </c>
      <c r="C2" s="66" t="s">
        <v>84</v>
      </c>
      <c r="D2" s="66" t="s">
        <v>2</v>
      </c>
      <c r="E2" s="66" t="s">
        <v>3</v>
      </c>
      <c r="F2" s="66" t="s">
        <v>89</v>
      </c>
      <c r="G2" s="66" t="s">
        <v>85</v>
      </c>
      <c r="H2" s="66" t="s">
        <v>87</v>
      </c>
      <c r="I2" s="66" t="s">
        <v>6</v>
      </c>
      <c r="J2" s="66"/>
      <c r="K2" s="66" t="s">
        <v>79</v>
      </c>
      <c r="L2" s="66" t="s">
        <v>80</v>
      </c>
      <c r="M2" s="66" t="s">
        <v>83</v>
      </c>
      <c r="N2" s="66"/>
      <c r="O2" s="66" t="s">
        <v>81</v>
      </c>
      <c r="P2" s="66" t="s">
        <v>82</v>
      </c>
      <c r="Q2" s="66"/>
      <c r="R2" s="66" t="s">
        <v>70</v>
      </c>
      <c r="S2" s="66" t="s">
        <v>90</v>
      </c>
    </row>
    <row r="3" spans="1:19" x14ac:dyDescent="0.25">
      <c r="A3" s="31">
        <v>7</v>
      </c>
      <c r="B3" s="54">
        <v>2.4E-2</v>
      </c>
      <c r="C3" s="55">
        <f t="shared" ref="C3" si="0">B3*100</f>
        <v>2.4</v>
      </c>
      <c r="D3" s="56">
        <f>'Airfoil &amp; Chord Properties'!C2</f>
        <v>5.694</v>
      </c>
      <c r="E3" s="56">
        <f>'Airfoil &amp; Chord Properties'!D2</f>
        <v>13.308</v>
      </c>
      <c r="F3" s="56">
        <f>RADIANS(E3)</f>
        <v>0.23226841685540536</v>
      </c>
      <c r="G3" s="57">
        <f>'Airfoil &amp; Chord Properties'!E2</f>
        <v>0.5</v>
      </c>
      <c r="H3" s="59">
        <f t="shared" ref="H3" si="1">D3*G3</f>
        <v>2.847</v>
      </c>
      <c r="I3" s="58">
        <f>'Airfoil &amp; Chord Properties'!G2</f>
        <v>1</v>
      </c>
      <c r="J3" s="60"/>
      <c r="K3" s="34">
        <v>1.5</v>
      </c>
      <c r="L3" s="32">
        <f>'Laminate Schedule'!D4/1000</f>
        <v>0</v>
      </c>
      <c r="M3" s="32">
        <f>'Laminate Schedule'!C4/1000</f>
        <v>0.16</v>
      </c>
      <c r="N3" s="26"/>
      <c r="O3" s="34">
        <v>8.5999999999999993E-2</v>
      </c>
      <c r="P3" s="32">
        <f t="shared" ref="P3" si="2">D3*I3</f>
        <v>5.694</v>
      </c>
      <c r="Q3" s="3"/>
      <c r="R3" s="9" t="s">
        <v>71</v>
      </c>
      <c r="S3" s="69" t="s">
        <v>91</v>
      </c>
    </row>
    <row r="8" spans="1:19" ht="62.25" x14ac:dyDescent="0.25">
      <c r="A8" s="67" t="s">
        <v>3</v>
      </c>
      <c r="B8" s="66" t="s">
        <v>89</v>
      </c>
      <c r="C8" s="66" t="s">
        <v>93</v>
      </c>
    </row>
    <row r="9" spans="1:19" x14ac:dyDescent="0.25">
      <c r="A9" s="2">
        <f>DEGREES(B9)</f>
        <v>0</v>
      </c>
      <c r="B9" s="3">
        <v>0</v>
      </c>
      <c r="C9" s="85">
        <v>887739558.10000002</v>
      </c>
    </row>
    <row r="10" spans="1:19" x14ac:dyDescent="0.25">
      <c r="A10" s="2">
        <f t="shared" ref="A10:A55" si="3">DEGREES(B10)</f>
        <v>0.57295779513082323</v>
      </c>
      <c r="B10" s="3">
        <v>0.01</v>
      </c>
      <c r="C10" s="85">
        <v>853468139.85000002</v>
      </c>
    </row>
    <row r="11" spans="1:19" x14ac:dyDescent="0.25">
      <c r="A11" s="2">
        <f t="shared" si="3"/>
        <v>1.1459155902616465</v>
      </c>
      <c r="B11" s="3">
        <v>0.02</v>
      </c>
      <c r="C11" s="85">
        <v>751086124.15999997</v>
      </c>
    </row>
    <row r="12" spans="1:19" x14ac:dyDescent="0.25">
      <c r="A12" s="2">
        <f t="shared" si="3"/>
        <v>1.7188733853924696</v>
      </c>
      <c r="B12" s="3">
        <v>0.03</v>
      </c>
      <c r="C12" s="85">
        <v>603931109.50999999</v>
      </c>
    </row>
    <row r="13" spans="1:19" x14ac:dyDescent="0.25">
      <c r="A13" s="2">
        <f t="shared" si="3"/>
        <v>1.776169164905552</v>
      </c>
      <c r="B13" s="3">
        <v>3.1E-2</v>
      </c>
      <c r="C13" s="85">
        <v>594829027.95000005</v>
      </c>
    </row>
    <row r="14" spans="1:19" x14ac:dyDescent="0.25">
      <c r="A14" s="2">
        <f t="shared" si="3"/>
        <v>1.8334649444186344</v>
      </c>
      <c r="B14" s="3">
        <v>3.2000000000000001E-2</v>
      </c>
      <c r="C14" s="85">
        <v>592264423.34000003</v>
      </c>
    </row>
    <row r="15" spans="1:19" x14ac:dyDescent="0.25">
      <c r="A15" s="2">
        <f t="shared" si="3"/>
        <v>1.8907607239317168</v>
      </c>
      <c r="B15" s="3">
        <v>3.3000000000000002E-2</v>
      </c>
      <c r="C15" s="85">
        <v>602662721.37</v>
      </c>
    </row>
    <row r="16" spans="1:19" x14ac:dyDescent="0.25">
      <c r="A16" s="2">
        <f t="shared" si="3"/>
        <v>1.9480565034447992</v>
      </c>
      <c r="B16" s="3">
        <v>3.4000000000000002E-2</v>
      </c>
      <c r="C16" s="85">
        <v>641103035.38999999</v>
      </c>
    </row>
    <row r="17" spans="1:3" x14ac:dyDescent="0.25">
      <c r="A17" s="2">
        <f t="shared" si="3"/>
        <v>2.0053522829578814</v>
      </c>
      <c r="B17" s="3">
        <v>3.5000000000000003E-2</v>
      </c>
      <c r="C17" s="85">
        <v>749796053.10000002</v>
      </c>
    </row>
    <row r="18" spans="1:3" x14ac:dyDescent="0.25">
      <c r="A18" s="2">
        <f t="shared" si="3"/>
        <v>2.0626480624709633</v>
      </c>
      <c r="B18" s="3">
        <v>3.5999999999999997E-2</v>
      </c>
      <c r="C18" s="85">
        <v>1085379938.5</v>
      </c>
    </row>
    <row r="19" spans="1:3" x14ac:dyDescent="0.25">
      <c r="A19" s="2">
        <f t="shared" si="3"/>
        <v>2.1199438419840457</v>
      </c>
      <c r="B19" s="3">
        <v>3.6999999999999998E-2</v>
      </c>
      <c r="C19" s="85">
        <v>2646120519.1999998</v>
      </c>
    </row>
    <row r="20" spans="1:3" x14ac:dyDescent="0.25">
      <c r="A20" s="2">
        <f t="shared" si="3"/>
        <v>2.1772396214971281</v>
      </c>
      <c r="B20" s="3">
        <v>3.7999999999999999E-2</v>
      </c>
      <c r="C20" s="85">
        <v>51113653257</v>
      </c>
    </row>
    <row r="21" spans="1:3" x14ac:dyDescent="0.25">
      <c r="A21" s="2">
        <f t="shared" si="3"/>
        <v>2.2345354010102105</v>
      </c>
      <c r="B21" s="3">
        <v>3.9E-2</v>
      </c>
      <c r="C21" s="85">
        <v>8639647356.3999996</v>
      </c>
    </row>
    <row r="22" spans="1:3" x14ac:dyDescent="0.25">
      <c r="A22" s="2">
        <f t="shared" si="3"/>
        <v>2.2918311805232929</v>
      </c>
      <c r="B22" s="3">
        <v>0.04</v>
      </c>
      <c r="C22" s="85">
        <v>1901078799</v>
      </c>
    </row>
    <row r="23" spans="1:3" x14ac:dyDescent="0.25">
      <c r="A23" s="2">
        <f t="shared" si="3"/>
        <v>2.3491269600363753</v>
      </c>
      <c r="B23" s="3">
        <v>4.1000000000000002E-2</v>
      </c>
      <c r="C23" s="85">
        <v>981024771.52999997</v>
      </c>
    </row>
    <row r="24" spans="1:3" x14ac:dyDescent="0.25">
      <c r="A24" s="2">
        <f t="shared" si="3"/>
        <v>2.4064227395494577</v>
      </c>
      <c r="B24" s="3">
        <v>4.2000000000000003E-2</v>
      </c>
      <c r="C24" s="85">
        <v>665080548.83000004</v>
      </c>
    </row>
    <row r="25" spans="1:3" x14ac:dyDescent="0.25">
      <c r="A25" s="2">
        <f t="shared" si="3"/>
        <v>2.4637185190625397</v>
      </c>
      <c r="B25" s="3">
        <v>4.2999999999999997E-2</v>
      </c>
      <c r="C25" s="85">
        <v>506120596.13999999</v>
      </c>
    </row>
    <row r="26" spans="1:3" x14ac:dyDescent="0.25">
      <c r="A26" s="2">
        <f t="shared" si="3"/>
        <v>2.5210142985756221</v>
      </c>
      <c r="B26" s="3">
        <v>4.3999999999999997E-2</v>
      </c>
      <c r="C26" s="85">
        <v>405843591.45999998</v>
      </c>
    </row>
    <row r="27" spans="1:3" x14ac:dyDescent="0.25">
      <c r="A27" s="2">
        <f t="shared" si="3"/>
        <v>2.5783100780887045</v>
      </c>
      <c r="B27" s="3">
        <v>4.4999999999999998E-2</v>
      </c>
      <c r="C27" s="85">
        <v>332411375.35000002</v>
      </c>
    </row>
    <row r="28" spans="1:3" x14ac:dyDescent="0.25">
      <c r="A28" s="2">
        <f t="shared" si="3"/>
        <v>2.6356058576017869</v>
      </c>
      <c r="B28" s="3">
        <v>4.5999999999999999E-2</v>
      </c>
      <c r="C28" s="85">
        <v>272845763.51999998</v>
      </c>
    </row>
    <row r="29" spans="1:3" x14ac:dyDescent="0.25">
      <c r="A29" s="2">
        <f t="shared" si="3"/>
        <v>2.6929016371148693</v>
      </c>
      <c r="B29" s="3">
        <v>4.7E-2</v>
      </c>
      <c r="C29" s="85">
        <v>221067613.77000001</v>
      </c>
    </row>
    <row r="30" spans="1:3" x14ac:dyDescent="0.25">
      <c r="A30" s="2">
        <f t="shared" si="3"/>
        <v>2.7501974166279517</v>
      </c>
      <c r="B30" s="3">
        <v>4.8000000000000001E-2</v>
      </c>
      <c r="C30" s="85">
        <v>173904670.30000001</v>
      </c>
    </row>
    <row r="31" spans="1:3" x14ac:dyDescent="0.25">
      <c r="A31" s="2">
        <f t="shared" si="3"/>
        <v>2.8074931961410341</v>
      </c>
      <c r="B31" s="3">
        <v>4.9000000000000002E-2</v>
      </c>
      <c r="C31" s="85">
        <v>129526180.04000001</v>
      </c>
    </row>
    <row r="32" spans="1:3" x14ac:dyDescent="0.25">
      <c r="A32" s="2">
        <f t="shared" si="3"/>
        <v>2.8647889756541165</v>
      </c>
      <c r="B32" s="3">
        <v>0.05</v>
      </c>
      <c r="C32" s="85">
        <v>86854151.306999996</v>
      </c>
    </row>
    <row r="33" spans="1:3" x14ac:dyDescent="0.25">
      <c r="A33" s="86">
        <f t="shared" si="3"/>
        <v>2.9793805346802809</v>
      </c>
      <c r="B33" s="87">
        <v>5.1999999999999998E-2</v>
      </c>
      <c r="C33" s="88">
        <v>4111490.1389000001</v>
      </c>
    </row>
    <row r="34" spans="1:3" x14ac:dyDescent="0.25">
      <c r="A34" s="2">
        <f t="shared" si="3"/>
        <v>3.0366763141933628</v>
      </c>
      <c r="B34" s="3">
        <v>5.2999999999999999E-2</v>
      </c>
      <c r="C34" s="85">
        <v>-36728847.612999998</v>
      </c>
    </row>
    <row r="35" spans="1:3" x14ac:dyDescent="0.25">
      <c r="A35" s="2">
        <f t="shared" si="3"/>
        <v>3.0939720937064452</v>
      </c>
      <c r="B35" s="3">
        <v>5.3999999999999999E-2</v>
      </c>
      <c r="C35" s="85">
        <v>-77543511.795000002</v>
      </c>
    </row>
    <row r="36" spans="1:3" x14ac:dyDescent="0.25">
      <c r="A36" s="2">
        <f t="shared" si="3"/>
        <v>3.4377467707849392</v>
      </c>
      <c r="B36" s="3">
        <v>0.06</v>
      </c>
      <c r="C36" s="85">
        <v>-328279100.68000001</v>
      </c>
    </row>
    <row r="37" spans="1:3" x14ac:dyDescent="0.25">
      <c r="A37" s="2">
        <f t="shared" si="3"/>
        <v>4.0107045659157627</v>
      </c>
      <c r="B37" s="3">
        <v>7.0000000000000007E-2</v>
      </c>
      <c r="C37" s="85">
        <v>-788543531.42999995</v>
      </c>
    </row>
    <row r="38" spans="1:3" x14ac:dyDescent="0.25">
      <c r="A38" s="2">
        <f t="shared" si="3"/>
        <v>4.5836623610465859</v>
      </c>
      <c r="B38" s="3">
        <v>0.08</v>
      </c>
      <c r="C38" s="85">
        <v>-1313221790.7</v>
      </c>
    </row>
    <row r="39" spans="1:3" x14ac:dyDescent="0.25">
      <c r="A39" s="2">
        <f t="shared" si="3"/>
        <v>5.156620156177409</v>
      </c>
      <c r="B39" s="3">
        <v>0.09</v>
      </c>
      <c r="C39" s="85">
        <v>-1905591085.3</v>
      </c>
    </row>
    <row r="40" spans="1:3" x14ac:dyDescent="0.25">
      <c r="A40" s="2">
        <f t="shared" si="3"/>
        <v>5.729577951308233</v>
      </c>
      <c r="B40" s="3">
        <v>0.1</v>
      </c>
      <c r="C40" s="85">
        <v>-2566656959.8000002</v>
      </c>
    </row>
    <row r="41" spans="1:3" x14ac:dyDescent="0.25">
      <c r="A41" s="2">
        <f t="shared" si="3"/>
        <v>6.3025357464390552</v>
      </c>
      <c r="B41" s="3">
        <v>0.11</v>
      </c>
      <c r="C41" s="85">
        <v>-3296803738.3000002</v>
      </c>
    </row>
    <row r="42" spans="1:3" x14ac:dyDescent="0.25">
      <c r="A42" s="2">
        <f t="shared" si="3"/>
        <v>6.8754935415698784</v>
      </c>
      <c r="B42" s="3">
        <v>0.12</v>
      </c>
      <c r="C42" s="85">
        <v>-4096239510.6999998</v>
      </c>
    </row>
    <row r="43" spans="1:3" x14ac:dyDescent="0.25">
      <c r="A43" s="2">
        <f t="shared" si="3"/>
        <v>7.4484513367007024</v>
      </c>
      <c r="B43" s="3">
        <v>0.13</v>
      </c>
      <c r="C43" s="85">
        <v>-4965011836.1000004</v>
      </c>
    </row>
    <row r="44" spans="1:3" x14ac:dyDescent="0.25">
      <c r="A44" s="2">
        <f t="shared" si="3"/>
        <v>8.0214091318315255</v>
      </c>
      <c r="B44" s="3">
        <v>0.14000000000000001</v>
      </c>
      <c r="C44" s="85">
        <v>-5903783342.3000002</v>
      </c>
    </row>
    <row r="45" spans="1:3" x14ac:dyDescent="0.25">
      <c r="A45" s="2">
        <f t="shared" si="3"/>
        <v>8.5943669269623477</v>
      </c>
      <c r="B45" s="3">
        <v>0.15</v>
      </c>
      <c r="C45" s="85">
        <v>-6911683050.8999996</v>
      </c>
    </row>
    <row r="46" spans="1:3" x14ac:dyDescent="0.25">
      <c r="A46" s="2">
        <f t="shared" si="3"/>
        <v>9.1673247220931717</v>
      </c>
      <c r="B46" s="3">
        <v>0.16</v>
      </c>
      <c r="C46" s="85">
        <v>-7989464205.6999998</v>
      </c>
    </row>
    <row r="47" spans="1:3" x14ac:dyDescent="0.25">
      <c r="A47" s="2">
        <f t="shared" si="3"/>
        <v>9.7402825172239957</v>
      </c>
      <c r="B47" s="3">
        <v>0.17</v>
      </c>
      <c r="C47" s="85">
        <v>-9137162314.2999992</v>
      </c>
    </row>
    <row r="48" spans="1:3" x14ac:dyDescent="0.25">
      <c r="A48" s="2">
        <f t="shared" si="3"/>
        <v>10.313240312354818</v>
      </c>
      <c r="B48" s="3">
        <v>0.18</v>
      </c>
      <c r="C48" s="85">
        <v>-10354974862</v>
      </c>
    </row>
    <row r="49" spans="1:3" x14ac:dyDescent="0.25">
      <c r="A49" s="2">
        <f t="shared" si="3"/>
        <v>10.886198107485642</v>
      </c>
      <c r="B49" s="3">
        <v>0.19</v>
      </c>
      <c r="C49" s="85">
        <v>-11643154562</v>
      </c>
    </row>
    <row r="50" spans="1:3" x14ac:dyDescent="0.25">
      <c r="A50" s="2">
        <f t="shared" si="3"/>
        <v>11.459155902616466</v>
      </c>
      <c r="B50" s="3">
        <v>0.2</v>
      </c>
      <c r="C50" s="85">
        <v>-13001847541</v>
      </c>
    </row>
    <row r="51" spans="1:3" x14ac:dyDescent="0.25">
      <c r="A51" s="2">
        <f t="shared" si="3"/>
        <v>12.032113697747288</v>
      </c>
      <c r="B51" s="3">
        <v>0.21</v>
      </c>
      <c r="C51" s="85">
        <v>-14430632439</v>
      </c>
    </row>
    <row r="52" spans="1:3" x14ac:dyDescent="0.25">
      <c r="A52" s="2">
        <f t="shared" si="3"/>
        <v>12.60507149287811</v>
      </c>
      <c r="B52" s="3">
        <v>0.22</v>
      </c>
      <c r="C52" s="85">
        <v>-15925649471</v>
      </c>
    </row>
    <row r="53" spans="1:3" x14ac:dyDescent="0.25">
      <c r="A53" s="2">
        <f t="shared" si="3"/>
        <v>13.178029288008934</v>
      </c>
      <c r="B53" s="3">
        <v>0.23</v>
      </c>
      <c r="C53" s="85">
        <v>-17475303087</v>
      </c>
    </row>
    <row r="54" spans="1:3" x14ac:dyDescent="0.25">
      <c r="A54" s="2">
        <f t="shared" si="3"/>
        <v>13.292620847035099</v>
      </c>
      <c r="B54" s="3">
        <v>0.23200000000000001</v>
      </c>
      <c r="C54" s="85">
        <v>-17787317301</v>
      </c>
    </row>
    <row r="55" spans="1:3" x14ac:dyDescent="0.25">
      <c r="A55" s="2">
        <f t="shared" si="3"/>
        <v>13.750987083139757</v>
      </c>
      <c r="B55" s="3">
        <v>0.24</v>
      </c>
      <c r="C55" s="85">
        <v>-19000604530</v>
      </c>
    </row>
  </sheetData>
  <mergeCells count="2">
    <mergeCell ref="K1:M1"/>
    <mergeCell ref="O1:P1"/>
  </mergeCells>
  <conditionalFormatting sqref="S3">
    <cfRule type="containsText" dxfId="25" priority="1" operator="containsText" text="N">
      <formula>NOT(ISERROR(SEARCH("N",S3)))</formula>
    </cfRule>
    <cfRule type="containsText" dxfId="24" priority="2" operator="containsText" text="Y">
      <formula>NOT(ISERROR(SEARCH("Y",S3)))</formula>
    </cfRule>
  </conditionalFormatting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V2" sqref="V2:V25"/>
    </sheetView>
  </sheetViews>
  <sheetFormatPr defaultRowHeight="15" x14ac:dyDescent="0.25"/>
  <cols>
    <col min="1" max="1" width="7.85546875" customWidth="1"/>
    <col min="2" max="2" width="6.5703125" customWidth="1"/>
    <col min="3" max="3" width="11.5703125" bestFit="1" customWidth="1"/>
    <col min="4" max="4" width="11.85546875" bestFit="1" customWidth="1"/>
    <col min="5" max="5" width="15" bestFit="1" customWidth="1"/>
    <col min="6" max="6" width="13.7109375" bestFit="1" customWidth="1"/>
    <col min="7" max="7" width="14.85546875" bestFit="1" customWidth="1"/>
    <col min="8" max="8" width="13.5703125" bestFit="1" customWidth="1"/>
    <col min="9" max="9" width="15.85546875" bestFit="1" customWidth="1"/>
    <col min="10" max="10" width="14.5703125" bestFit="1" customWidth="1"/>
    <col min="11" max="11" width="15.7109375" bestFit="1" customWidth="1"/>
    <col min="12" max="12" width="14.85546875" bestFit="1" customWidth="1"/>
    <col min="13" max="13" width="10.5703125" bestFit="1" customWidth="1"/>
    <col min="14" max="14" width="10.140625" customWidth="1"/>
    <col min="15" max="15" width="19.42578125" customWidth="1"/>
    <col min="16" max="16" width="8.140625" bestFit="1" customWidth="1"/>
    <col min="17" max="17" width="13.28515625" bestFit="1" customWidth="1"/>
    <col min="18" max="18" width="9.5703125" bestFit="1" customWidth="1"/>
    <col min="19" max="19" width="1.7109375" customWidth="1"/>
    <col min="20" max="20" width="12.5703125" customWidth="1"/>
    <col min="21" max="21" width="12.7109375" customWidth="1"/>
    <col min="22" max="22" width="10.5703125" bestFit="1" customWidth="1"/>
  </cols>
  <sheetData>
    <row r="1" spans="1:22" x14ac:dyDescent="0.25">
      <c r="A1" s="96" t="s">
        <v>101</v>
      </c>
      <c r="B1" s="96" t="s">
        <v>102</v>
      </c>
      <c r="C1" s="96" t="s">
        <v>103</v>
      </c>
      <c r="D1" s="96" t="s">
        <v>104</v>
      </c>
      <c r="E1" s="96" t="s">
        <v>105</v>
      </c>
      <c r="F1" s="96" t="s">
        <v>106</v>
      </c>
      <c r="G1" s="96" t="s">
        <v>107</v>
      </c>
      <c r="H1" s="96" t="s">
        <v>108</v>
      </c>
      <c r="I1" s="96" t="s">
        <v>109</v>
      </c>
      <c r="J1" s="96" t="s">
        <v>110</v>
      </c>
      <c r="K1" s="96" t="s">
        <v>111</v>
      </c>
      <c r="L1" s="96" t="s">
        <v>112</v>
      </c>
      <c r="M1" s="96" t="s">
        <v>113</v>
      </c>
      <c r="N1" s="96" t="s">
        <v>118</v>
      </c>
      <c r="O1" s="96" t="s">
        <v>114</v>
      </c>
      <c r="P1" s="96" t="s">
        <v>115</v>
      </c>
      <c r="Q1" s="96" t="s">
        <v>116</v>
      </c>
      <c r="R1" s="96" t="s">
        <v>117</v>
      </c>
      <c r="T1" s="96" t="s">
        <v>159</v>
      </c>
      <c r="U1" s="96" t="s">
        <v>160</v>
      </c>
      <c r="V1" s="96" t="s">
        <v>158</v>
      </c>
    </row>
    <row r="2" spans="1:22" x14ac:dyDescent="0.25">
      <c r="A2">
        <v>1</v>
      </c>
      <c r="B2" s="7">
        <v>0</v>
      </c>
      <c r="C2" s="98">
        <v>0</v>
      </c>
      <c r="D2" s="7">
        <v>0</v>
      </c>
      <c r="E2">
        <v>1.5</v>
      </c>
      <c r="F2" s="3">
        <v>1.2999999999999999E-2</v>
      </c>
      <c r="G2">
        <v>1.6719999999999999</v>
      </c>
      <c r="H2" s="3">
        <v>6.3E-2</v>
      </c>
      <c r="I2">
        <v>8.5999999999999993E-2</v>
      </c>
      <c r="J2" s="3">
        <v>5.266</v>
      </c>
      <c r="K2" s="3">
        <v>0.08</v>
      </c>
      <c r="L2">
        <v>3.0000000000000001E-3</v>
      </c>
      <c r="M2" s="3">
        <v>13.308</v>
      </c>
      <c r="N2" s="3">
        <v>0.23200000000000001</v>
      </c>
      <c r="O2">
        <v>0</v>
      </c>
      <c r="P2">
        <v>7</v>
      </c>
      <c r="Q2" s="7">
        <v>2.4</v>
      </c>
      <c r="R2" s="3">
        <v>5.7919999999999998</v>
      </c>
      <c r="T2" s="97">
        <f>(1/12)*$G$2*(J2+2*H2)^3</f>
        <v>21.842617349461332</v>
      </c>
      <c r="U2" s="97">
        <f>(1/12)*$E$2*(J2-2*F2)^3</f>
        <v>17.984728000000004</v>
      </c>
      <c r="V2" s="97">
        <f>T2-U2</f>
        <v>3.8578893494613276</v>
      </c>
    </row>
    <row r="3" spans="1:22" x14ac:dyDescent="0.25">
      <c r="A3">
        <v>2</v>
      </c>
      <c r="B3" s="7">
        <v>0.2</v>
      </c>
      <c r="C3" s="98">
        <v>2.1762800000000001E-3</v>
      </c>
      <c r="D3" s="7">
        <v>0.2</v>
      </c>
      <c r="E3">
        <v>1.5</v>
      </c>
      <c r="F3" s="3">
        <v>1.2999999999999999E-2</v>
      </c>
      <c r="G3">
        <v>1.6719999999999999</v>
      </c>
      <c r="H3" s="3">
        <v>5.5E-2</v>
      </c>
      <c r="I3">
        <v>8.5999999999999993E-2</v>
      </c>
      <c r="J3" s="3">
        <v>5.2649999999999997</v>
      </c>
      <c r="K3" s="3">
        <v>0.08</v>
      </c>
      <c r="L3">
        <v>3.0000000000000001E-3</v>
      </c>
      <c r="M3" s="3">
        <v>13.308</v>
      </c>
      <c r="N3" s="3">
        <v>0.23200000000000001</v>
      </c>
      <c r="O3">
        <v>0</v>
      </c>
      <c r="P3">
        <v>8</v>
      </c>
      <c r="Q3" s="7">
        <v>2.6</v>
      </c>
      <c r="R3" s="3">
        <v>5.8109999999999999</v>
      </c>
      <c r="T3" s="97">
        <f t="shared" ref="T3:T25" si="0">(1/12)*$G$2*(J3+2*H3)^3</f>
        <v>21.636670572916664</v>
      </c>
      <c r="U3" s="97">
        <f t="shared" ref="U3:U25" si="1">(1/12)*$E$2*(J3-2*F3)^3</f>
        <v>17.974433364875001</v>
      </c>
      <c r="V3" s="97">
        <f t="shared" ref="V3:V25" si="2">T3-U3</f>
        <v>3.6622372080416632</v>
      </c>
    </row>
    <row r="4" spans="1:22" x14ac:dyDescent="0.25">
      <c r="A4">
        <v>3</v>
      </c>
      <c r="B4" s="7">
        <v>2.2999999999999998</v>
      </c>
      <c r="C4" s="98">
        <v>2.5027199999999999E-2</v>
      </c>
      <c r="D4" s="7">
        <v>2.5</v>
      </c>
      <c r="E4">
        <v>1.5</v>
      </c>
      <c r="F4" s="3">
        <v>0.02</v>
      </c>
      <c r="G4">
        <v>1.6719999999999999</v>
      </c>
      <c r="H4" s="3">
        <v>0.04</v>
      </c>
      <c r="I4">
        <v>8.5999999999999993E-2</v>
      </c>
      <c r="J4" s="3">
        <v>5.0090000000000003</v>
      </c>
      <c r="K4" s="3">
        <v>0.08</v>
      </c>
      <c r="L4">
        <v>3.0000000000000001E-3</v>
      </c>
      <c r="M4" s="3">
        <v>13.308</v>
      </c>
      <c r="N4" s="3">
        <v>0.23200000000000001</v>
      </c>
      <c r="O4">
        <v>0</v>
      </c>
      <c r="P4">
        <v>9</v>
      </c>
      <c r="Q4" s="7">
        <v>4.7</v>
      </c>
      <c r="R4" s="3">
        <v>6.0579999999999998</v>
      </c>
      <c r="T4" s="97">
        <f t="shared" si="0"/>
        <v>18.363369782347334</v>
      </c>
      <c r="U4" s="97">
        <f t="shared" si="1"/>
        <v>15.336173151125001</v>
      </c>
      <c r="V4" s="97">
        <f t="shared" si="2"/>
        <v>3.0271966312223331</v>
      </c>
    </row>
    <row r="5" spans="1:22" x14ac:dyDescent="0.25">
      <c r="A5">
        <v>4</v>
      </c>
      <c r="B5" s="7">
        <v>4.4000000000000004</v>
      </c>
      <c r="C5" s="98">
        <v>4.78781E-2</v>
      </c>
      <c r="D5" s="7">
        <v>4.8</v>
      </c>
      <c r="E5">
        <v>1.5</v>
      </c>
      <c r="F5" s="3">
        <v>0.03</v>
      </c>
      <c r="G5">
        <v>1.6719999999999999</v>
      </c>
      <c r="H5" s="3">
        <v>2.5000000000000001E-2</v>
      </c>
      <c r="I5">
        <v>8.5999999999999993E-2</v>
      </c>
      <c r="J5" s="3">
        <v>4.7409999999999997</v>
      </c>
      <c r="K5" s="3">
        <v>0.08</v>
      </c>
      <c r="L5">
        <v>3.0000000000000001E-3</v>
      </c>
      <c r="M5" s="3">
        <v>13.308</v>
      </c>
      <c r="N5" s="3">
        <v>0.23200000000000001</v>
      </c>
      <c r="O5">
        <v>0</v>
      </c>
      <c r="P5">
        <v>10</v>
      </c>
      <c r="Q5" s="7">
        <v>6.8</v>
      </c>
      <c r="R5" s="3">
        <v>6.3040000000000003</v>
      </c>
      <c r="T5" s="97">
        <f t="shared" si="0"/>
        <v>15.322637936825993</v>
      </c>
      <c r="U5" s="97">
        <f t="shared" si="1"/>
        <v>12.821119155125002</v>
      </c>
      <c r="V5" s="97">
        <f t="shared" si="2"/>
        <v>2.501518781700991</v>
      </c>
    </row>
    <row r="6" spans="1:22" x14ac:dyDescent="0.25">
      <c r="A6">
        <v>5</v>
      </c>
      <c r="B6" s="7">
        <v>6.5</v>
      </c>
      <c r="C6" s="98">
        <v>7.0729100000000003E-2</v>
      </c>
      <c r="D6" s="7">
        <v>7.1</v>
      </c>
      <c r="E6">
        <v>1.5</v>
      </c>
      <c r="F6" s="3">
        <v>5.0999999999999997E-2</v>
      </c>
      <c r="G6">
        <v>1.6719999999999999</v>
      </c>
      <c r="H6" s="3">
        <v>1.4999999999999999E-2</v>
      </c>
      <c r="I6">
        <v>8.5999999999999993E-2</v>
      </c>
      <c r="J6" s="3">
        <v>4.4249999999999998</v>
      </c>
      <c r="K6" s="3">
        <v>0.08</v>
      </c>
      <c r="L6">
        <v>3.0000000000000001E-3</v>
      </c>
      <c r="M6" s="3">
        <v>13.308</v>
      </c>
      <c r="N6" s="3">
        <v>0.23200000000000001</v>
      </c>
      <c r="O6">
        <v>0</v>
      </c>
      <c r="P6">
        <v>11</v>
      </c>
      <c r="Q6" s="7">
        <v>8.9</v>
      </c>
      <c r="R6" s="3">
        <v>6.5510000000000002</v>
      </c>
      <c r="T6" s="97">
        <f t="shared" si="0"/>
        <v>12.319643828250001</v>
      </c>
      <c r="U6" s="97">
        <f t="shared" si="1"/>
        <v>10.098705783374996</v>
      </c>
      <c r="V6" s="97">
        <f t="shared" si="2"/>
        <v>2.2209380448750053</v>
      </c>
    </row>
    <row r="7" spans="1:22" x14ac:dyDescent="0.25">
      <c r="A7">
        <v>6</v>
      </c>
      <c r="B7" s="7">
        <v>9</v>
      </c>
      <c r="C7" s="98">
        <v>9.7932500000000006E-2</v>
      </c>
      <c r="D7" s="7">
        <v>9.8000000000000007</v>
      </c>
      <c r="E7">
        <v>1.5</v>
      </c>
      <c r="F7" s="3">
        <v>6.8000000000000005E-2</v>
      </c>
      <c r="G7">
        <v>1.6719999999999999</v>
      </c>
      <c r="H7" s="3">
        <v>5.0000000000000001E-3</v>
      </c>
      <c r="I7">
        <v>8.5999999999999993E-2</v>
      </c>
      <c r="J7" s="3">
        <v>4.0910000000000002</v>
      </c>
      <c r="K7" s="3">
        <v>0.08</v>
      </c>
      <c r="L7">
        <v>3.0000000000000001E-3</v>
      </c>
      <c r="M7" s="3">
        <v>13.308</v>
      </c>
      <c r="N7" s="3">
        <v>0.23200000000000001</v>
      </c>
      <c r="O7">
        <v>0</v>
      </c>
      <c r="P7">
        <v>12</v>
      </c>
      <c r="Q7" s="7">
        <v>11.4</v>
      </c>
      <c r="R7" s="3">
        <v>6.835</v>
      </c>
      <c r="T7" s="97">
        <f t="shared" si="0"/>
        <v>9.610020960605997</v>
      </c>
      <c r="U7" s="97">
        <f t="shared" si="1"/>
        <v>7.7330261093750003</v>
      </c>
      <c r="V7" s="97">
        <f t="shared" si="2"/>
        <v>1.8769948512309966</v>
      </c>
    </row>
    <row r="8" spans="1:22" x14ac:dyDescent="0.25">
      <c r="A8">
        <v>7</v>
      </c>
      <c r="B8" s="7">
        <v>12.2</v>
      </c>
      <c r="C8" s="98">
        <v>0.13275300000000001</v>
      </c>
      <c r="D8" s="7">
        <v>13.3</v>
      </c>
      <c r="E8">
        <v>1.5</v>
      </c>
      <c r="F8" s="3">
        <v>9.4E-2</v>
      </c>
      <c r="G8">
        <v>0</v>
      </c>
      <c r="H8">
        <v>0</v>
      </c>
      <c r="I8">
        <v>8.5999999999999993E-2</v>
      </c>
      <c r="J8" s="3">
        <v>3.68</v>
      </c>
      <c r="K8" s="3">
        <v>0.08</v>
      </c>
      <c r="L8">
        <v>3.0000000000000001E-3</v>
      </c>
      <c r="M8" s="3">
        <v>13.308</v>
      </c>
      <c r="N8" s="3">
        <v>0.23200000000000001</v>
      </c>
      <c r="O8">
        <v>0</v>
      </c>
      <c r="P8">
        <v>13</v>
      </c>
      <c r="Q8" s="7">
        <v>14.6</v>
      </c>
      <c r="R8" s="3">
        <v>7.2149999999999999</v>
      </c>
      <c r="T8" s="97">
        <f t="shared" si="0"/>
        <v>6.9438204586666661</v>
      </c>
      <c r="U8" s="97">
        <f t="shared" si="1"/>
        <v>5.3227089359999997</v>
      </c>
      <c r="V8" s="97">
        <f t="shared" si="2"/>
        <v>1.6211115226666664</v>
      </c>
    </row>
    <row r="9" spans="1:22" x14ac:dyDescent="0.25">
      <c r="A9">
        <v>8</v>
      </c>
      <c r="B9" s="7">
        <v>13.9</v>
      </c>
      <c r="C9" s="98">
        <v>0.151251</v>
      </c>
      <c r="D9" s="7">
        <v>15.1</v>
      </c>
      <c r="E9">
        <v>1.5</v>
      </c>
      <c r="F9" s="3">
        <v>0.111</v>
      </c>
      <c r="G9">
        <v>0</v>
      </c>
      <c r="H9">
        <v>0</v>
      </c>
      <c r="I9">
        <v>8.5999999999999993E-2</v>
      </c>
      <c r="J9" s="3">
        <v>3.48</v>
      </c>
      <c r="K9" s="3">
        <v>0.08</v>
      </c>
      <c r="L9">
        <v>3.0000000000000001E-3</v>
      </c>
      <c r="M9" s="3">
        <v>13.177</v>
      </c>
      <c r="N9" s="3">
        <v>0.23</v>
      </c>
      <c r="O9">
        <v>-1.34E-3</v>
      </c>
      <c r="P9">
        <v>14</v>
      </c>
      <c r="Q9" s="7">
        <v>16.3</v>
      </c>
      <c r="R9" s="3">
        <v>7.4039999999999999</v>
      </c>
      <c r="T9" s="97">
        <f t="shared" si="0"/>
        <v>5.8720907519999992</v>
      </c>
      <c r="U9" s="97">
        <f t="shared" si="1"/>
        <v>4.3227811889999996</v>
      </c>
      <c r="V9" s="97">
        <f t="shared" si="2"/>
        <v>1.5493095629999996</v>
      </c>
    </row>
    <row r="10" spans="1:22" x14ac:dyDescent="0.25">
      <c r="A10">
        <v>9</v>
      </c>
      <c r="B10" s="7">
        <v>15.5</v>
      </c>
      <c r="C10" s="98">
        <v>0.16866200000000001</v>
      </c>
      <c r="D10" s="7">
        <v>16.899999999999999</v>
      </c>
      <c r="E10">
        <v>1.5</v>
      </c>
      <c r="F10" s="3">
        <v>0.11899999999999999</v>
      </c>
      <c r="G10">
        <v>0</v>
      </c>
      <c r="H10">
        <v>0</v>
      </c>
      <c r="I10">
        <v>8.5999999999999993E-2</v>
      </c>
      <c r="J10" s="3">
        <v>3.2850000000000001</v>
      </c>
      <c r="K10" s="3">
        <v>0.08</v>
      </c>
      <c r="L10">
        <v>3.0000000000000001E-3</v>
      </c>
      <c r="M10" s="3">
        <v>13.045999999999999</v>
      </c>
      <c r="N10" s="3">
        <v>0.22800000000000001</v>
      </c>
      <c r="O10">
        <v>-1.4300000000000001E-3</v>
      </c>
      <c r="P10">
        <v>15</v>
      </c>
      <c r="Q10" s="7">
        <v>17.899999999999999</v>
      </c>
      <c r="R10" s="3">
        <v>7.5519999999999996</v>
      </c>
      <c r="T10" s="97">
        <f t="shared" si="0"/>
        <v>4.93925159475</v>
      </c>
      <c r="U10" s="97">
        <f t="shared" si="1"/>
        <v>3.5361231028750004</v>
      </c>
      <c r="V10" s="97">
        <f t="shared" si="2"/>
        <v>1.4031284918749996</v>
      </c>
    </row>
    <row r="11" spans="1:22" x14ac:dyDescent="0.25">
      <c r="A11">
        <v>10</v>
      </c>
      <c r="B11" s="7">
        <v>17.100000000000001</v>
      </c>
      <c r="C11" s="98">
        <v>0.18607199999999999</v>
      </c>
      <c r="D11" s="7">
        <v>18.600000000000001</v>
      </c>
      <c r="E11">
        <v>1.5</v>
      </c>
      <c r="F11" s="3">
        <v>0.13600000000000001</v>
      </c>
      <c r="G11">
        <v>0</v>
      </c>
      <c r="H11">
        <v>0</v>
      </c>
      <c r="I11">
        <v>8.5999999999999993E-2</v>
      </c>
      <c r="J11" s="3">
        <v>3.089</v>
      </c>
      <c r="K11" s="3">
        <v>0.08</v>
      </c>
      <c r="L11">
        <v>3.0000000000000001E-3</v>
      </c>
      <c r="M11" s="3">
        <v>12.914999999999999</v>
      </c>
      <c r="N11" s="3">
        <v>0.22500000000000001</v>
      </c>
      <c r="O11">
        <v>-1.4300000000000001E-3</v>
      </c>
      <c r="P11">
        <v>16</v>
      </c>
      <c r="Q11" s="7">
        <v>19.5</v>
      </c>
      <c r="R11" s="3">
        <v>7.6280000000000001</v>
      </c>
      <c r="T11" s="97">
        <f t="shared" si="0"/>
        <v>4.1068491596806656</v>
      </c>
      <c r="U11" s="97">
        <f t="shared" si="1"/>
        <v>2.7942840641250006</v>
      </c>
      <c r="V11" s="97">
        <f t="shared" si="2"/>
        <v>1.3125650955556649</v>
      </c>
    </row>
    <row r="12" spans="1:22" x14ac:dyDescent="0.25">
      <c r="A12">
        <v>11</v>
      </c>
      <c r="B12" s="7">
        <v>19.8</v>
      </c>
      <c r="C12" s="98">
        <v>0.215452</v>
      </c>
      <c r="D12" s="7">
        <v>21.5</v>
      </c>
      <c r="E12">
        <v>1.5</v>
      </c>
      <c r="F12" s="3">
        <v>0.13600000000000001</v>
      </c>
      <c r="G12">
        <v>0</v>
      </c>
      <c r="H12">
        <v>0</v>
      </c>
      <c r="I12">
        <v>8.5999999999999993E-2</v>
      </c>
      <c r="J12" s="3">
        <v>2.8820000000000001</v>
      </c>
      <c r="K12" s="3">
        <v>0.08</v>
      </c>
      <c r="L12">
        <v>3.0000000000000001E-3</v>
      </c>
      <c r="M12" s="3">
        <v>12.132999999999999</v>
      </c>
      <c r="N12" s="3">
        <v>0.21199999999999999</v>
      </c>
      <c r="O12">
        <v>-5.0499999999999998E-3</v>
      </c>
      <c r="P12">
        <v>17</v>
      </c>
      <c r="Q12" s="7">
        <v>22.2</v>
      </c>
      <c r="R12" s="3">
        <v>7.585</v>
      </c>
      <c r="T12" s="97">
        <f t="shared" si="0"/>
        <v>3.3353157668746669</v>
      </c>
      <c r="U12" s="97">
        <f t="shared" si="1"/>
        <v>2.2224476250000009</v>
      </c>
      <c r="V12" s="97">
        <f t="shared" si="2"/>
        <v>1.112868141874666</v>
      </c>
    </row>
    <row r="13" spans="1:22" x14ac:dyDescent="0.25">
      <c r="A13">
        <v>12</v>
      </c>
      <c r="B13" s="7">
        <v>22.5</v>
      </c>
      <c r="C13" s="98">
        <v>0.24483099999999999</v>
      </c>
      <c r="D13" s="7">
        <v>24.5</v>
      </c>
      <c r="E13">
        <v>1.5</v>
      </c>
      <c r="F13" s="3">
        <v>0.13600000000000001</v>
      </c>
      <c r="G13">
        <v>0</v>
      </c>
      <c r="H13">
        <v>0</v>
      </c>
      <c r="I13">
        <v>8.5999999999999993E-2</v>
      </c>
      <c r="J13" s="3">
        <v>2.6960000000000002</v>
      </c>
      <c r="K13" s="3">
        <v>0.08</v>
      </c>
      <c r="L13">
        <v>3.0000000000000001E-3</v>
      </c>
      <c r="M13" s="3">
        <v>11.35</v>
      </c>
      <c r="N13" s="3">
        <v>0.19800000000000001</v>
      </c>
      <c r="O13">
        <v>-5.0600000000000003E-3</v>
      </c>
      <c r="P13">
        <v>18</v>
      </c>
      <c r="Q13" s="7">
        <v>24.9</v>
      </c>
      <c r="R13" s="3">
        <v>7.4880000000000004</v>
      </c>
      <c r="T13" s="97">
        <f t="shared" si="0"/>
        <v>2.7303271686826664</v>
      </c>
      <c r="U13" s="97">
        <f t="shared" si="1"/>
        <v>1.7803601280000008</v>
      </c>
      <c r="V13" s="97">
        <f t="shared" si="2"/>
        <v>0.94996704068266569</v>
      </c>
    </row>
    <row r="14" spans="1:22" x14ac:dyDescent="0.25">
      <c r="A14">
        <v>13</v>
      </c>
      <c r="B14" s="7">
        <v>25.2</v>
      </c>
      <c r="C14" s="98">
        <v>0.27421099999999998</v>
      </c>
      <c r="D14" s="7">
        <v>27.4</v>
      </c>
      <c r="E14">
        <v>1.5</v>
      </c>
      <c r="F14" s="3">
        <v>0.128</v>
      </c>
      <c r="G14">
        <v>0</v>
      </c>
      <c r="H14">
        <v>0</v>
      </c>
      <c r="I14">
        <v>8.5999999999999993E-2</v>
      </c>
      <c r="J14" s="3">
        <v>2.4980000000000002</v>
      </c>
      <c r="K14" s="3">
        <v>0.08</v>
      </c>
      <c r="L14">
        <v>3.0000000000000001E-3</v>
      </c>
      <c r="M14" s="3">
        <v>10.568</v>
      </c>
      <c r="N14" s="3">
        <v>0.184</v>
      </c>
      <c r="O14">
        <v>-5.0499999999999998E-3</v>
      </c>
      <c r="P14">
        <v>19</v>
      </c>
      <c r="Q14" s="7">
        <v>27.6</v>
      </c>
      <c r="R14" s="3">
        <v>7.3470000000000004</v>
      </c>
      <c r="T14" s="97">
        <f t="shared" si="0"/>
        <v>2.171862512218667</v>
      </c>
      <c r="U14" s="97">
        <f t="shared" si="1"/>
        <v>1.4086945609999999</v>
      </c>
      <c r="V14" s="97">
        <f t="shared" si="2"/>
        <v>0.7631679512186671</v>
      </c>
    </row>
    <row r="15" spans="1:22" x14ac:dyDescent="0.25">
      <c r="A15">
        <v>14</v>
      </c>
      <c r="B15" s="7">
        <v>33.4</v>
      </c>
      <c r="C15" s="98">
        <v>0.36343900000000001</v>
      </c>
      <c r="D15" s="7">
        <v>36.299999999999997</v>
      </c>
      <c r="E15">
        <v>1.5</v>
      </c>
      <c r="F15" s="3">
        <v>0.11899999999999999</v>
      </c>
      <c r="G15">
        <v>0</v>
      </c>
      <c r="H15">
        <v>0</v>
      </c>
      <c r="I15">
        <v>8.5999999999999993E-2</v>
      </c>
      <c r="J15" s="3">
        <v>2.077</v>
      </c>
      <c r="K15" s="3">
        <v>0.08</v>
      </c>
      <c r="L15">
        <v>3.0000000000000001E-3</v>
      </c>
      <c r="M15" s="3">
        <v>9.1660000000000004</v>
      </c>
      <c r="N15" s="3">
        <v>0.16</v>
      </c>
      <c r="O15">
        <v>-2.98E-3</v>
      </c>
      <c r="P15">
        <v>20</v>
      </c>
      <c r="Q15" s="7">
        <v>35.799999999999997</v>
      </c>
      <c r="R15" s="3">
        <v>6.923</v>
      </c>
      <c r="T15" s="97">
        <f t="shared" si="0"/>
        <v>1.2484309209313331</v>
      </c>
      <c r="U15" s="97">
        <f t="shared" si="1"/>
        <v>0.77741908987499997</v>
      </c>
      <c r="V15" s="97">
        <f t="shared" si="2"/>
        <v>0.47101183105633315</v>
      </c>
    </row>
    <row r="16" spans="1:22" x14ac:dyDescent="0.25">
      <c r="A16">
        <v>15</v>
      </c>
      <c r="B16" s="7">
        <v>41.5</v>
      </c>
      <c r="C16" s="98">
        <v>0.45157799999999998</v>
      </c>
      <c r="D16" s="7">
        <v>45.2</v>
      </c>
      <c r="E16">
        <v>1.5</v>
      </c>
      <c r="F16" s="3">
        <v>0.111</v>
      </c>
      <c r="G16">
        <v>0</v>
      </c>
      <c r="H16">
        <v>0</v>
      </c>
      <c r="I16">
        <v>8.5999999999999993E-2</v>
      </c>
      <c r="J16" s="3">
        <v>1.6719999999999999</v>
      </c>
      <c r="K16" s="3">
        <v>0.08</v>
      </c>
      <c r="L16">
        <v>3.0000000000000001E-3</v>
      </c>
      <c r="M16" s="3">
        <v>7.6879999999999997</v>
      </c>
      <c r="N16" s="3">
        <v>0.13400000000000001</v>
      </c>
      <c r="O16">
        <v>-3.1800000000000001E-3</v>
      </c>
      <c r="P16">
        <v>21</v>
      </c>
      <c r="Q16" s="7">
        <v>43.9</v>
      </c>
      <c r="R16" s="3">
        <v>6.4290000000000003</v>
      </c>
      <c r="T16" s="97">
        <f t="shared" si="0"/>
        <v>0.65127415842133307</v>
      </c>
      <c r="U16" s="97">
        <f t="shared" si="1"/>
        <v>0.38107812499999999</v>
      </c>
      <c r="V16" s="97">
        <f t="shared" si="2"/>
        <v>0.27019603342133308</v>
      </c>
    </row>
    <row r="17" spans="1:22" x14ac:dyDescent="0.25">
      <c r="A17">
        <v>16</v>
      </c>
      <c r="B17" s="7">
        <v>49.6</v>
      </c>
      <c r="C17" s="98">
        <v>0.539717</v>
      </c>
      <c r="D17" s="7">
        <v>54</v>
      </c>
      <c r="E17">
        <v>1.5</v>
      </c>
      <c r="F17" s="3">
        <v>0.10199999999999999</v>
      </c>
      <c r="G17">
        <v>0</v>
      </c>
      <c r="H17">
        <v>0</v>
      </c>
      <c r="I17">
        <v>8.5999999999999993E-2</v>
      </c>
      <c r="J17" s="3">
        <v>1.36</v>
      </c>
      <c r="K17" s="3">
        <v>0.08</v>
      </c>
      <c r="L17">
        <v>3.0000000000000001E-3</v>
      </c>
      <c r="M17" s="3">
        <v>6.18</v>
      </c>
      <c r="N17" s="3">
        <v>0.108</v>
      </c>
      <c r="O17">
        <v>-3.2499999999999999E-3</v>
      </c>
      <c r="P17">
        <v>22</v>
      </c>
      <c r="Q17" s="7">
        <v>52</v>
      </c>
      <c r="R17" s="3">
        <v>5.915</v>
      </c>
      <c r="T17" s="97">
        <f t="shared" si="0"/>
        <v>0.3504868693333334</v>
      </c>
      <c r="U17" s="97">
        <f t="shared" si="1"/>
        <v>0.19310055200000009</v>
      </c>
      <c r="V17" s="97">
        <f t="shared" si="2"/>
        <v>0.1573863173333333</v>
      </c>
    </row>
    <row r="18" spans="1:22" x14ac:dyDescent="0.25">
      <c r="A18">
        <v>17</v>
      </c>
      <c r="B18" s="7">
        <v>57.8</v>
      </c>
      <c r="C18" s="98">
        <v>0.62894499999999998</v>
      </c>
      <c r="D18" s="7">
        <v>62.9</v>
      </c>
      <c r="E18">
        <v>1.5</v>
      </c>
      <c r="F18" s="3">
        <v>8.5000000000000006E-2</v>
      </c>
      <c r="G18">
        <v>0</v>
      </c>
      <c r="H18">
        <v>0</v>
      </c>
      <c r="I18">
        <v>8.5999999999999993E-2</v>
      </c>
      <c r="J18" s="3">
        <v>1.1379999999999999</v>
      </c>
      <c r="K18" s="3">
        <v>0.08</v>
      </c>
      <c r="L18">
        <v>3.0000000000000001E-3</v>
      </c>
      <c r="M18" s="3">
        <v>4.7430000000000003</v>
      </c>
      <c r="N18" s="3">
        <v>8.3000000000000004E-2</v>
      </c>
      <c r="O18">
        <v>-3.0599999999999998E-3</v>
      </c>
      <c r="P18">
        <v>23</v>
      </c>
      <c r="Q18" s="7">
        <v>60.2</v>
      </c>
      <c r="R18" s="3">
        <v>5.4169999999999998</v>
      </c>
      <c r="T18" s="97">
        <f t="shared" si="0"/>
        <v>0.20534390336533326</v>
      </c>
      <c r="U18" s="97">
        <f t="shared" si="1"/>
        <v>0.11337990399999995</v>
      </c>
      <c r="V18" s="97">
        <f t="shared" si="2"/>
        <v>9.196399936533331E-2</v>
      </c>
    </row>
    <row r="19" spans="1:22" x14ac:dyDescent="0.25">
      <c r="A19">
        <v>18</v>
      </c>
      <c r="B19" s="7">
        <v>64.3</v>
      </c>
      <c r="C19" s="98">
        <v>0.69967400000000002</v>
      </c>
      <c r="D19" s="7">
        <v>70</v>
      </c>
      <c r="E19">
        <v>1.5</v>
      </c>
      <c r="F19" s="3">
        <v>6.8000000000000005E-2</v>
      </c>
      <c r="G19">
        <v>0</v>
      </c>
      <c r="H19">
        <v>0</v>
      </c>
      <c r="I19">
        <v>8.5999999999999993E-2</v>
      </c>
      <c r="J19" s="3">
        <v>0.95399999999999996</v>
      </c>
      <c r="K19" s="3">
        <v>0.08</v>
      </c>
      <c r="L19">
        <v>3.0000000000000001E-3</v>
      </c>
      <c r="M19" s="3">
        <v>3.633</v>
      </c>
      <c r="N19" s="3">
        <v>6.3E-2</v>
      </c>
      <c r="O19">
        <v>-2.98E-3</v>
      </c>
      <c r="P19">
        <v>24</v>
      </c>
      <c r="Q19" s="7">
        <v>66.7</v>
      </c>
      <c r="R19" s="3">
        <v>5.0190000000000001</v>
      </c>
      <c r="T19" s="97">
        <f t="shared" si="0"/>
        <v>0.12097625918399996</v>
      </c>
      <c r="U19" s="97">
        <f t="shared" si="1"/>
        <v>6.8417928999999988E-2</v>
      </c>
      <c r="V19" s="97">
        <f t="shared" si="2"/>
        <v>5.2558330183999968E-2</v>
      </c>
    </row>
    <row r="20" spans="1:22" x14ac:dyDescent="0.25">
      <c r="A20">
        <v>19</v>
      </c>
      <c r="B20" s="7">
        <v>65.900000000000006</v>
      </c>
      <c r="C20" s="98">
        <v>0.71708400000000005</v>
      </c>
      <c r="D20" s="7">
        <v>71.7</v>
      </c>
      <c r="E20">
        <v>1.5</v>
      </c>
      <c r="F20" s="3">
        <v>6.4000000000000001E-2</v>
      </c>
      <c r="G20">
        <v>0</v>
      </c>
      <c r="H20">
        <v>0</v>
      </c>
      <c r="I20">
        <v>8.5999999999999993E-2</v>
      </c>
      <c r="J20" s="3">
        <v>0.91</v>
      </c>
      <c r="K20" s="3">
        <v>0.08</v>
      </c>
      <c r="L20">
        <v>3.0000000000000001E-3</v>
      </c>
      <c r="M20" s="3">
        <v>3.383</v>
      </c>
      <c r="N20" s="3">
        <v>5.8999999999999997E-2</v>
      </c>
      <c r="O20">
        <v>-2.7299999999999998E-3</v>
      </c>
      <c r="P20">
        <v>25</v>
      </c>
      <c r="Q20" s="7">
        <v>68.3</v>
      </c>
      <c r="R20" s="3">
        <v>4.92</v>
      </c>
      <c r="T20" s="97">
        <f t="shared" si="0"/>
        <v>0.10499755933333332</v>
      </c>
      <c r="U20" s="97">
        <f t="shared" si="1"/>
        <v>5.9776471000000012E-2</v>
      </c>
      <c r="V20" s="97">
        <f t="shared" si="2"/>
        <v>4.5221088333333312E-2</v>
      </c>
    </row>
    <row r="21" spans="1:22" x14ac:dyDescent="0.25">
      <c r="A21">
        <v>20</v>
      </c>
      <c r="B21" s="7">
        <v>70.8</v>
      </c>
      <c r="C21" s="98">
        <v>0.77040299999999995</v>
      </c>
      <c r="D21" s="7">
        <v>77</v>
      </c>
      <c r="E21">
        <v>1.5</v>
      </c>
      <c r="F21" s="3">
        <v>4.7E-2</v>
      </c>
      <c r="G21">
        <v>0</v>
      </c>
      <c r="H21">
        <v>0</v>
      </c>
      <c r="I21">
        <v>8.5999999999999993E-2</v>
      </c>
      <c r="J21" s="3">
        <v>0.83199999999999996</v>
      </c>
      <c r="K21" s="3">
        <v>0.08</v>
      </c>
      <c r="L21">
        <v>3.0000000000000001E-3</v>
      </c>
      <c r="M21" s="3">
        <v>2.7349999999999999</v>
      </c>
      <c r="N21" s="3">
        <v>4.8000000000000001E-2</v>
      </c>
      <c r="O21">
        <v>-2.31E-3</v>
      </c>
      <c r="P21">
        <v>26</v>
      </c>
      <c r="Q21" s="7">
        <v>73.2</v>
      </c>
      <c r="R21" s="3">
        <v>4.6210000000000004</v>
      </c>
      <c r="T21" s="97">
        <f t="shared" si="0"/>
        <v>8.0246297941333311E-2</v>
      </c>
      <c r="U21" s="97">
        <f t="shared" si="1"/>
        <v>5.0243409000000003E-2</v>
      </c>
      <c r="V21" s="97">
        <f t="shared" si="2"/>
        <v>3.0002888941333308E-2</v>
      </c>
    </row>
    <row r="22" spans="1:22" x14ac:dyDescent="0.25">
      <c r="A22">
        <v>21</v>
      </c>
      <c r="B22" s="7">
        <v>74</v>
      </c>
      <c r="C22" s="98">
        <v>0.80522300000000002</v>
      </c>
      <c r="D22" s="7">
        <v>80.5</v>
      </c>
      <c r="E22">
        <v>1.5</v>
      </c>
      <c r="F22" s="3">
        <v>3.4000000000000002E-2</v>
      </c>
      <c r="G22">
        <v>0</v>
      </c>
      <c r="H22">
        <v>0</v>
      </c>
      <c r="I22">
        <v>8.5999999999999993E-2</v>
      </c>
      <c r="J22" s="3">
        <v>0.79600000000000004</v>
      </c>
      <c r="K22" s="3">
        <v>0.08</v>
      </c>
      <c r="L22">
        <v>3.0000000000000001E-3</v>
      </c>
      <c r="M22" s="3">
        <v>2.3479999999999999</v>
      </c>
      <c r="N22" s="3">
        <v>4.1000000000000002E-2</v>
      </c>
      <c r="O22">
        <v>-2.1099999999999999E-3</v>
      </c>
      <c r="P22">
        <v>27</v>
      </c>
      <c r="Q22" s="7">
        <v>76.400000000000006</v>
      </c>
      <c r="R22" s="3">
        <v>4.4219999999999997</v>
      </c>
      <c r="T22" s="97">
        <f t="shared" si="0"/>
        <v>7.0273928149333337E-2</v>
      </c>
      <c r="U22" s="97">
        <f t="shared" si="1"/>
        <v>4.8228543999999998E-2</v>
      </c>
      <c r="V22" s="97">
        <f t="shared" si="2"/>
        <v>2.2045384149333339E-2</v>
      </c>
    </row>
    <row r="23" spans="1:22" x14ac:dyDescent="0.25">
      <c r="A23">
        <v>22</v>
      </c>
      <c r="B23" s="7">
        <v>82.2</v>
      </c>
      <c r="C23" s="98">
        <v>0.89444999999999997</v>
      </c>
      <c r="D23" s="7">
        <v>89.4</v>
      </c>
      <c r="E23">
        <v>1.5</v>
      </c>
      <c r="F23" s="3">
        <v>1.7000000000000001E-2</v>
      </c>
      <c r="G23">
        <v>0</v>
      </c>
      <c r="H23">
        <v>0</v>
      </c>
      <c r="I23">
        <v>8.5999999999999993E-2</v>
      </c>
      <c r="J23" s="3">
        <v>0.70699999999999996</v>
      </c>
      <c r="K23" s="3">
        <v>0.08</v>
      </c>
      <c r="L23">
        <v>3.0000000000000001E-3</v>
      </c>
      <c r="M23" s="3">
        <v>1.38</v>
      </c>
      <c r="N23" s="3">
        <v>2.4E-2</v>
      </c>
      <c r="O23">
        <v>-2.0600000000000002E-3</v>
      </c>
      <c r="P23">
        <v>28</v>
      </c>
      <c r="Q23" s="7">
        <v>84.6</v>
      </c>
      <c r="R23" s="3">
        <v>3.9249999999999998</v>
      </c>
      <c r="T23" s="97">
        <f t="shared" si="0"/>
        <v>4.9239458524666643E-2</v>
      </c>
      <c r="U23" s="97">
        <f t="shared" si="1"/>
        <v>3.810265212499999E-2</v>
      </c>
      <c r="V23" s="97">
        <f t="shared" si="2"/>
        <v>1.1136806399666653E-2</v>
      </c>
    </row>
    <row r="24" spans="1:22" x14ac:dyDescent="0.25">
      <c r="A24">
        <v>23</v>
      </c>
      <c r="B24" s="7">
        <v>87</v>
      </c>
      <c r="C24" s="98">
        <v>0.94668099999999999</v>
      </c>
      <c r="D24" s="7">
        <v>94.7</v>
      </c>
      <c r="E24">
        <v>1.5</v>
      </c>
      <c r="F24" s="3">
        <v>8.9999999999999993E-3</v>
      </c>
      <c r="G24">
        <v>0</v>
      </c>
      <c r="H24">
        <v>0</v>
      </c>
      <c r="I24">
        <v>8.5999999999999993E-2</v>
      </c>
      <c r="J24" s="3">
        <v>0.65100000000000002</v>
      </c>
      <c r="K24" s="3">
        <v>0.08</v>
      </c>
      <c r="L24">
        <v>3.0000000000000001E-3</v>
      </c>
      <c r="M24" s="3">
        <v>0.79900000000000004</v>
      </c>
      <c r="N24" s="3">
        <v>1.4E-2</v>
      </c>
      <c r="O24">
        <v>-2.1099999999999999E-3</v>
      </c>
      <c r="P24">
        <v>29</v>
      </c>
      <c r="Q24" s="7">
        <v>89.4</v>
      </c>
      <c r="R24" s="3">
        <v>3.6190000000000002</v>
      </c>
      <c r="T24" s="97">
        <f t="shared" si="0"/>
        <v>3.8441293506E-2</v>
      </c>
      <c r="U24" s="97">
        <f t="shared" si="1"/>
        <v>3.1704517125000005E-2</v>
      </c>
      <c r="V24" s="97">
        <f t="shared" si="2"/>
        <v>6.7367763809999953E-3</v>
      </c>
    </row>
    <row r="25" spans="1:22" x14ac:dyDescent="0.25">
      <c r="A25">
        <v>24</v>
      </c>
      <c r="B25" s="7">
        <v>91.9</v>
      </c>
      <c r="C25" s="98">
        <v>1</v>
      </c>
      <c r="D25" s="7">
        <v>100</v>
      </c>
      <c r="E25">
        <v>1.5</v>
      </c>
      <c r="F25" s="3">
        <v>5.0000000000000001E-3</v>
      </c>
      <c r="G25">
        <v>0</v>
      </c>
      <c r="H25">
        <v>0</v>
      </c>
      <c r="I25">
        <v>8.5999999999999993E-2</v>
      </c>
      <c r="J25" s="3">
        <v>0.50800000000000001</v>
      </c>
      <c r="K25" s="3">
        <v>0.08</v>
      </c>
      <c r="L25">
        <v>3.0000000000000001E-3</v>
      </c>
      <c r="M25" s="3">
        <v>0.28000000000000003</v>
      </c>
      <c r="N25" s="3">
        <v>5.0000000000000001E-3</v>
      </c>
      <c r="O25">
        <v>-1.8500000000000001E-3</v>
      </c>
      <c r="P25">
        <v>30</v>
      </c>
      <c r="Q25" s="7">
        <v>94.3</v>
      </c>
      <c r="R25" s="3">
        <v>2.8239999999999998</v>
      </c>
      <c r="T25" s="97">
        <f t="shared" si="0"/>
        <v>1.8266114005333331E-2</v>
      </c>
      <c r="U25" s="97">
        <f t="shared" si="1"/>
        <v>1.5438248999999999E-2</v>
      </c>
      <c r="V25" s="97">
        <f t="shared" si="2"/>
        <v>2.8278650053333316E-3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opLeftCell="B1" workbookViewId="0">
      <selection activeCell="M2" sqref="M2:M25"/>
    </sheetView>
  </sheetViews>
  <sheetFormatPr defaultRowHeight="15" x14ac:dyDescent="0.25"/>
  <cols>
    <col min="1" max="1" width="9.28515625" customWidth="1"/>
    <col min="2" max="2" width="6.140625" customWidth="1"/>
    <col min="3" max="3" width="4.7109375" customWidth="1"/>
    <col min="4" max="4" width="4.5703125" customWidth="1"/>
    <col min="5" max="5" width="4.5703125" bestFit="1" customWidth="1"/>
    <col min="6" max="6" width="11.5703125" customWidth="1"/>
    <col min="7" max="10" width="7.7109375" customWidth="1"/>
    <col min="11" max="11" width="7.5703125" customWidth="1"/>
    <col min="12" max="13" width="8.5703125" customWidth="1"/>
    <col min="14" max="14" width="8.42578125" customWidth="1"/>
    <col min="15" max="15" width="7.7109375" customWidth="1"/>
    <col min="16" max="16" width="6.5703125" customWidth="1"/>
    <col min="17" max="17" width="5.42578125" customWidth="1"/>
    <col min="18" max="18" width="10" customWidth="1"/>
    <col min="19" max="19" width="5" customWidth="1"/>
    <col min="20" max="20" width="7.7109375" customWidth="1"/>
    <col min="21" max="21" width="5.7109375" customWidth="1"/>
    <col min="22" max="22" width="7.7109375" customWidth="1"/>
    <col min="23" max="23" width="6.28515625" customWidth="1"/>
    <col min="25" max="25" width="2.85546875" customWidth="1"/>
    <col min="26" max="26" width="20.5703125" bestFit="1" customWidth="1"/>
    <col min="27" max="27" width="7.42578125" bestFit="1" customWidth="1"/>
    <col min="28" max="28" width="9.42578125" bestFit="1" customWidth="1"/>
    <col min="29" max="29" width="2.5703125" customWidth="1"/>
    <col min="30" max="30" width="39.42578125" bestFit="1" customWidth="1"/>
    <col min="31" max="31" width="7.5703125" bestFit="1" customWidth="1"/>
    <col min="32" max="32" width="8.42578125" bestFit="1" customWidth="1"/>
  </cols>
  <sheetData>
    <row r="1" spans="1:32" ht="36" customHeight="1" x14ac:dyDescent="0.35">
      <c r="C1" s="99" t="s">
        <v>101</v>
      </c>
      <c r="D1" s="99" t="s">
        <v>122</v>
      </c>
      <c r="E1" s="107" t="s">
        <v>121</v>
      </c>
      <c r="F1" s="99" t="s">
        <v>103</v>
      </c>
      <c r="G1" s="99" t="s">
        <v>104</v>
      </c>
      <c r="H1" s="99" t="s">
        <v>105</v>
      </c>
      <c r="I1" s="107" t="s">
        <v>106</v>
      </c>
      <c r="J1" s="99" t="s">
        <v>107</v>
      </c>
      <c r="K1" s="107" t="s">
        <v>108</v>
      </c>
      <c r="L1" s="99" t="s">
        <v>109</v>
      </c>
      <c r="M1" s="107" t="s">
        <v>110</v>
      </c>
      <c r="N1" s="99" t="s">
        <v>111</v>
      </c>
      <c r="O1" s="99" t="s">
        <v>112</v>
      </c>
      <c r="P1" s="99" t="s">
        <v>113</v>
      </c>
      <c r="Q1" s="99" t="s">
        <v>118</v>
      </c>
      <c r="R1" s="99" t="s">
        <v>123</v>
      </c>
      <c r="S1" s="99" t="s">
        <v>115</v>
      </c>
      <c r="T1" s="99" t="s">
        <v>116</v>
      </c>
      <c r="U1" s="107" t="s">
        <v>117</v>
      </c>
      <c r="V1" s="108" t="s">
        <v>119</v>
      </c>
      <c r="W1" s="108" t="s">
        <v>120</v>
      </c>
      <c r="X1" s="107" t="s">
        <v>124</v>
      </c>
      <c r="Z1" s="117" t="s">
        <v>137</v>
      </c>
      <c r="AA1" s="117"/>
      <c r="AB1" s="117"/>
      <c r="AD1" s="118" t="s">
        <v>136</v>
      </c>
      <c r="AE1" s="118"/>
      <c r="AF1" s="118"/>
    </row>
    <row r="2" spans="1:32" ht="18" customHeight="1" x14ac:dyDescent="0.25">
      <c r="B2" s="119" t="s">
        <v>153</v>
      </c>
      <c r="C2">
        <v>1</v>
      </c>
      <c r="D2" s="7">
        <v>0</v>
      </c>
      <c r="E2" s="106">
        <v>0</v>
      </c>
      <c r="F2" s="98">
        <v>0</v>
      </c>
      <c r="G2" s="7">
        <v>0</v>
      </c>
      <c r="H2">
        <v>1.5</v>
      </c>
      <c r="I2" s="3">
        <v>1.2999999999999999E-2</v>
      </c>
      <c r="J2">
        <v>1.6719999999999999</v>
      </c>
      <c r="K2" s="97">
        <v>6.3E-2</v>
      </c>
      <c r="L2">
        <v>8.5999999999999993E-2</v>
      </c>
      <c r="M2" s="3">
        <v>5.266</v>
      </c>
      <c r="N2" s="3">
        <v>0.08</v>
      </c>
      <c r="O2">
        <v>3.0000000000000001E-3</v>
      </c>
      <c r="P2" s="3">
        <v>13.308</v>
      </c>
      <c r="Q2" s="3">
        <v>0.23200000000000001</v>
      </c>
      <c r="R2">
        <v>0</v>
      </c>
      <c r="S2">
        <v>7</v>
      </c>
      <c r="T2" s="7">
        <v>2.4</v>
      </c>
      <c r="U2" s="3">
        <v>5.7919999999999998</v>
      </c>
      <c r="V2" s="3">
        <f>(K2+I2+M2/2)</f>
        <v>2.7090000000000001</v>
      </c>
      <c r="W2" s="3">
        <f>V2/U2</f>
        <v>0.46771408839779011</v>
      </c>
      <c r="X2" s="3">
        <v>0</v>
      </c>
      <c r="Z2" s="100" t="s">
        <v>125</v>
      </c>
      <c r="AA2" s="100" t="s">
        <v>126</v>
      </c>
      <c r="AB2" s="100" t="s">
        <v>135</v>
      </c>
      <c r="AD2" s="101" t="s">
        <v>125</v>
      </c>
      <c r="AE2" s="101" t="s">
        <v>126</v>
      </c>
      <c r="AF2" s="101" t="s">
        <v>138</v>
      </c>
    </row>
    <row r="3" spans="1:32" ht="18" x14ac:dyDescent="0.35">
      <c r="B3" s="119"/>
      <c r="C3">
        <v>2</v>
      </c>
      <c r="D3" s="7">
        <v>0.2</v>
      </c>
      <c r="E3" s="106">
        <v>0</v>
      </c>
      <c r="F3" s="98">
        <v>2.1762800000000001E-3</v>
      </c>
      <c r="G3" s="7">
        <v>0.2</v>
      </c>
      <c r="H3">
        <v>1.5</v>
      </c>
      <c r="I3" s="3">
        <v>1.2999999999999999E-2</v>
      </c>
      <c r="J3">
        <v>1.6719999999999999</v>
      </c>
      <c r="K3" s="97">
        <v>5.5E-2</v>
      </c>
      <c r="L3">
        <v>8.5999999999999993E-2</v>
      </c>
      <c r="M3" s="3">
        <v>5.2649999999999997</v>
      </c>
      <c r="N3" s="3">
        <v>0.08</v>
      </c>
      <c r="O3">
        <v>3.0000000000000001E-3</v>
      </c>
      <c r="P3" s="3">
        <v>13.308</v>
      </c>
      <c r="Q3" s="3">
        <v>0.23200000000000001</v>
      </c>
      <c r="R3">
        <v>0</v>
      </c>
      <c r="S3">
        <v>8</v>
      </c>
      <c r="T3" s="7">
        <v>2.6</v>
      </c>
      <c r="U3" s="3">
        <v>5.8109999999999999</v>
      </c>
      <c r="V3" s="3">
        <f t="shared" ref="V3:V25" si="0">(K3+I3+M3/2)</f>
        <v>2.7004999999999999</v>
      </c>
      <c r="W3" s="3">
        <f t="shared" ref="W3:W25" si="1">V3/U3</f>
        <v>0.46472207881603855</v>
      </c>
      <c r="X3" s="3">
        <v>0</v>
      </c>
      <c r="Z3" t="s">
        <v>127</v>
      </c>
      <c r="AA3" s="1" t="s">
        <v>128</v>
      </c>
      <c r="AB3" s="7">
        <f>D25</f>
        <v>91.9</v>
      </c>
      <c r="AD3" t="s">
        <v>139</v>
      </c>
      <c r="AE3" s="1" t="s">
        <v>142</v>
      </c>
      <c r="AF3" s="3">
        <f>AB4/AB3</f>
        <v>0.53971708378672467</v>
      </c>
    </row>
    <row r="4" spans="1:32" ht="18" x14ac:dyDescent="0.35">
      <c r="A4" s="120" t="s">
        <v>146</v>
      </c>
      <c r="B4" s="119"/>
      <c r="C4" s="102">
        <v>3</v>
      </c>
      <c r="D4" s="103">
        <v>2.2999999999999998</v>
      </c>
      <c r="E4" s="106">
        <v>0</v>
      </c>
      <c r="F4" s="104">
        <v>2.5027199999999999E-2</v>
      </c>
      <c r="G4" s="103">
        <v>2.5</v>
      </c>
      <c r="H4" s="102">
        <v>1.5</v>
      </c>
      <c r="I4" s="105">
        <v>0.02</v>
      </c>
      <c r="J4" s="102">
        <v>1.6719999999999999</v>
      </c>
      <c r="K4" s="109">
        <v>0.04</v>
      </c>
      <c r="L4" s="102">
        <v>8.5999999999999993E-2</v>
      </c>
      <c r="M4" s="105">
        <v>5.0090000000000003</v>
      </c>
      <c r="N4" s="105">
        <v>0.08</v>
      </c>
      <c r="O4" s="102">
        <v>3.0000000000000001E-3</v>
      </c>
      <c r="P4" s="105">
        <v>13.308</v>
      </c>
      <c r="Q4" s="105">
        <v>0.23200000000000001</v>
      </c>
      <c r="R4" s="102">
        <v>0</v>
      </c>
      <c r="S4" s="102">
        <v>9</v>
      </c>
      <c r="T4" s="103">
        <v>4.7</v>
      </c>
      <c r="U4" s="105">
        <v>6.0579999999999998</v>
      </c>
      <c r="V4" s="105">
        <f t="shared" si="0"/>
        <v>2.5645000000000002</v>
      </c>
      <c r="W4" s="105">
        <f t="shared" si="1"/>
        <v>0.42332452954770555</v>
      </c>
      <c r="X4" s="105">
        <v>0</v>
      </c>
      <c r="Z4" t="s">
        <v>129</v>
      </c>
      <c r="AA4" s="1" t="s">
        <v>130</v>
      </c>
      <c r="AB4" s="7">
        <f>D17-D2</f>
        <v>49.6</v>
      </c>
      <c r="AD4" t="s">
        <v>140</v>
      </c>
      <c r="AE4" s="1" t="s">
        <v>141</v>
      </c>
      <c r="AF4" s="3">
        <f>AB6/AB4</f>
        <v>0.32661290322580649</v>
      </c>
    </row>
    <row r="5" spans="1:32" ht="18" x14ac:dyDescent="0.35">
      <c r="A5" s="120"/>
      <c r="C5">
        <v>4</v>
      </c>
      <c r="D5" s="7">
        <v>4.4000000000000004</v>
      </c>
      <c r="E5" s="106">
        <f t="shared" ref="E5:E10" si="2">X5*U5</f>
        <v>2.5216000000000003</v>
      </c>
      <c r="F5" s="98">
        <v>4.78781E-2</v>
      </c>
      <c r="G5" s="7">
        <v>4.8</v>
      </c>
      <c r="H5">
        <v>1.5</v>
      </c>
      <c r="I5" s="3">
        <f>0.03/2</f>
        <v>1.4999999999999999E-2</v>
      </c>
      <c r="J5">
        <v>1.6719999999999999</v>
      </c>
      <c r="K5" s="97">
        <f>0.025/2</f>
        <v>1.2500000000000001E-2</v>
      </c>
      <c r="L5">
        <v>8.5999999999999993E-2</v>
      </c>
      <c r="M5" s="3">
        <f>4.741/2</f>
        <v>2.3704999999999998</v>
      </c>
      <c r="N5" s="3">
        <v>0.08</v>
      </c>
      <c r="O5">
        <v>3.0000000000000001E-3</v>
      </c>
      <c r="P5" s="3">
        <v>13.308</v>
      </c>
      <c r="Q5" s="3">
        <v>0.23200000000000001</v>
      </c>
      <c r="R5">
        <v>0</v>
      </c>
      <c r="S5">
        <v>10</v>
      </c>
      <c r="T5" s="7">
        <v>6.8</v>
      </c>
      <c r="U5" s="3">
        <v>6.3040000000000003</v>
      </c>
      <c r="V5" s="3">
        <f>2*(K5+I5+M5/2)</f>
        <v>2.4255</v>
      </c>
      <c r="W5" s="3">
        <f t="shared" si="1"/>
        <v>0.38475571065989844</v>
      </c>
      <c r="X5" s="3">
        <v>0.4</v>
      </c>
      <c r="Z5" t="s">
        <v>154</v>
      </c>
      <c r="AA5" s="1" t="s">
        <v>155</v>
      </c>
      <c r="AB5" s="7">
        <f>D4-D2</f>
        <v>2.2999999999999998</v>
      </c>
      <c r="AD5" t="s">
        <v>143</v>
      </c>
      <c r="AE5" s="1" t="s">
        <v>145</v>
      </c>
      <c r="AF5" s="3">
        <f>AB7/AB4</f>
        <v>0.29838709677419356</v>
      </c>
    </row>
    <row r="6" spans="1:32" ht="18" x14ac:dyDescent="0.35">
      <c r="A6" s="120"/>
      <c r="C6">
        <v>5</v>
      </c>
      <c r="D6" s="7">
        <v>6.5</v>
      </c>
      <c r="E6" s="106">
        <f t="shared" si="2"/>
        <v>3.2755000000000001</v>
      </c>
      <c r="F6" s="98">
        <v>7.0729100000000003E-2</v>
      </c>
      <c r="G6" s="7">
        <v>7.1</v>
      </c>
      <c r="H6">
        <v>1.5</v>
      </c>
      <c r="I6" s="3">
        <f>0.051/2</f>
        <v>2.5499999999999998E-2</v>
      </c>
      <c r="J6">
        <v>1.6719999999999999</v>
      </c>
      <c r="K6" s="97">
        <f>0.015/2</f>
        <v>7.4999999999999997E-3</v>
      </c>
      <c r="L6">
        <v>8.5999999999999993E-2</v>
      </c>
      <c r="M6" s="3">
        <f>4.425/2</f>
        <v>2.2124999999999999</v>
      </c>
      <c r="N6" s="3">
        <v>0.08</v>
      </c>
      <c r="O6">
        <v>3.0000000000000001E-3</v>
      </c>
      <c r="P6" s="3">
        <v>13.308</v>
      </c>
      <c r="Q6" s="3">
        <v>0.23200000000000001</v>
      </c>
      <c r="R6">
        <v>0</v>
      </c>
      <c r="S6">
        <v>11</v>
      </c>
      <c r="T6" s="7">
        <v>8.9</v>
      </c>
      <c r="U6" s="3">
        <v>6.5510000000000002</v>
      </c>
      <c r="V6" s="3">
        <f t="shared" ref="V6:V16" si="3">2*(K6+I6+M6/2)</f>
        <v>2.2784999999999997</v>
      </c>
      <c r="W6" s="3">
        <f t="shared" si="1"/>
        <v>0.34780949473362843</v>
      </c>
      <c r="X6" s="3">
        <v>0.5</v>
      </c>
      <c r="Z6" t="s">
        <v>133</v>
      </c>
      <c r="AA6" s="1" t="s">
        <v>131</v>
      </c>
      <c r="AB6" s="7">
        <f>D17-D15</f>
        <v>16.200000000000003</v>
      </c>
      <c r="AD6" t="s">
        <v>156</v>
      </c>
      <c r="AE6" s="1" t="s">
        <v>157</v>
      </c>
      <c r="AF6" s="3">
        <f>AB5/AB4</f>
        <v>4.6370967741935477E-2</v>
      </c>
    </row>
    <row r="7" spans="1:32" ht="18" customHeight="1" x14ac:dyDescent="0.35">
      <c r="A7" s="120"/>
      <c r="C7">
        <v>6</v>
      </c>
      <c r="D7" s="7">
        <v>9</v>
      </c>
      <c r="E7" s="106">
        <f t="shared" si="2"/>
        <v>4.101</v>
      </c>
      <c r="F7" s="98">
        <v>9.7932500000000006E-2</v>
      </c>
      <c r="G7" s="7">
        <v>9.8000000000000007</v>
      </c>
      <c r="H7">
        <v>1.5</v>
      </c>
      <c r="I7" s="3">
        <f>0.068/2</f>
        <v>3.4000000000000002E-2</v>
      </c>
      <c r="J7">
        <v>1.6719999999999999</v>
      </c>
      <c r="K7" s="97">
        <f>0.005/2</f>
        <v>2.5000000000000001E-3</v>
      </c>
      <c r="L7">
        <v>8.5999999999999993E-2</v>
      </c>
      <c r="M7" s="3">
        <f>4.091/2</f>
        <v>2.0455000000000001</v>
      </c>
      <c r="N7" s="3">
        <v>0.08</v>
      </c>
      <c r="O7">
        <v>3.0000000000000001E-3</v>
      </c>
      <c r="P7" s="3">
        <v>13.308</v>
      </c>
      <c r="Q7" s="3">
        <v>0.23200000000000001</v>
      </c>
      <c r="R7">
        <v>0</v>
      </c>
      <c r="S7">
        <v>12</v>
      </c>
      <c r="T7" s="7">
        <v>11.4</v>
      </c>
      <c r="U7" s="3">
        <v>6.835</v>
      </c>
      <c r="V7" s="3">
        <f t="shared" si="3"/>
        <v>2.1185</v>
      </c>
      <c r="W7" s="3">
        <f t="shared" si="1"/>
        <v>0.30994879297732264</v>
      </c>
      <c r="X7" s="3">
        <v>0.6</v>
      </c>
      <c r="Z7" t="s">
        <v>134</v>
      </c>
      <c r="AA7" s="1" t="s">
        <v>132</v>
      </c>
      <c r="AB7" s="7">
        <f>D11-D4</f>
        <v>14.8</v>
      </c>
      <c r="AD7" t="s">
        <v>144</v>
      </c>
      <c r="AE7" s="1" t="s">
        <v>150</v>
      </c>
      <c r="AF7" s="3">
        <v>1</v>
      </c>
    </row>
    <row r="8" spans="1:32" ht="18" customHeight="1" x14ac:dyDescent="0.35">
      <c r="A8" s="120"/>
      <c r="C8">
        <v>7</v>
      </c>
      <c r="D8" s="7">
        <v>12.2</v>
      </c>
      <c r="E8" s="106">
        <f t="shared" si="2"/>
        <v>5.0504999999999995</v>
      </c>
      <c r="F8" s="98">
        <v>0.13275300000000001</v>
      </c>
      <c r="G8" s="7">
        <v>13.3</v>
      </c>
      <c r="H8">
        <v>1.5</v>
      </c>
      <c r="I8" s="3">
        <f>0.094/2</f>
        <v>4.7E-2</v>
      </c>
      <c r="J8">
        <v>0</v>
      </c>
      <c r="K8">
        <v>0</v>
      </c>
      <c r="L8">
        <v>8.5999999999999993E-2</v>
      </c>
      <c r="M8" s="3">
        <f>3.68/2</f>
        <v>1.84</v>
      </c>
      <c r="N8" s="3">
        <v>0.08</v>
      </c>
      <c r="O8">
        <v>3.0000000000000001E-3</v>
      </c>
      <c r="P8" s="3">
        <v>13.308</v>
      </c>
      <c r="Q8" s="3">
        <v>0.23200000000000001</v>
      </c>
      <c r="R8">
        <v>0</v>
      </c>
      <c r="S8">
        <v>13</v>
      </c>
      <c r="T8" s="7">
        <v>14.6</v>
      </c>
      <c r="U8" s="3">
        <v>7.2149999999999999</v>
      </c>
      <c r="V8" s="3">
        <f t="shared" si="3"/>
        <v>1.9340000000000002</v>
      </c>
      <c r="W8" s="3">
        <f t="shared" si="1"/>
        <v>0.26805266805266809</v>
      </c>
      <c r="X8" s="3">
        <v>0.7</v>
      </c>
      <c r="Z8" t="s">
        <v>148</v>
      </c>
      <c r="AA8" s="1" t="s">
        <v>149</v>
      </c>
      <c r="AB8">
        <f>2*E11</f>
        <v>15.256</v>
      </c>
    </row>
    <row r="9" spans="1:32" x14ac:dyDescent="0.25">
      <c r="A9" s="120"/>
      <c r="C9">
        <v>8</v>
      </c>
      <c r="D9" s="7">
        <v>13.9</v>
      </c>
      <c r="E9" s="106">
        <f t="shared" si="2"/>
        <v>5.9232000000000005</v>
      </c>
      <c r="F9" s="98">
        <v>0.151251</v>
      </c>
      <c r="G9" s="7">
        <v>15.1</v>
      </c>
      <c r="H9">
        <v>1.5</v>
      </c>
      <c r="I9" s="3">
        <f>0.111/2</f>
        <v>5.5500000000000001E-2</v>
      </c>
      <c r="J9">
        <v>0</v>
      </c>
      <c r="K9">
        <v>0</v>
      </c>
      <c r="L9">
        <v>8.5999999999999993E-2</v>
      </c>
      <c r="M9" s="3">
        <f>3.48/2</f>
        <v>1.74</v>
      </c>
      <c r="N9" s="3">
        <v>0.08</v>
      </c>
      <c r="O9">
        <v>3.0000000000000001E-3</v>
      </c>
      <c r="P9" s="3">
        <v>13.177</v>
      </c>
      <c r="Q9" s="3">
        <v>0.23</v>
      </c>
      <c r="R9">
        <v>-1.34E-3</v>
      </c>
      <c r="S9">
        <v>14</v>
      </c>
      <c r="T9" s="7">
        <v>16.3</v>
      </c>
      <c r="U9" s="3">
        <v>7.4039999999999999</v>
      </c>
      <c r="V9" s="3">
        <f t="shared" si="3"/>
        <v>1.851</v>
      </c>
      <c r="W9" s="3">
        <f t="shared" si="1"/>
        <v>0.25</v>
      </c>
      <c r="X9" s="3">
        <v>0.8</v>
      </c>
    </row>
    <row r="10" spans="1:32" x14ac:dyDescent="0.25">
      <c r="A10" s="120"/>
      <c r="C10">
        <v>9</v>
      </c>
      <c r="D10" s="7">
        <v>15.5</v>
      </c>
      <c r="E10" s="106">
        <f t="shared" si="2"/>
        <v>6.7968000000000002</v>
      </c>
      <c r="F10" s="98">
        <v>0.16866200000000001</v>
      </c>
      <c r="G10" s="7">
        <v>16.899999999999999</v>
      </c>
      <c r="H10">
        <v>1.5</v>
      </c>
      <c r="I10" s="3">
        <f>0.119/2</f>
        <v>5.9499999999999997E-2</v>
      </c>
      <c r="J10">
        <v>0</v>
      </c>
      <c r="K10">
        <v>0</v>
      </c>
      <c r="L10">
        <v>8.5999999999999993E-2</v>
      </c>
      <c r="M10" s="3">
        <f>3.285/2</f>
        <v>1.6425000000000001</v>
      </c>
      <c r="N10" s="3">
        <v>0.08</v>
      </c>
      <c r="O10">
        <v>3.0000000000000001E-3</v>
      </c>
      <c r="P10" s="3">
        <v>13.045999999999999</v>
      </c>
      <c r="Q10" s="3">
        <v>0.22800000000000001</v>
      </c>
      <c r="R10">
        <v>-1.4300000000000001E-3</v>
      </c>
      <c r="S10">
        <v>15</v>
      </c>
      <c r="T10" s="7">
        <v>17.899999999999999</v>
      </c>
      <c r="U10" s="3">
        <v>7.5519999999999996</v>
      </c>
      <c r="V10" s="3">
        <f t="shared" si="3"/>
        <v>1.7615000000000001</v>
      </c>
      <c r="W10" s="3">
        <f t="shared" si="1"/>
        <v>0.23324947033898308</v>
      </c>
      <c r="X10" s="3">
        <v>0.9</v>
      </c>
    </row>
    <row r="11" spans="1:32" x14ac:dyDescent="0.25">
      <c r="A11" s="120"/>
      <c r="B11" s="121" t="s">
        <v>152</v>
      </c>
      <c r="C11" s="102">
        <v>10</v>
      </c>
      <c r="D11" s="103">
        <v>17.100000000000001</v>
      </c>
      <c r="E11" s="106">
        <f>X11*U11</f>
        <v>7.6280000000000001</v>
      </c>
      <c r="F11" s="104">
        <v>0.18607199999999999</v>
      </c>
      <c r="G11" s="103">
        <v>18.600000000000001</v>
      </c>
      <c r="H11" s="102">
        <v>1.5</v>
      </c>
      <c r="I11" s="105">
        <f>0.136/2</f>
        <v>6.8000000000000005E-2</v>
      </c>
      <c r="J11" s="102">
        <v>0</v>
      </c>
      <c r="K11" s="102">
        <v>0</v>
      </c>
      <c r="L11" s="102">
        <v>8.5999999999999993E-2</v>
      </c>
      <c r="M11" s="105">
        <f>3.089/2</f>
        <v>1.5445</v>
      </c>
      <c r="N11" s="105">
        <v>0.08</v>
      </c>
      <c r="O11" s="102">
        <v>3.0000000000000001E-3</v>
      </c>
      <c r="P11" s="105">
        <v>12.914999999999999</v>
      </c>
      <c r="Q11" s="105">
        <v>0.22500000000000001</v>
      </c>
      <c r="R11" s="102">
        <v>-1.4300000000000001E-3</v>
      </c>
      <c r="S11" s="102">
        <v>16</v>
      </c>
      <c r="T11" s="103">
        <v>19.5</v>
      </c>
      <c r="U11" s="105">
        <v>7.6280000000000001</v>
      </c>
      <c r="V11" s="105">
        <f t="shared" si="3"/>
        <v>1.6804999999999999</v>
      </c>
      <c r="W11" s="105">
        <f t="shared" si="1"/>
        <v>0.2203067645516518</v>
      </c>
      <c r="X11" s="105">
        <v>1</v>
      </c>
    </row>
    <row r="12" spans="1:32" x14ac:dyDescent="0.25">
      <c r="B12" s="121"/>
      <c r="C12">
        <v>11</v>
      </c>
      <c r="D12" s="7">
        <v>19.8</v>
      </c>
      <c r="E12" s="106">
        <f t="shared" ref="E12:E15" si="4">X12*U12</f>
        <v>7.585</v>
      </c>
      <c r="F12" s="98">
        <v>0.215452</v>
      </c>
      <c r="G12" s="7">
        <v>21.5</v>
      </c>
      <c r="H12">
        <v>1.5</v>
      </c>
      <c r="I12" s="3">
        <f>0.136/2</f>
        <v>6.8000000000000005E-2</v>
      </c>
      <c r="J12">
        <v>0</v>
      </c>
      <c r="K12">
        <v>0</v>
      </c>
      <c r="L12">
        <v>8.5999999999999993E-2</v>
      </c>
      <c r="M12" s="3">
        <f>2.882/2</f>
        <v>1.4410000000000001</v>
      </c>
      <c r="N12" s="3">
        <v>0.08</v>
      </c>
      <c r="O12">
        <v>3.0000000000000001E-3</v>
      </c>
      <c r="P12" s="3">
        <v>12.132999999999999</v>
      </c>
      <c r="Q12" s="3">
        <v>0.21199999999999999</v>
      </c>
      <c r="R12">
        <v>-5.0499999999999998E-3</v>
      </c>
      <c r="S12">
        <v>17</v>
      </c>
      <c r="T12" s="7">
        <v>22.2</v>
      </c>
      <c r="U12" s="3">
        <v>7.585</v>
      </c>
      <c r="V12" s="3">
        <f t="shared" si="3"/>
        <v>1.577</v>
      </c>
      <c r="W12" s="3">
        <f t="shared" si="1"/>
        <v>0.20791034937376401</v>
      </c>
      <c r="X12" s="3">
        <v>1</v>
      </c>
    </row>
    <row r="13" spans="1:32" x14ac:dyDescent="0.25">
      <c r="B13" s="121"/>
      <c r="C13">
        <v>12</v>
      </c>
      <c r="D13" s="7">
        <v>22.5</v>
      </c>
      <c r="E13" s="106">
        <f t="shared" si="4"/>
        <v>7.4880000000000004</v>
      </c>
      <c r="F13" s="98">
        <v>0.24483099999999999</v>
      </c>
      <c r="G13" s="7">
        <v>24.5</v>
      </c>
      <c r="H13">
        <v>1.5</v>
      </c>
      <c r="I13" s="3">
        <f>0.136/2</f>
        <v>6.8000000000000005E-2</v>
      </c>
      <c r="J13">
        <v>0</v>
      </c>
      <c r="K13">
        <v>0</v>
      </c>
      <c r="L13">
        <v>8.5999999999999993E-2</v>
      </c>
      <c r="M13" s="3">
        <f>2.696/2</f>
        <v>1.3480000000000001</v>
      </c>
      <c r="N13" s="3">
        <v>0.08</v>
      </c>
      <c r="O13">
        <v>3.0000000000000001E-3</v>
      </c>
      <c r="P13" s="3">
        <v>11.35</v>
      </c>
      <c r="Q13" s="3">
        <v>0.19800000000000001</v>
      </c>
      <c r="R13">
        <v>-5.0600000000000003E-3</v>
      </c>
      <c r="S13">
        <v>18</v>
      </c>
      <c r="T13" s="7">
        <v>24.9</v>
      </c>
      <c r="U13" s="3">
        <v>7.4880000000000004</v>
      </c>
      <c r="V13" s="3">
        <f t="shared" si="3"/>
        <v>1.484</v>
      </c>
      <c r="W13" s="3">
        <f t="shared" si="1"/>
        <v>0.19818376068376067</v>
      </c>
      <c r="X13" s="3">
        <v>1</v>
      </c>
    </row>
    <row r="14" spans="1:32" x14ac:dyDescent="0.25">
      <c r="B14" s="121"/>
      <c r="C14">
        <v>13</v>
      </c>
      <c r="D14" s="7">
        <v>25.2</v>
      </c>
      <c r="E14" s="106">
        <f t="shared" si="4"/>
        <v>7.3470000000000004</v>
      </c>
      <c r="F14" s="98">
        <v>0.27421099999999998</v>
      </c>
      <c r="G14" s="7">
        <v>27.4</v>
      </c>
      <c r="H14">
        <v>1.5</v>
      </c>
      <c r="I14" s="3">
        <f>0.128/2</f>
        <v>6.4000000000000001E-2</v>
      </c>
      <c r="J14">
        <v>0</v>
      </c>
      <c r="K14">
        <v>0</v>
      </c>
      <c r="L14">
        <v>8.5999999999999993E-2</v>
      </c>
      <c r="M14" s="3">
        <f>2.498/2</f>
        <v>1.2490000000000001</v>
      </c>
      <c r="N14" s="3">
        <v>0.08</v>
      </c>
      <c r="O14">
        <v>3.0000000000000001E-3</v>
      </c>
      <c r="P14" s="3">
        <v>10.568</v>
      </c>
      <c r="Q14" s="3">
        <v>0.184</v>
      </c>
      <c r="R14">
        <v>-5.0499999999999998E-3</v>
      </c>
      <c r="S14">
        <v>19</v>
      </c>
      <c r="T14" s="7">
        <v>27.6</v>
      </c>
      <c r="U14" s="3">
        <v>7.3470000000000004</v>
      </c>
      <c r="V14" s="3">
        <f t="shared" si="3"/>
        <v>1.3770000000000002</v>
      </c>
      <c r="W14" s="3">
        <f t="shared" si="1"/>
        <v>0.18742343813801554</v>
      </c>
      <c r="X14" s="3">
        <v>1</v>
      </c>
    </row>
    <row r="15" spans="1:32" x14ac:dyDescent="0.25">
      <c r="A15" s="122" t="s">
        <v>151</v>
      </c>
      <c r="B15" s="121"/>
      <c r="C15" s="102">
        <v>14</v>
      </c>
      <c r="D15" s="103">
        <v>33.4</v>
      </c>
      <c r="E15" s="106">
        <f t="shared" si="4"/>
        <v>6.923</v>
      </c>
      <c r="F15" s="104">
        <v>0.36343900000000001</v>
      </c>
      <c r="G15" s="103">
        <v>36.299999999999997</v>
      </c>
      <c r="H15" s="102">
        <v>1.5</v>
      </c>
      <c r="I15" s="105">
        <f>0.119/2</f>
        <v>5.9499999999999997E-2</v>
      </c>
      <c r="J15" s="102">
        <v>0</v>
      </c>
      <c r="K15" s="102">
        <v>0</v>
      </c>
      <c r="L15" s="102">
        <v>8.5999999999999993E-2</v>
      </c>
      <c r="M15" s="105">
        <f>2.077/2</f>
        <v>1.0385</v>
      </c>
      <c r="N15" s="105">
        <v>0.08</v>
      </c>
      <c r="O15" s="102">
        <v>3.0000000000000001E-3</v>
      </c>
      <c r="P15" s="105">
        <v>9.1660000000000004</v>
      </c>
      <c r="Q15" s="105">
        <v>0.16</v>
      </c>
      <c r="R15" s="102">
        <v>-2.98E-3</v>
      </c>
      <c r="S15" s="102">
        <v>20</v>
      </c>
      <c r="T15" s="103">
        <v>35.799999999999997</v>
      </c>
      <c r="U15" s="105">
        <v>6.923</v>
      </c>
      <c r="V15" s="105">
        <f t="shared" si="3"/>
        <v>1.1575</v>
      </c>
      <c r="W15" s="105">
        <f t="shared" si="1"/>
        <v>0.16719630218113535</v>
      </c>
      <c r="X15" s="105">
        <v>1</v>
      </c>
    </row>
    <row r="16" spans="1:32" x14ac:dyDescent="0.25">
      <c r="A16" s="122"/>
      <c r="C16">
        <v>15</v>
      </c>
      <c r="D16" s="7">
        <v>41.5</v>
      </c>
      <c r="E16" s="106">
        <f>X16*U16</f>
        <v>3.2145000000000001</v>
      </c>
      <c r="F16" s="98">
        <v>0.45157799999999998</v>
      </c>
      <c r="G16" s="7">
        <v>45.2</v>
      </c>
      <c r="H16">
        <v>1.5</v>
      </c>
      <c r="I16" s="3">
        <f>0.111/2</f>
        <v>5.5500000000000001E-2</v>
      </c>
      <c r="J16">
        <v>0</v>
      </c>
      <c r="K16">
        <v>0</v>
      </c>
      <c r="L16">
        <v>8.5999999999999993E-2</v>
      </c>
      <c r="M16" s="3">
        <f>1.672/2</f>
        <v>0.83599999999999997</v>
      </c>
      <c r="N16" s="3">
        <v>0.08</v>
      </c>
      <c r="O16">
        <v>3.0000000000000001E-3</v>
      </c>
      <c r="P16" s="3">
        <v>7.6879999999999997</v>
      </c>
      <c r="Q16" s="3">
        <v>0.13400000000000001</v>
      </c>
      <c r="R16">
        <v>-3.1800000000000001E-3</v>
      </c>
      <c r="S16">
        <v>21</v>
      </c>
      <c r="T16" s="7">
        <v>43.9</v>
      </c>
      <c r="U16" s="3">
        <v>6.4290000000000003</v>
      </c>
      <c r="V16" s="3">
        <f t="shared" si="3"/>
        <v>0.94699999999999995</v>
      </c>
      <c r="W16" s="3">
        <f t="shared" si="1"/>
        <v>0.14730129102504277</v>
      </c>
      <c r="X16" s="3">
        <v>0.5</v>
      </c>
    </row>
    <row r="17" spans="1:24" x14ac:dyDescent="0.25">
      <c r="A17" s="122"/>
      <c r="B17" s="123" t="s">
        <v>147</v>
      </c>
      <c r="C17" s="102">
        <v>16</v>
      </c>
      <c r="D17" s="103">
        <v>49.6</v>
      </c>
      <c r="E17" s="106">
        <v>0</v>
      </c>
      <c r="F17" s="104">
        <v>0.539717</v>
      </c>
      <c r="G17" s="103">
        <v>54</v>
      </c>
      <c r="H17" s="102">
        <v>1.5</v>
      </c>
      <c r="I17" s="105">
        <v>0.10199999999999999</v>
      </c>
      <c r="J17" s="102">
        <v>0</v>
      </c>
      <c r="K17" s="102">
        <v>0</v>
      </c>
      <c r="L17" s="102">
        <v>8.5999999999999993E-2</v>
      </c>
      <c r="M17" s="105">
        <v>1.36</v>
      </c>
      <c r="N17" s="105">
        <v>0.08</v>
      </c>
      <c r="O17" s="102">
        <v>3.0000000000000001E-3</v>
      </c>
      <c r="P17" s="105">
        <v>6.18</v>
      </c>
      <c r="Q17" s="105">
        <v>0.108</v>
      </c>
      <c r="R17" s="102">
        <v>-3.2499999999999999E-3</v>
      </c>
      <c r="S17" s="102">
        <v>22</v>
      </c>
      <c r="T17" s="103">
        <v>52</v>
      </c>
      <c r="U17" s="105">
        <v>5.915</v>
      </c>
      <c r="V17" s="105">
        <f t="shared" si="0"/>
        <v>0.78200000000000003</v>
      </c>
      <c r="W17" s="105">
        <f t="shared" si="1"/>
        <v>0.13220625528317836</v>
      </c>
      <c r="X17" s="105">
        <v>0</v>
      </c>
    </row>
    <row r="18" spans="1:24" ht="15" customHeight="1" x14ac:dyDescent="0.25">
      <c r="B18" s="123"/>
      <c r="C18">
        <v>17</v>
      </c>
      <c r="D18" s="7">
        <v>57.8</v>
      </c>
      <c r="E18" s="106">
        <v>0</v>
      </c>
      <c r="F18" s="98">
        <v>0.62894499999999998</v>
      </c>
      <c r="G18" s="7">
        <v>62.9</v>
      </c>
      <c r="H18">
        <v>1.5</v>
      </c>
      <c r="I18" s="3">
        <v>8.5000000000000006E-2</v>
      </c>
      <c r="J18">
        <v>0</v>
      </c>
      <c r="K18">
        <v>0</v>
      </c>
      <c r="L18">
        <v>8.5999999999999993E-2</v>
      </c>
      <c r="M18" s="3">
        <v>1.1379999999999999</v>
      </c>
      <c r="N18" s="3">
        <v>0.08</v>
      </c>
      <c r="O18">
        <v>3.0000000000000001E-3</v>
      </c>
      <c r="P18" s="3">
        <v>4.7430000000000003</v>
      </c>
      <c r="Q18" s="3">
        <v>8.3000000000000004E-2</v>
      </c>
      <c r="R18">
        <v>-3.0599999999999998E-3</v>
      </c>
      <c r="S18">
        <v>23</v>
      </c>
      <c r="T18" s="7">
        <v>60.2</v>
      </c>
      <c r="U18" s="3">
        <v>5.4169999999999998</v>
      </c>
      <c r="V18" s="3">
        <f t="shared" si="0"/>
        <v>0.65399999999999991</v>
      </c>
      <c r="W18" s="3">
        <f t="shared" si="1"/>
        <v>0.1207310319364962</v>
      </c>
      <c r="X18" s="3">
        <v>0</v>
      </c>
    </row>
    <row r="19" spans="1:24" x14ac:dyDescent="0.25">
      <c r="B19" s="123"/>
      <c r="C19">
        <v>18</v>
      </c>
      <c r="D19" s="7">
        <v>64.3</v>
      </c>
      <c r="E19" s="106">
        <v>0</v>
      </c>
      <c r="F19" s="98">
        <v>0.69967400000000002</v>
      </c>
      <c r="G19" s="7">
        <v>70</v>
      </c>
      <c r="H19">
        <v>1.5</v>
      </c>
      <c r="I19" s="3">
        <v>6.8000000000000005E-2</v>
      </c>
      <c r="J19">
        <v>0</v>
      </c>
      <c r="K19">
        <v>0</v>
      </c>
      <c r="L19">
        <v>8.5999999999999993E-2</v>
      </c>
      <c r="M19" s="3">
        <v>0.95399999999999996</v>
      </c>
      <c r="N19" s="3">
        <v>0.08</v>
      </c>
      <c r="O19">
        <v>3.0000000000000001E-3</v>
      </c>
      <c r="P19" s="3">
        <v>3.633</v>
      </c>
      <c r="Q19" s="3">
        <v>6.3E-2</v>
      </c>
      <c r="R19">
        <v>-2.98E-3</v>
      </c>
      <c r="S19">
        <v>24</v>
      </c>
      <c r="T19" s="7">
        <v>66.7</v>
      </c>
      <c r="U19" s="3">
        <v>5.0190000000000001</v>
      </c>
      <c r="V19" s="3">
        <f t="shared" si="0"/>
        <v>0.54499999999999993</v>
      </c>
      <c r="W19" s="3">
        <f t="shared" si="1"/>
        <v>0.10858736800159392</v>
      </c>
      <c r="X19" s="3">
        <v>0</v>
      </c>
    </row>
    <row r="20" spans="1:24" x14ac:dyDescent="0.25">
      <c r="B20" s="123"/>
      <c r="C20">
        <v>19</v>
      </c>
      <c r="D20" s="7">
        <v>65.900000000000006</v>
      </c>
      <c r="E20" s="106">
        <v>0</v>
      </c>
      <c r="F20" s="98">
        <v>0.71708400000000005</v>
      </c>
      <c r="G20" s="7">
        <v>71.7</v>
      </c>
      <c r="H20">
        <v>1.5</v>
      </c>
      <c r="I20" s="3">
        <v>6.4000000000000001E-2</v>
      </c>
      <c r="J20">
        <v>0</v>
      </c>
      <c r="K20">
        <v>0</v>
      </c>
      <c r="L20">
        <v>8.5999999999999993E-2</v>
      </c>
      <c r="M20" s="3">
        <v>0.91</v>
      </c>
      <c r="N20" s="3">
        <v>0.08</v>
      </c>
      <c r="O20">
        <v>3.0000000000000001E-3</v>
      </c>
      <c r="P20" s="3">
        <v>3.383</v>
      </c>
      <c r="Q20" s="3">
        <v>5.8999999999999997E-2</v>
      </c>
      <c r="R20">
        <v>-2.7299999999999998E-3</v>
      </c>
      <c r="S20">
        <v>25</v>
      </c>
      <c r="T20" s="7">
        <v>68.3</v>
      </c>
      <c r="U20" s="3">
        <v>4.92</v>
      </c>
      <c r="V20" s="3">
        <f t="shared" si="0"/>
        <v>0.51900000000000002</v>
      </c>
      <c r="W20" s="3">
        <f t="shared" si="1"/>
        <v>0.10548780487804879</v>
      </c>
      <c r="X20" s="3">
        <v>0</v>
      </c>
    </row>
    <row r="21" spans="1:24" x14ac:dyDescent="0.25">
      <c r="B21" s="123"/>
      <c r="C21">
        <v>20</v>
      </c>
      <c r="D21" s="7">
        <v>70.8</v>
      </c>
      <c r="E21" s="106">
        <v>0</v>
      </c>
      <c r="F21" s="98">
        <v>0.77040299999999995</v>
      </c>
      <c r="G21" s="7">
        <v>77</v>
      </c>
      <c r="H21">
        <v>1.5</v>
      </c>
      <c r="I21" s="3">
        <v>4.7E-2</v>
      </c>
      <c r="J21">
        <v>0</v>
      </c>
      <c r="K21">
        <v>0</v>
      </c>
      <c r="L21">
        <v>8.5999999999999993E-2</v>
      </c>
      <c r="M21" s="3">
        <v>0.83199999999999996</v>
      </c>
      <c r="N21" s="3">
        <v>0.08</v>
      </c>
      <c r="O21">
        <v>3.0000000000000001E-3</v>
      </c>
      <c r="P21" s="3">
        <v>2.7349999999999999</v>
      </c>
      <c r="Q21" s="3">
        <v>4.8000000000000001E-2</v>
      </c>
      <c r="R21">
        <v>-2.31E-3</v>
      </c>
      <c r="S21">
        <v>26</v>
      </c>
      <c r="T21" s="7">
        <v>73.2</v>
      </c>
      <c r="U21" s="3">
        <v>4.6210000000000004</v>
      </c>
      <c r="V21" s="3">
        <f t="shared" si="0"/>
        <v>0.46299999999999997</v>
      </c>
      <c r="W21" s="3">
        <f t="shared" si="1"/>
        <v>0.10019476303830338</v>
      </c>
      <c r="X21" s="3">
        <v>0</v>
      </c>
    </row>
    <row r="22" spans="1:24" x14ac:dyDescent="0.25">
      <c r="B22" s="123"/>
      <c r="C22">
        <v>21</v>
      </c>
      <c r="D22" s="7">
        <v>74</v>
      </c>
      <c r="E22" s="106">
        <v>0</v>
      </c>
      <c r="F22" s="98">
        <v>0.80522300000000002</v>
      </c>
      <c r="G22" s="7">
        <v>80.5</v>
      </c>
      <c r="H22">
        <v>1.5</v>
      </c>
      <c r="I22" s="3">
        <v>3.4000000000000002E-2</v>
      </c>
      <c r="J22">
        <v>0</v>
      </c>
      <c r="K22">
        <v>0</v>
      </c>
      <c r="L22">
        <v>8.5999999999999993E-2</v>
      </c>
      <c r="M22" s="3">
        <v>0.79600000000000004</v>
      </c>
      <c r="N22" s="3">
        <v>0.08</v>
      </c>
      <c r="O22">
        <v>3.0000000000000001E-3</v>
      </c>
      <c r="P22" s="3">
        <v>2.3479999999999999</v>
      </c>
      <c r="Q22" s="3">
        <v>4.1000000000000002E-2</v>
      </c>
      <c r="R22">
        <v>-2.1099999999999999E-3</v>
      </c>
      <c r="S22">
        <v>27</v>
      </c>
      <c r="T22" s="7">
        <v>76.400000000000006</v>
      </c>
      <c r="U22" s="3">
        <v>4.4219999999999997</v>
      </c>
      <c r="V22" s="3">
        <f t="shared" si="0"/>
        <v>0.43200000000000005</v>
      </c>
      <c r="W22" s="3">
        <f t="shared" si="1"/>
        <v>9.7693351424694722E-2</v>
      </c>
      <c r="X22" s="3">
        <v>0</v>
      </c>
    </row>
    <row r="23" spans="1:24" x14ac:dyDescent="0.25">
      <c r="B23" s="123"/>
      <c r="C23">
        <v>22</v>
      </c>
      <c r="D23" s="7">
        <v>82.2</v>
      </c>
      <c r="E23" s="106">
        <v>0</v>
      </c>
      <c r="F23" s="98">
        <v>0.89444999999999997</v>
      </c>
      <c r="G23" s="7">
        <v>89.4</v>
      </c>
      <c r="H23">
        <v>1.5</v>
      </c>
      <c r="I23" s="3">
        <v>1.7000000000000001E-2</v>
      </c>
      <c r="J23">
        <v>0</v>
      </c>
      <c r="K23">
        <v>0</v>
      </c>
      <c r="L23">
        <v>8.5999999999999993E-2</v>
      </c>
      <c r="M23" s="3">
        <v>0.70699999999999996</v>
      </c>
      <c r="N23" s="3">
        <v>0.08</v>
      </c>
      <c r="O23">
        <v>3.0000000000000001E-3</v>
      </c>
      <c r="P23" s="3">
        <v>1.38</v>
      </c>
      <c r="Q23" s="3">
        <v>2.4E-2</v>
      </c>
      <c r="R23">
        <v>-2.0600000000000002E-3</v>
      </c>
      <c r="S23">
        <v>28</v>
      </c>
      <c r="T23" s="7">
        <v>84.6</v>
      </c>
      <c r="U23" s="3">
        <v>3.9249999999999998</v>
      </c>
      <c r="V23" s="3">
        <f t="shared" si="0"/>
        <v>0.3705</v>
      </c>
      <c r="W23" s="3">
        <f t="shared" si="1"/>
        <v>9.439490445859873E-2</v>
      </c>
      <c r="X23" s="3">
        <v>0</v>
      </c>
    </row>
    <row r="24" spans="1:24" x14ac:dyDescent="0.25">
      <c r="B24" s="123"/>
      <c r="C24">
        <v>23</v>
      </c>
      <c r="D24" s="7">
        <v>87</v>
      </c>
      <c r="E24" s="106">
        <v>0</v>
      </c>
      <c r="F24" s="98">
        <v>0.94668099999999999</v>
      </c>
      <c r="G24" s="7">
        <v>94.7</v>
      </c>
      <c r="H24">
        <v>1.5</v>
      </c>
      <c r="I24" s="3">
        <v>8.9999999999999993E-3</v>
      </c>
      <c r="J24">
        <v>0</v>
      </c>
      <c r="K24">
        <v>0</v>
      </c>
      <c r="L24">
        <v>8.5999999999999993E-2</v>
      </c>
      <c r="M24" s="3">
        <v>0.65100000000000002</v>
      </c>
      <c r="N24" s="3">
        <v>0.08</v>
      </c>
      <c r="O24">
        <v>3.0000000000000001E-3</v>
      </c>
      <c r="P24" s="3">
        <v>0.79900000000000004</v>
      </c>
      <c r="Q24" s="3">
        <v>1.4E-2</v>
      </c>
      <c r="R24">
        <v>-2.1099999999999999E-3</v>
      </c>
      <c r="S24">
        <v>29</v>
      </c>
      <c r="T24" s="7">
        <v>89.4</v>
      </c>
      <c r="U24" s="3">
        <v>3.6190000000000002</v>
      </c>
      <c r="V24" s="3">
        <f t="shared" si="0"/>
        <v>0.33450000000000002</v>
      </c>
      <c r="W24" s="3">
        <f t="shared" si="1"/>
        <v>9.2428847747996687E-2</v>
      </c>
      <c r="X24" s="3">
        <v>0</v>
      </c>
    </row>
    <row r="25" spans="1:24" x14ac:dyDescent="0.25">
      <c r="B25" s="123"/>
      <c r="C25">
        <v>24</v>
      </c>
      <c r="D25" s="7">
        <v>91.9</v>
      </c>
      <c r="E25" s="106">
        <v>0</v>
      </c>
      <c r="F25" s="98">
        <v>1</v>
      </c>
      <c r="G25" s="7">
        <v>100</v>
      </c>
      <c r="H25">
        <v>1.5</v>
      </c>
      <c r="I25" s="3">
        <v>5.0000000000000001E-3</v>
      </c>
      <c r="J25">
        <v>0</v>
      </c>
      <c r="K25">
        <v>0</v>
      </c>
      <c r="L25">
        <v>8.5999999999999993E-2</v>
      </c>
      <c r="M25" s="3">
        <v>0.50800000000000001</v>
      </c>
      <c r="N25" s="3">
        <v>0.08</v>
      </c>
      <c r="O25">
        <v>3.0000000000000001E-3</v>
      </c>
      <c r="P25" s="3">
        <v>0.28000000000000003</v>
      </c>
      <c r="Q25" s="3">
        <v>5.0000000000000001E-3</v>
      </c>
      <c r="R25">
        <v>-1.8500000000000001E-3</v>
      </c>
      <c r="S25">
        <v>30</v>
      </c>
      <c r="T25" s="7">
        <v>94.3</v>
      </c>
      <c r="U25" s="3">
        <v>2.8239999999999998</v>
      </c>
      <c r="V25" s="3">
        <f t="shared" si="0"/>
        <v>0.25900000000000001</v>
      </c>
      <c r="W25" s="3">
        <f t="shared" si="1"/>
        <v>9.1713881019830037E-2</v>
      </c>
      <c r="X25" s="3">
        <v>0</v>
      </c>
    </row>
  </sheetData>
  <mergeCells count="7">
    <mergeCell ref="Z1:AB1"/>
    <mergeCell ref="AD1:AF1"/>
    <mergeCell ref="B2:B4"/>
    <mergeCell ref="A4:A11"/>
    <mergeCell ref="B11:B15"/>
    <mergeCell ref="A15:A17"/>
    <mergeCell ref="B17:B25"/>
  </mergeCells>
  <conditionalFormatting sqref="X5">
    <cfRule type="cellIs" dxfId="23" priority="24" operator="lessThan">
      <formula>$W$5</formula>
    </cfRule>
  </conditionalFormatting>
  <conditionalFormatting sqref="X6">
    <cfRule type="cellIs" dxfId="22" priority="23" operator="lessThan">
      <formula>$W$6</formula>
    </cfRule>
  </conditionalFormatting>
  <conditionalFormatting sqref="X7">
    <cfRule type="cellIs" dxfId="21" priority="22" operator="lessThan">
      <formula>$W$7</formula>
    </cfRule>
  </conditionalFormatting>
  <conditionalFormatting sqref="X8">
    <cfRule type="cellIs" dxfId="20" priority="21" operator="lessThan">
      <formula>$W$8</formula>
    </cfRule>
  </conditionalFormatting>
  <conditionalFormatting sqref="X9">
    <cfRule type="cellIs" dxfId="19" priority="20" operator="lessThan">
      <formula>$W$9</formula>
    </cfRule>
  </conditionalFormatting>
  <conditionalFormatting sqref="X10">
    <cfRule type="cellIs" dxfId="18" priority="19" operator="lessThan">
      <formula>$W$10</formula>
    </cfRule>
  </conditionalFormatting>
  <conditionalFormatting sqref="X11">
    <cfRule type="cellIs" dxfId="17" priority="18" operator="lessThan">
      <formula>$W$11</formula>
    </cfRule>
  </conditionalFormatting>
  <conditionalFormatting sqref="X12">
    <cfRule type="cellIs" dxfId="16" priority="17" operator="lessThan">
      <formula>$W$12</formula>
    </cfRule>
  </conditionalFormatting>
  <conditionalFormatting sqref="X13">
    <cfRule type="cellIs" dxfId="15" priority="16" operator="lessThan">
      <formula>$W$13</formula>
    </cfRule>
  </conditionalFormatting>
  <conditionalFormatting sqref="X14">
    <cfRule type="cellIs" dxfId="14" priority="15" operator="lessThan">
      <formula>$W$14</formula>
    </cfRule>
  </conditionalFormatting>
  <conditionalFormatting sqref="X15">
    <cfRule type="cellIs" dxfId="13" priority="14" operator="lessThan">
      <formula>$W$15</formula>
    </cfRule>
  </conditionalFormatting>
  <conditionalFormatting sqref="X16">
    <cfRule type="cellIs" dxfId="12" priority="13" operator="lessThan">
      <formula>$W$16</formula>
    </cfRule>
  </conditionalFormatting>
  <conditionalFormatting sqref="E5">
    <cfRule type="cellIs" dxfId="11" priority="12" operator="lessThan">
      <formula>$V$5</formula>
    </cfRule>
  </conditionalFormatting>
  <conditionalFormatting sqref="E6">
    <cfRule type="cellIs" dxfId="10" priority="11" operator="lessThan">
      <formula>$V$6</formula>
    </cfRule>
  </conditionalFormatting>
  <conditionalFormatting sqref="E7">
    <cfRule type="cellIs" dxfId="9" priority="10" operator="lessThan">
      <formula>$V$7</formula>
    </cfRule>
  </conditionalFormatting>
  <conditionalFormatting sqref="E8">
    <cfRule type="cellIs" dxfId="8" priority="9" operator="lessThan">
      <formula>$V$8</formula>
    </cfRule>
  </conditionalFormatting>
  <conditionalFormatting sqref="E9">
    <cfRule type="cellIs" dxfId="7" priority="8" operator="lessThan">
      <formula>$V$9</formula>
    </cfRule>
  </conditionalFormatting>
  <conditionalFormatting sqref="E10">
    <cfRule type="cellIs" dxfId="6" priority="7" operator="lessThan">
      <formula>$V$10</formula>
    </cfRule>
  </conditionalFormatting>
  <conditionalFormatting sqref="E11">
    <cfRule type="cellIs" dxfId="5" priority="6" operator="lessThan">
      <formula>$V$11</formula>
    </cfRule>
  </conditionalFormatting>
  <conditionalFormatting sqref="E12">
    <cfRule type="cellIs" dxfId="4" priority="5" operator="lessThan">
      <formula>$V$12</formula>
    </cfRule>
  </conditionalFormatting>
  <conditionalFormatting sqref="E13">
    <cfRule type="cellIs" dxfId="3" priority="4" operator="lessThan">
      <formula>$V$13</formula>
    </cfRule>
  </conditionalFormatting>
  <conditionalFormatting sqref="E14">
    <cfRule type="cellIs" dxfId="2" priority="3" operator="lessThan">
      <formula>$V$14</formula>
    </cfRule>
  </conditionalFormatting>
  <conditionalFormatting sqref="E15">
    <cfRule type="cellIs" dxfId="1" priority="2" operator="lessThan">
      <formula>$V$15</formula>
    </cfRule>
  </conditionalFormatting>
  <conditionalFormatting sqref="E16">
    <cfRule type="cellIs" dxfId="0" priority="1" operator="lessThan">
      <formula>$V$16</formula>
    </cfRule>
  </conditionalFormatting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H15" sqref="H15"/>
    </sheetView>
  </sheetViews>
  <sheetFormatPr defaultRowHeight="15" x14ac:dyDescent="0.25"/>
  <cols>
    <col min="1" max="1" width="7.85546875" customWidth="1"/>
    <col min="2" max="2" width="6.5703125" customWidth="1"/>
    <col min="3" max="3" width="11.5703125" bestFit="1" customWidth="1"/>
    <col min="4" max="4" width="11.85546875" bestFit="1" customWidth="1"/>
    <col min="5" max="5" width="15" bestFit="1" customWidth="1"/>
    <col min="6" max="6" width="13.7109375" bestFit="1" customWidth="1"/>
    <col min="7" max="7" width="14.85546875" bestFit="1" customWidth="1"/>
    <col min="8" max="8" width="13.5703125" bestFit="1" customWidth="1"/>
    <col min="9" max="9" width="15.85546875" bestFit="1" customWidth="1"/>
    <col min="10" max="10" width="14.5703125" bestFit="1" customWidth="1"/>
    <col min="11" max="11" width="15.7109375" bestFit="1" customWidth="1"/>
    <col min="12" max="12" width="14.85546875" bestFit="1" customWidth="1"/>
    <col min="13" max="13" width="10.5703125" bestFit="1" customWidth="1"/>
    <col min="14" max="14" width="10.140625" customWidth="1"/>
    <col min="15" max="15" width="19.42578125" customWidth="1"/>
    <col min="16" max="16" width="8.140625" bestFit="1" customWidth="1"/>
    <col min="17" max="17" width="13.28515625" bestFit="1" customWidth="1"/>
    <col min="18" max="18" width="9.5703125" bestFit="1" customWidth="1"/>
    <col min="19" max="19" width="1.7109375" customWidth="1"/>
    <col min="20" max="20" width="12.5703125" customWidth="1"/>
    <col min="21" max="21" width="12.7109375" customWidth="1"/>
    <col min="22" max="22" width="10.5703125" bestFit="1" customWidth="1"/>
  </cols>
  <sheetData>
    <row r="1" spans="1:22" x14ac:dyDescent="0.25">
      <c r="A1" s="96" t="s">
        <v>101</v>
      </c>
      <c r="B1" s="96" t="s">
        <v>102</v>
      </c>
      <c r="C1" s="96" t="s">
        <v>103</v>
      </c>
      <c r="D1" s="96" t="s">
        <v>104</v>
      </c>
      <c r="E1" s="96" t="s">
        <v>105</v>
      </c>
      <c r="F1" s="96" t="s">
        <v>106</v>
      </c>
      <c r="G1" s="96" t="s">
        <v>107</v>
      </c>
      <c r="H1" s="96" t="s">
        <v>108</v>
      </c>
      <c r="I1" s="96" t="s">
        <v>109</v>
      </c>
      <c r="J1" s="96" t="s">
        <v>110</v>
      </c>
      <c r="K1" s="96" t="s">
        <v>111</v>
      </c>
      <c r="L1" s="96" t="s">
        <v>112</v>
      </c>
      <c r="M1" s="96" t="s">
        <v>113</v>
      </c>
      <c r="N1" s="96" t="s">
        <v>118</v>
      </c>
      <c r="O1" s="96" t="s">
        <v>114</v>
      </c>
      <c r="P1" s="96" t="s">
        <v>115</v>
      </c>
      <c r="Q1" s="96" t="s">
        <v>116</v>
      </c>
      <c r="R1" s="96" t="s">
        <v>117</v>
      </c>
      <c r="T1" s="96" t="s">
        <v>159</v>
      </c>
      <c r="U1" s="96" t="s">
        <v>160</v>
      </c>
      <c r="V1" s="96" t="s">
        <v>158</v>
      </c>
    </row>
    <row r="2" spans="1:22" x14ac:dyDescent="0.25">
      <c r="A2">
        <v>1</v>
      </c>
      <c r="B2" s="7">
        <v>0</v>
      </c>
      <c r="C2" s="98">
        <v>0</v>
      </c>
      <c r="D2" s="7">
        <v>0</v>
      </c>
      <c r="E2">
        <v>1.5</v>
      </c>
      <c r="F2" s="97">
        <f>monoplane_spar_layup!F2/2</f>
        <v>6.4999999999999997E-3</v>
      </c>
      <c r="G2" s="3">
        <f>monoplane_spar_layup!G2-monoplane_spar_layup!I2</f>
        <v>1.5859999999999999</v>
      </c>
      <c r="H2" s="124">
        <f>0.5*(monoplane_spar_layup!H2*monoplane_spar_layup!G2)/(monoplane_spar_layup!G2-monoplane_spar_layup!I2)</f>
        <v>3.3208070617906683E-2</v>
      </c>
      <c r="I2">
        <f>K2+2*L2</f>
        <v>4.3000000000000003E-2</v>
      </c>
      <c r="J2" s="3">
        <v>5.266</v>
      </c>
      <c r="K2" s="3">
        <f>monoplane_spar_layup!K2/2</f>
        <v>0.04</v>
      </c>
      <c r="L2" s="97">
        <f>monoplane_spar_layup!L2/2</f>
        <v>1.5E-3</v>
      </c>
      <c r="M2" s="3">
        <v>13.308</v>
      </c>
      <c r="N2" s="3">
        <v>0.23200000000000001</v>
      </c>
      <c r="O2">
        <v>0</v>
      </c>
      <c r="P2">
        <v>7</v>
      </c>
      <c r="Q2" s="7">
        <v>2.4</v>
      </c>
      <c r="R2" s="3">
        <v>5.7919999999999998</v>
      </c>
      <c r="T2" s="97">
        <f>(1/12)*$G$2*(J2+2*H2)^3</f>
        <v>20.039830322052929</v>
      </c>
      <c r="U2" s="97">
        <f>(1/12)*$E$2*(J2-2*F2)^3</f>
        <v>18.118916159625002</v>
      </c>
      <c r="V2" s="97">
        <f>T2-U2</f>
        <v>1.9209141624279269</v>
      </c>
    </row>
    <row r="3" spans="1:22" x14ac:dyDescent="0.25">
      <c r="A3">
        <v>2</v>
      </c>
      <c r="B3" s="7">
        <v>0.2</v>
      </c>
      <c r="C3" s="98">
        <v>2.1762800000000001E-3</v>
      </c>
      <c r="D3" s="7">
        <v>0.2</v>
      </c>
      <c r="E3">
        <v>1.5</v>
      </c>
      <c r="F3" s="97">
        <f>monoplane_spar_layup!F3/2</f>
        <v>6.4999999999999997E-3</v>
      </c>
      <c r="G3" s="3">
        <f>monoplane_spar_layup!G3-monoplane_spar_layup!I3</f>
        <v>1.5859999999999999</v>
      </c>
      <c r="H3" s="124">
        <f>0.5*(monoplane_spar_layup!H3*monoplane_spar_layup!G3)/(monoplane_spar_layup!G3-monoplane_spar_layup!I3)</f>
        <v>2.8991172761664567E-2</v>
      </c>
      <c r="I3">
        <f t="shared" ref="I3:I25" si="0">K3+2*L3</f>
        <v>4.3000000000000003E-2</v>
      </c>
      <c r="J3" s="3">
        <v>5.2649999999999997</v>
      </c>
      <c r="K3" s="3">
        <f>monoplane_spar_layup!K3/2</f>
        <v>0.04</v>
      </c>
      <c r="L3" s="97">
        <f>monoplane_spar_layup!L3/2</f>
        <v>1.5E-3</v>
      </c>
      <c r="M3" s="3">
        <v>13.308</v>
      </c>
      <c r="N3" s="3">
        <v>0.23200000000000001</v>
      </c>
      <c r="O3">
        <v>0</v>
      </c>
      <c r="P3">
        <v>8</v>
      </c>
      <c r="Q3" s="7">
        <v>2.6</v>
      </c>
      <c r="R3" s="3">
        <v>5.8109999999999999</v>
      </c>
      <c r="T3" s="97">
        <f t="shared" ref="T3:T25" si="1">(1/12)*$G$2*(J3+2*H3)^3</f>
        <v>19.933658523809985</v>
      </c>
      <c r="U3" s="97">
        <f t="shared" ref="U3:U25" si="2">(1/12)*$E$2*(J3-2*F3)^3</f>
        <v>18.108570375999999</v>
      </c>
      <c r="V3" s="97">
        <f t="shared" ref="V3:V25" si="3">T3-U3</f>
        <v>1.8250881478099856</v>
      </c>
    </row>
    <row r="4" spans="1:22" x14ac:dyDescent="0.25">
      <c r="A4">
        <v>3</v>
      </c>
      <c r="B4" s="7">
        <v>2.2999999999999998</v>
      </c>
      <c r="C4" s="98">
        <v>2.5027199999999999E-2</v>
      </c>
      <c r="D4" s="7">
        <v>2.5</v>
      </c>
      <c r="E4">
        <v>1.5</v>
      </c>
      <c r="F4" s="97">
        <f>monoplane_spar_layup!F4/2</f>
        <v>0.01</v>
      </c>
      <c r="G4" s="3">
        <f>monoplane_spar_layup!G4-monoplane_spar_layup!I4</f>
        <v>1.5859999999999999</v>
      </c>
      <c r="H4" s="124">
        <f>0.5*(monoplane_spar_layup!H4*monoplane_spar_layup!G4)/(monoplane_spar_layup!G4-monoplane_spar_layup!I4)</f>
        <v>2.1084489281210594E-2</v>
      </c>
      <c r="I4">
        <f t="shared" si="0"/>
        <v>4.3000000000000003E-2</v>
      </c>
      <c r="J4" s="3">
        <v>5.0090000000000003</v>
      </c>
      <c r="K4" s="3">
        <f>monoplane_spar_layup!K4/2</f>
        <v>0.04</v>
      </c>
      <c r="L4" s="97">
        <f>monoplane_spar_layup!L4/2</f>
        <v>1.5E-3</v>
      </c>
      <c r="M4" s="3">
        <v>13.308</v>
      </c>
      <c r="N4" s="3">
        <v>0.23200000000000001</v>
      </c>
      <c r="O4">
        <v>0</v>
      </c>
      <c r="P4">
        <v>9</v>
      </c>
      <c r="Q4" s="7">
        <v>4.7</v>
      </c>
      <c r="R4" s="3">
        <v>6.0579999999999998</v>
      </c>
      <c r="T4" s="97">
        <f t="shared" si="1"/>
        <v>17.033254249326692</v>
      </c>
      <c r="U4" s="97">
        <f t="shared" si="2"/>
        <v>15.522101708625007</v>
      </c>
      <c r="V4" s="97">
        <f t="shared" si="3"/>
        <v>1.5111525407016853</v>
      </c>
    </row>
    <row r="5" spans="1:22" x14ac:dyDescent="0.25">
      <c r="A5">
        <v>4</v>
      </c>
      <c r="B5" s="7">
        <v>4.4000000000000004</v>
      </c>
      <c r="C5" s="98">
        <v>4.78781E-2</v>
      </c>
      <c r="D5" s="7">
        <v>4.8</v>
      </c>
      <c r="E5">
        <v>1.5</v>
      </c>
      <c r="F5" s="97">
        <f>monoplane_spar_layup!F5/2</f>
        <v>1.4999999999999999E-2</v>
      </c>
      <c r="G5" s="3">
        <f>monoplane_spar_layup!G5-monoplane_spar_layup!I5</f>
        <v>1.5859999999999999</v>
      </c>
      <c r="H5" s="124">
        <f>0.5*(monoplane_spar_layup!H5*monoplane_spar_layup!G5)/(monoplane_spar_layup!G5-monoplane_spar_layup!I5)</f>
        <v>1.3177805800756623E-2</v>
      </c>
      <c r="I5">
        <f t="shared" si="0"/>
        <v>4.3000000000000003E-2</v>
      </c>
      <c r="J5" s="3">
        <v>4.7409999999999997</v>
      </c>
      <c r="K5" s="3">
        <f>monoplane_spar_layup!K5/2</f>
        <v>0.04</v>
      </c>
      <c r="L5" s="97">
        <f>monoplane_spar_layup!L5/2</f>
        <v>1.5E-3</v>
      </c>
      <c r="M5" s="3">
        <v>13.308</v>
      </c>
      <c r="N5" s="3">
        <v>0.23200000000000001</v>
      </c>
      <c r="O5">
        <v>0</v>
      </c>
      <c r="P5">
        <v>10</v>
      </c>
      <c r="Q5" s="7">
        <v>6.8</v>
      </c>
      <c r="R5" s="3">
        <v>6.3040000000000003</v>
      </c>
      <c r="T5" s="97">
        <f t="shared" si="1"/>
        <v>14.32038131890471</v>
      </c>
      <c r="U5" s="97">
        <f t="shared" si="2"/>
        <v>13.069209678874994</v>
      </c>
      <c r="V5" s="97">
        <f t="shared" si="3"/>
        <v>1.2511716400297157</v>
      </c>
    </row>
    <row r="6" spans="1:22" x14ac:dyDescent="0.25">
      <c r="A6">
        <v>5</v>
      </c>
      <c r="B6" s="7">
        <v>6.5</v>
      </c>
      <c r="C6" s="98">
        <v>7.0729100000000003E-2</v>
      </c>
      <c r="D6" s="7">
        <v>7.1</v>
      </c>
      <c r="E6">
        <v>1.5</v>
      </c>
      <c r="F6" s="97">
        <f>monoplane_spar_layup!F6/2</f>
        <v>2.5499999999999998E-2</v>
      </c>
      <c r="G6" s="3">
        <f>monoplane_spar_layup!G6-monoplane_spar_layup!I6</f>
        <v>1.5859999999999999</v>
      </c>
      <c r="H6" s="124">
        <f>0.5*(monoplane_spar_layup!H6*monoplane_spar_layup!G6)/(monoplane_spar_layup!G6-monoplane_spar_layup!I6)</f>
        <v>7.9066834804539729E-3</v>
      </c>
      <c r="I6">
        <f t="shared" si="0"/>
        <v>4.3000000000000003E-2</v>
      </c>
      <c r="J6" s="3">
        <v>4.4249999999999998</v>
      </c>
      <c r="K6" s="3">
        <f>monoplane_spar_layup!K6/2</f>
        <v>0.04</v>
      </c>
      <c r="L6" s="97">
        <f>monoplane_spar_layup!L6/2</f>
        <v>1.5E-3</v>
      </c>
      <c r="M6" s="3">
        <v>13.308</v>
      </c>
      <c r="N6" s="3">
        <v>0.23200000000000001</v>
      </c>
      <c r="O6">
        <v>0</v>
      </c>
      <c r="P6">
        <v>11</v>
      </c>
      <c r="Q6" s="7">
        <v>8.9</v>
      </c>
      <c r="R6" s="3">
        <v>6.5510000000000002</v>
      </c>
      <c r="T6" s="97">
        <f t="shared" si="1"/>
        <v>11.574693552731265</v>
      </c>
      <c r="U6" s="97">
        <f t="shared" si="2"/>
        <v>10.460353202999999</v>
      </c>
      <c r="V6" s="97">
        <f t="shared" si="3"/>
        <v>1.1143403497312665</v>
      </c>
    </row>
    <row r="7" spans="1:22" x14ac:dyDescent="0.25">
      <c r="A7">
        <v>6</v>
      </c>
      <c r="B7" s="7">
        <v>9</v>
      </c>
      <c r="C7" s="98">
        <v>9.7932500000000006E-2</v>
      </c>
      <c r="D7" s="7">
        <v>9.8000000000000007</v>
      </c>
      <c r="E7">
        <v>1.5</v>
      </c>
      <c r="F7" s="97">
        <f>monoplane_spar_layup!F7/2</f>
        <v>3.4000000000000002E-2</v>
      </c>
      <c r="G7" s="3">
        <f>monoplane_spar_layup!G7-monoplane_spar_layup!I7</f>
        <v>1.5859999999999999</v>
      </c>
      <c r="H7" s="124">
        <f>0.5*(monoplane_spar_layup!H7*monoplane_spar_layup!G7)/(monoplane_spar_layup!G7-monoplane_spar_layup!I7)</f>
        <v>2.6355611601513243E-3</v>
      </c>
      <c r="I7">
        <f t="shared" si="0"/>
        <v>4.3000000000000003E-2</v>
      </c>
      <c r="J7" s="3">
        <v>4.0910000000000002</v>
      </c>
      <c r="K7" s="3">
        <f>monoplane_spar_layup!K7/2</f>
        <v>0.04</v>
      </c>
      <c r="L7" s="97">
        <f>monoplane_spar_layup!L7/2</f>
        <v>1.5E-3</v>
      </c>
      <c r="M7" s="3">
        <v>13.308</v>
      </c>
      <c r="N7" s="3">
        <v>0.23200000000000001</v>
      </c>
      <c r="O7">
        <v>0</v>
      </c>
      <c r="P7">
        <v>12</v>
      </c>
      <c r="Q7" s="7">
        <v>11.4</v>
      </c>
      <c r="R7" s="3">
        <v>6.835</v>
      </c>
      <c r="T7" s="97">
        <f t="shared" si="1"/>
        <v>9.0842278453778835</v>
      </c>
      <c r="U7" s="97">
        <f t="shared" si="2"/>
        <v>8.1387950208750031</v>
      </c>
      <c r="V7" s="97">
        <f t="shared" si="3"/>
        <v>0.94543282450288046</v>
      </c>
    </row>
    <row r="8" spans="1:22" x14ac:dyDescent="0.25">
      <c r="A8">
        <v>7</v>
      </c>
      <c r="B8" s="7">
        <v>12.2</v>
      </c>
      <c r="C8" s="98">
        <v>0.13275300000000001</v>
      </c>
      <c r="D8" s="7">
        <v>13.3</v>
      </c>
      <c r="E8">
        <v>1.5</v>
      </c>
      <c r="F8" s="97">
        <f>monoplane_spar_layup!F8/2</f>
        <v>4.7E-2</v>
      </c>
      <c r="G8">
        <v>0</v>
      </c>
      <c r="H8">
        <v>0</v>
      </c>
      <c r="I8">
        <f t="shared" si="0"/>
        <v>4.3000000000000003E-2</v>
      </c>
      <c r="J8" s="3">
        <v>3.68</v>
      </c>
      <c r="K8" s="3">
        <f>monoplane_spar_layup!K8/2</f>
        <v>0.04</v>
      </c>
      <c r="L8" s="97">
        <f>monoplane_spar_layup!L8/2</f>
        <v>1.5E-3</v>
      </c>
      <c r="M8" s="3">
        <v>13.308</v>
      </c>
      <c r="N8" s="3">
        <v>0.23200000000000001</v>
      </c>
      <c r="O8">
        <v>0</v>
      </c>
      <c r="P8">
        <v>13</v>
      </c>
      <c r="Q8" s="7">
        <v>14.6</v>
      </c>
      <c r="R8" s="3">
        <v>7.2149999999999999</v>
      </c>
      <c r="T8" s="97">
        <f t="shared" si="1"/>
        <v>6.5866622293333332</v>
      </c>
      <c r="U8" s="97">
        <f t="shared" si="2"/>
        <v>5.7642242570000013</v>
      </c>
      <c r="V8" s="97">
        <f t="shared" si="3"/>
        <v>0.82243797233333193</v>
      </c>
    </row>
    <row r="9" spans="1:22" x14ac:dyDescent="0.25">
      <c r="A9">
        <v>8</v>
      </c>
      <c r="B9" s="7">
        <v>13.9</v>
      </c>
      <c r="C9" s="98">
        <v>0.151251</v>
      </c>
      <c r="D9" s="7">
        <v>15.1</v>
      </c>
      <c r="E9">
        <v>1.5</v>
      </c>
      <c r="F9" s="97">
        <f>monoplane_spar_layup!F9/2</f>
        <v>5.5500000000000001E-2</v>
      </c>
      <c r="G9">
        <v>0</v>
      </c>
      <c r="H9">
        <v>0</v>
      </c>
      <c r="I9">
        <f t="shared" si="0"/>
        <v>4.3000000000000003E-2</v>
      </c>
      <c r="J9" s="3">
        <v>3.48</v>
      </c>
      <c r="K9" s="3">
        <f>monoplane_spar_layup!K9/2</f>
        <v>0.04</v>
      </c>
      <c r="L9" s="97">
        <f>monoplane_spar_layup!L9/2</f>
        <v>1.5E-3</v>
      </c>
      <c r="M9" s="3">
        <v>13.177</v>
      </c>
      <c r="N9" s="3">
        <v>0.23</v>
      </c>
      <c r="O9">
        <v>-1.34E-3</v>
      </c>
      <c r="P9">
        <v>14</v>
      </c>
      <c r="Q9" s="7">
        <v>16.3</v>
      </c>
      <c r="R9" s="3">
        <v>7.4039999999999999</v>
      </c>
      <c r="T9" s="97">
        <f t="shared" si="1"/>
        <v>5.5700573760000003</v>
      </c>
      <c r="U9" s="97">
        <f t="shared" si="2"/>
        <v>4.7798365511249985</v>
      </c>
      <c r="V9" s="97">
        <f t="shared" si="3"/>
        <v>0.79022082487500178</v>
      </c>
    </row>
    <row r="10" spans="1:22" x14ac:dyDescent="0.25">
      <c r="A10">
        <v>9</v>
      </c>
      <c r="B10" s="7">
        <v>15.5</v>
      </c>
      <c r="C10" s="98">
        <v>0.16866200000000001</v>
      </c>
      <c r="D10" s="7">
        <v>16.899999999999999</v>
      </c>
      <c r="E10">
        <v>1.5</v>
      </c>
      <c r="F10" s="97">
        <f>monoplane_spar_layup!F10/2</f>
        <v>5.9499999999999997E-2</v>
      </c>
      <c r="G10">
        <v>0</v>
      </c>
      <c r="H10">
        <v>0</v>
      </c>
      <c r="I10">
        <f t="shared" si="0"/>
        <v>4.3000000000000003E-2</v>
      </c>
      <c r="J10" s="3">
        <v>3.2850000000000001</v>
      </c>
      <c r="K10" s="3">
        <f>monoplane_spar_layup!K10/2</f>
        <v>0.04</v>
      </c>
      <c r="L10" s="97">
        <f>monoplane_spar_layup!L10/2</f>
        <v>1.5E-3</v>
      </c>
      <c r="M10" s="3">
        <v>13.045999999999999</v>
      </c>
      <c r="N10" s="3">
        <v>0.22800000000000001</v>
      </c>
      <c r="O10">
        <v>-1.4300000000000001E-3</v>
      </c>
      <c r="P10">
        <v>15</v>
      </c>
      <c r="Q10" s="7">
        <v>17.899999999999999</v>
      </c>
      <c r="R10" s="3">
        <v>7.5519999999999996</v>
      </c>
      <c r="T10" s="97">
        <f t="shared" si="1"/>
        <v>4.6851991801875004</v>
      </c>
      <c r="U10" s="97">
        <f t="shared" si="2"/>
        <v>3.9668222870000016</v>
      </c>
      <c r="V10" s="97">
        <f t="shared" si="3"/>
        <v>0.71837689318749876</v>
      </c>
    </row>
    <row r="11" spans="1:22" x14ac:dyDescent="0.25">
      <c r="A11">
        <v>10</v>
      </c>
      <c r="B11" s="7">
        <v>17.100000000000001</v>
      </c>
      <c r="C11" s="98">
        <v>0.18607199999999999</v>
      </c>
      <c r="D11" s="7">
        <v>18.600000000000001</v>
      </c>
      <c r="E11">
        <v>1.5</v>
      </c>
      <c r="F11" s="97">
        <f>monoplane_spar_layup!F11/2</f>
        <v>6.8000000000000005E-2</v>
      </c>
      <c r="G11">
        <v>0</v>
      </c>
      <c r="H11">
        <v>0</v>
      </c>
      <c r="I11">
        <f t="shared" si="0"/>
        <v>4.3000000000000003E-2</v>
      </c>
      <c r="J11" s="3">
        <v>3.089</v>
      </c>
      <c r="K11" s="3">
        <f>monoplane_spar_layup!K11/2</f>
        <v>0.04</v>
      </c>
      <c r="L11" s="97">
        <f>monoplane_spar_layup!L11/2</f>
        <v>1.5E-3</v>
      </c>
      <c r="M11" s="3">
        <v>12.914999999999999</v>
      </c>
      <c r="N11" s="3">
        <v>0.22500000000000001</v>
      </c>
      <c r="O11">
        <v>-1.4300000000000001E-3</v>
      </c>
      <c r="P11">
        <v>16</v>
      </c>
      <c r="Q11" s="7">
        <v>19.5</v>
      </c>
      <c r="R11" s="3">
        <v>7.6280000000000001</v>
      </c>
      <c r="T11" s="97">
        <f t="shared" si="1"/>
        <v>3.895611702902833</v>
      </c>
      <c r="U11" s="97">
        <f t="shared" si="2"/>
        <v>3.2188471471249995</v>
      </c>
      <c r="V11" s="97">
        <f t="shared" si="3"/>
        <v>0.67676455577783345</v>
      </c>
    </row>
    <row r="12" spans="1:22" x14ac:dyDescent="0.25">
      <c r="A12">
        <v>11</v>
      </c>
      <c r="B12" s="7">
        <v>19.8</v>
      </c>
      <c r="C12" s="98">
        <v>0.215452</v>
      </c>
      <c r="D12" s="7">
        <v>21.5</v>
      </c>
      <c r="E12">
        <v>1.5</v>
      </c>
      <c r="F12" s="97">
        <f>monoplane_spar_layup!F12/2</f>
        <v>6.8000000000000005E-2</v>
      </c>
      <c r="G12">
        <v>0</v>
      </c>
      <c r="H12">
        <v>0</v>
      </c>
      <c r="I12">
        <f t="shared" si="0"/>
        <v>4.3000000000000003E-2</v>
      </c>
      <c r="J12" s="3">
        <v>2.8820000000000001</v>
      </c>
      <c r="K12" s="3">
        <f>monoplane_spar_layup!K12/2</f>
        <v>0.04</v>
      </c>
      <c r="L12" s="97">
        <f>monoplane_spar_layup!L12/2</f>
        <v>1.5E-3</v>
      </c>
      <c r="M12" s="3">
        <v>12.132999999999999</v>
      </c>
      <c r="N12" s="3">
        <v>0.21199999999999999</v>
      </c>
      <c r="O12">
        <v>-5.0499999999999998E-3</v>
      </c>
      <c r="P12">
        <v>17</v>
      </c>
      <c r="Q12" s="7">
        <v>22.2</v>
      </c>
      <c r="R12" s="3">
        <v>7.585</v>
      </c>
      <c r="T12" s="97">
        <f t="shared" si="1"/>
        <v>3.1637624439373337</v>
      </c>
      <c r="U12" s="97">
        <f t="shared" si="2"/>
        <v>2.5882821169999999</v>
      </c>
      <c r="V12" s="97">
        <f t="shared" si="3"/>
        <v>0.57548032693733386</v>
      </c>
    </row>
    <row r="13" spans="1:22" x14ac:dyDescent="0.25">
      <c r="A13">
        <v>12</v>
      </c>
      <c r="B13" s="7">
        <v>22.5</v>
      </c>
      <c r="C13" s="98">
        <v>0.24483099999999999</v>
      </c>
      <c r="D13" s="7">
        <v>24.5</v>
      </c>
      <c r="E13">
        <v>1.5</v>
      </c>
      <c r="F13" s="97">
        <f>monoplane_spar_layup!F13/2</f>
        <v>6.8000000000000005E-2</v>
      </c>
      <c r="G13">
        <v>0</v>
      </c>
      <c r="H13">
        <v>0</v>
      </c>
      <c r="I13">
        <f t="shared" si="0"/>
        <v>4.3000000000000003E-2</v>
      </c>
      <c r="J13" s="3">
        <v>2.6960000000000002</v>
      </c>
      <c r="K13" s="3">
        <f>monoplane_spar_layup!K13/2</f>
        <v>0.04</v>
      </c>
      <c r="L13" s="97">
        <f>monoplane_spar_layup!L13/2</f>
        <v>1.5E-3</v>
      </c>
      <c r="M13" s="3">
        <v>11.35</v>
      </c>
      <c r="N13" s="3">
        <v>0.19800000000000001</v>
      </c>
      <c r="O13">
        <v>-5.0600000000000003E-3</v>
      </c>
      <c r="P13">
        <v>18</v>
      </c>
      <c r="Q13" s="7">
        <v>24.9</v>
      </c>
      <c r="R13" s="3">
        <v>7.4880000000000004</v>
      </c>
      <c r="T13" s="97">
        <f t="shared" si="1"/>
        <v>2.5898916803413337</v>
      </c>
      <c r="U13" s="97">
        <f t="shared" si="2"/>
        <v>2.0971520000000003</v>
      </c>
      <c r="V13" s="97">
        <f t="shared" si="3"/>
        <v>0.49273968034133331</v>
      </c>
    </row>
    <row r="14" spans="1:22" x14ac:dyDescent="0.25">
      <c r="A14">
        <v>13</v>
      </c>
      <c r="B14" s="7">
        <v>25.2</v>
      </c>
      <c r="C14" s="98">
        <v>0.27421099999999998</v>
      </c>
      <c r="D14" s="7">
        <v>27.4</v>
      </c>
      <c r="E14">
        <v>1.5</v>
      </c>
      <c r="F14" s="97">
        <f>monoplane_spar_layup!F14/2</f>
        <v>6.4000000000000001E-2</v>
      </c>
      <c r="G14">
        <v>0</v>
      </c>
      <c r="H14">
        <v>0</v>
      </c>
      <c r="I14">
        <f t="shared" si="0"/>
        <v>4.3000000000000003E-2</v>
      </c>
      <c r="J14" s="3">
        <v>2.4980000000000002</v>
      </c>
      <c r="K14" s="3">
        <f>monoplane_spar_layup!K14/2</f>
        <v>0.04</v>
      </c>
      <c r="L14" s="97">
        <f>monoplane_spar_layup!L14/2</f>
        <v>1.5E-3</v>
      </c>
      <c r="M14" s="3">
        <v>10.568</v>
      </c>
      <c r="N14" s="3">
        <v>0.184</v>
      </c>
      <c r="O14">
        <v>-5.0499999999999998E-3</v>
      </c>
      <c r="P14">
        <v>19</v>
      </c>
      <c r="Q14" s="7">
        <v>27.6</v>
      </c>
      <c r="R14" s="3">
        <v>7.3470000000000004</v>
      </c>
      <c r="T14" s="97">
        <f t="shared" si="1"/>
        <v>2.0601518806093337</v>
      </c>
      <c r="U14" s="97">
        <f t="shared" si="2"/>
        <v>1.6640066250000001</v>
      </c>
      <c r="V14" s="97">
        <f t="shared" si="3"/>
        <v>0.39614525560933367</v>
      </c>
    </row>
    <row r="15" spans="1:22" x14ac:dyDescent="0.25">
      <c r="A15">
        <v>14</v>
      </c>
      <c r="B15" s="7">
        <v>33.4</v>
      </c>
      <c r="C15" s="98">
        <v>0.36343900000000001</v>
      </c>
      <c r="D15" s="7">
        <v>36.299999999999997</v>
      </c>
      <c r="E15">
        <v>1.5</v>
      </c>
      <c r="F15" s="97">
        <f>monoplane_spar_layup!F15/2</f>
        <v>5.9499999999999997E-2</v>
      </c>
      <c r="G15">
        <v>0</v>
      </c>
      <c r="H15">
        <v>0</v>
      </c>
      <c r="I15">
        <f t="shared" si="0"/>
        <v>4.3000000000000003E-2</v>
      </c>
      <c r="J15" s="3">
        <v>2.077</v>
      </c>
      <c r="K15" s="3">
        <f>monoplane_spar_layup!K15/2</f>
        <v>0.04</v>
      </c>
      <c r="L15" s="97">
        <f>monoplane_spar_layup!L15/2</f>
        <v>1.5E-3</v>
      </c>
      <c r="M15" s="3">
        <v>9.1660000000000004</v>
      </c>
      <c r="N15" s="3">
        <v>0.16</v>
      </c>
      <c r="O15">
        <v>-2.98E-3</v>
      </c>
      <c r="P15">
        <v>20</v>
      </c>
      <c r="Q15" s="7">
        <v>35.799999999999997</v>
      </c>
      <c r="R15" s="3">
        <v>6.923</v>
      </c>
      <c r="T15" s="97">
        <f t="shared" si="1"/>
        <v>1.1842173687781665</v>
      </c>
      <c r="U15" s="97">
        <f t="shared" si="2"/>
        <v>0.93831373899999992</v>
      </c>
      <c r="V15" s="97">
        <f t="shared" si="3"/>
        <v>0.2459036297781666</v>
      </c>
    </row>
    <row r="16" spans="1:22" x14ac:dyDescent="0.25">
      <c r="A16">
        <v>15</v>
      </c>
      <c r="B16" s="7">
        <v>41.5</v>
      </c>
      <c r="C16" s="98">
        <v>0.45157799999999998</v>
      </c>
      <c r="D16" s="7">
        <v>45.2</v>
      </c>
      <c r="E16">
        <v>1.5</v>
      </c>
      <c r="F16" s="97">
        <f>monoplane_spar_layup!F16/2</f>
        <v>5.5500000000000001E-2</v>
      </c>
      <c r="G16">
        <v>0</v>
      </c>
      <c r="H16">
        <v>0</v>
      </c>
      <c r="I16">
        <f t="shared" si="0"/>
        <v>4.3000000000000003E-2</v>
      </c>
      <c r="J16" s="3">
        <v>1.6719999999999999</v>
      </c>
      <c r="K16" s="3">
        <f>monoplane_spar_layup!K16/2</f>
        <v>0.04</v>
      </c>
      <c r="L16" s="97">
        <f>monoplane_spar_layup!L16/2</f>
        <v>1.5E-3</v>
      </c>
      <c r="M16" s="3">
        <v>7.6879999999999997</v>
      </c>
      <c r="N16" s="3">
        <v>0.13400000000000001</v>
      </c>
      <c r="O16">
        <v>-3.1800000000000001E-3</v>
      </c>
      <c r="P16">
        <v>21</v>
      </c>
      <c r="Q16" s="7">
        <v>43.9</v>
      </c>
      <c r="R16" s="3">
        <v>6.4290000000000003</v>
      </c>
      <c r="T16" s="97">
        <f t="shared" si="1"/>
        <v>0.61777560721066649</v>
      </c>
      <c r="U16" s="97">
        <f t="shared" si="2"/>
        <v>0.47546518512499997</v>
      </c>
      <c r="V16" s="97">
        <f t="shared" si="3"/>
        <v>0.14231042208566652</v>
      </c>
    </row>
    <row r="17" spans="1:22" x14ac:dyDescent="0.25">
      <c r="A17">
        <v>16</v>
      </c>
      <c r="B17" s="7">
        <v>49.6</v>
      </c>
      <c r="C17" s="98">
        <v>0.539717</v>
      </c>
      <c r="D17" s="7">
        <v>54</v>
      </c>
      <c r="E17">
        <v>1.5</v>
      </c>
      <c r="F17" s="97">
        <f>monoplane_spar_layup!F17/2</f>
        <v>5.0999999999999997E-2</v>
      </c>
      <c r="G17">
        <v>0</v>
      </c>
      <c r="H17">
        <v>0</v>
      </c>
      <c r="I17">
        <f t="shared" si="0"/>
        <v>4.3000000000000003E-2</v>
      </c>
      <c r="J17" s="3">
        <v>1.36</v>
      </c>
      <c r="K17" s="3">
        <f>monoplane_spar_layup!K17/2</f>
        <v>0.04</v>
      </c>
      <c r="L17" s="97">
        <f>monoplane_spar_layup!L17/2</f>
        <v>1.5E-3</v>
      </c>
      <c r="M17" s="3">
        <v>6.18</v>
      </c>
      <c r="N17" s="3">
        <v>0.108</v>
      </c>
      <c r="O17">
        <v>-3.2499999999999999E-3</v>
      </c>
      <c r="P17">
        <v>22</v>
      </c>
      <c r="Q17" s="7">
        <v>52</v>
      </c>
      <c r="R17" s="3">
        <v>5.915</v>
      </c>
      <c r="T17" s="97">
        <f t="shared" si="1"/>
        <v>0.33245943466666672</v>
      </c>
      <c r="U17" s="97">
        <f t="shared" si="2"/>
        <v>0.24885818900000001</v>
      </c>
      <c r="V17" s="97">
        <f t="shared" si="3"/>
        <v>8.3601245666666713E-2</v>
      </c>
    </row>
    <row r="18" spans="1:22" x14ac:dyDescent="0.25">
      <c r="A18">
        <v>17</v>
      </c>
      <c r="B18" s="7">
        <v>57.8</v>
      </c>
      <c r="C18" s="98">
        <v>0.62894499999999998</v>
      </c>
      <c r="D18" s="7">
        <v>62.9</v>
      </c>
      <c r="E18">
        <v>1.5</v>
      </c>
      <c r="F18" s="97">
        <f>monoplane_spar_layup!F18/2</f>
        <v>4.2500000000000003E-2</v>
      </c>
      <c r="G18">
        <v>0</v>
      </c>
      <c r="H18">
        <v>0</v>
      </c>
      <c r="I18">
        <f t="shared" si="0"/>
        <v>4.3000000000000003E-2</v>
      </c>
      <c r="J18" s="3">
        <v>1.1379999999999999</v>
      </c>
      <c r="K18" s="3">
        <f>monoplane_spar_layup!K18/2</f>
        <v>0.04</v>
      </c>
      <c r="L18" s="97">
        <f>monoplane_spar_layup!L18/2</f>
        <v>1.5E-3</v>
      </c>
      <c r="M18" s="3">
        <v>4.7430000000000003</v>
      </c>
      <c r="N18" s="3">
        <v>8.3000000000000004E-2</v>
      </c>
      <c r="O18">
        <v>-3.0599999999999998E-3</v>
      </c>
      <c r="P18">
        <v>23</v>
      </c>
      <c r="Q18" s="7">
        <v>60.2</v>
      </c>
      <c r="R18" s="3">
        <v>5.4169999999999998</v>
      </c>
      <c r="T18" s="97">
        <f t="shared" si="1"/>
        <v>0.19478195618266661</v>
      </c>
      <c r="U18" s="97">
        <f t="shared" si="2"/>
        <v>0.14594698462499997</v>
      </c>
      <c r="V18" s="97">
        <f t="shared" si="3"/>
        <v>4.883497155766664E-2</v>
      </c>
    </row>
    <row r="19" spans="1:22" x14ac:dyDescent="0.25">
      <c r="A19">
        <v>18</v>
      </c>
      <c r="B19" s="7">
        <v>64.3</v>
      </c>
      <c r="C19" s="98">
        <v>0.69967400000000002</v>
      </c>
      <c r="D19" s="7">
        <v>70</v>
      </c>
      <c r="E19">
        <v>1.5</v>
      </c>
      <c r="F19" s="97">
        <f>monoplane_spar_layup!F19/2</f>
        <v>3.4000000000000002E-2</v>
      </c>
      <c r="G19">
        <v>0</v>
      </c>
      <c r="H19">
        <v>0</v>
      </c>
      <c r="I19">
        <f t="shared" si="0"/>
        <v>4.3000000000000003E-2</v>
      </c>
      <c r="J19" s="3">
        <v>0.95399999999999996</v>
      </c>
      <c r="K19" s="3">
        <f>monoplane_spar_layup!K19/2</f>
        <v>0.04</v>
      </c>
      <c r="L19" s="97">
        <f>monoplane_spar_layup!L19/2</f>
        <v>1.5E-3</v>
      </c>
      <c r="M19" s="3">
        <v>3.633</v>
      </c>
      <c r="N19" s="3">
        <v>6.3E-2</v>
      </c>
      <c r="O19">
        <v>-2.98E-3</v>
      </c>
      <c r="P19">
        <v>24</v>
      </c>
      <c r="Q19" s="7">
        <v>66.7</v>
      </c>
      <c r="R19" s="3">
        <v>5.0190000000000001</v>
      </c>
      <c r="T19" s="97">
        <f t="shared" si="1"/>
        <v>0.11475379609199997</v>
      </c>
      <c r="U19" s="97">
        <f t="shared" si="2"/>
        <v>8.6938306999999965E-2</v>
      </c>
      <c r="V19" s="97">
        <f t="shared" si="3"/>
        <v>2.7815489092000004E-2</v>
      </c>
    </row>
    <row r="20" spans="1:22" x14ac:dyDescent="0.25">
      <c r="A20">
        <v>19</v>
      </c>
      <c r="B20" s="7">
        <v>65.900000000000006</v>
      </c>
      <c r="C20" s="98">
        <v>0.71708400000000005</v>
      </c>
      <c r="D20" s="7">
        <v>71.7</v>
      </c>
      <c r="E20">
        <v>1.5</v>
      </c>
      <c r="F20" s="97">
        <f>monoplane_spar_layup!F20/2</f>
        <v>3.2000000000000001E-2</v>
      </c>
      <c r="G20">
        <v>0</v>
      </c>
      <c r="H20">
        <v>0</v>
      </c>
      <c r="I20">
        <f t="shared" si="0"/>
        <v>4.3000000000000003E-2</v>
      </c>
      <c r="J20" s="3">
        <v>0.91</v>
      </c>
      <c r="K20" s="3">
        <f>monoplane_spar_layup!K20/2</f>
        <v>0.04</v>
      </c>
      <c r="L20" s="97">
        <f>monoplane_spar_layup!L20/2</f>
        <v>1.5E-3</v>
      </c>
      <c r="M20" s="3">
        <v>3.383</v>
      </c>
      <c r="N20" s="3">
        <v>5.8999999999999997E-2</v>
      </c>
      <c r="O20">
        <v>-2.7299999999999998E-3</v>
      </c>
      <c r="P20">
        <v>25</v>
      </c>
      <c r="Q20" s="7">
        <v>68.3</v>
      </c>
      <c r="R20" s="3">
        <v>4.92</v>
      </c>
      <c r="T20" s="97">
        <f t="shared" si="1"/>
        <v>9.9596967166666675E-2</v>
      </c>
      <c r="U20" s="97">
        <f t="shared" si="2"/>
        <v>7.5686967000000022E-2</v>
      </c>
      <c r="V20" s="97">
        <f t="shared" si="3"/>
        <v>2.3910000166666653E-2</v>
      </c>
    </row>
    <row r="21" spans="1:22" x14ac:dyDescent="0.25">
      <c r="A21">
        <v>20</v>
      </c>
      <c r="B21" s="7">
        <v>70.8</v>
      </c>
      <c r="C21" s="98">
        <v>0.77040299999999995</v>
      </c>
      <c r="D21" s="7">
        <v>77</v>
      </c>
      <c r="E21">
        <v>1.5</v>
      </c>
      <c r="F21" s="97">
        <f>monoplane_spar_layup!F21/2</f>
        <v>2.35E-2</v>
      </c>
      <c r="G21">
        <v>0</v>
      </c>
      <c r="H21">
        <v>0</v>
      </c>
      <c r="I21">
        <f t="shared" si="0"/>
        <v>4.3000000000000003E-2</v>
      </c>
      <c r="J21" s="3">
        <v>0.83199999999999996</v>
      </c>
      <c r="K21" s="3">
        <f>monoplane_spar_layup!K21/2</f>
        <v>0.04</v>
      </c>
      <c r="L21" s="97">
        <f>monoplane_spar_layup!L21/2</f>
        <v>1.5E-3</v>
      </c>
      <c r="M21" s="3">
        <v>2.7349999999999999</v>
      </c>
      <c r="N21" s="3">
        <v>4.8000000000000001E-2</v>
      </c>
      <c r="O21">
        <v>-2.31E-3</v>
      </c>
      <c r="P21">
        <v>26</v>
      </c>
      <c r="Q21" s="7">
        <v>73.2</v>
      </c>
      <c r="R21" s="3">
        <v>4.6210000000000004</v>
      </c>
      <c r="T21" s="97">
        <f t="shared" si="1"/>
        <v>7.6118796970666661E-2</v>
      </c>
      <c r="U21" s="97">
        <f t="shared" si="2"/>
        <v>6.0467078124999983E-2</v>
      </c>
      <c r="V21" s="97">
        <f t="shared" si="3"/>
        <v>1.5651718845666678E-2</v>
      </c>
    </row>
    <row r="22" spans="1:22" x14ac:dyDescent="0.25">
      <c r="A22">
        <v>21</v>
      </c>
      <c r="B22" s="7">
        <v>74</v>
      </c>
      <c r="C22" s="98">
        <v>0.80522300000000002</v>
      </c>
      <c r="D22" s="7">
        <v>80.5</v>
      </c>
      <c r="E22">
        <v>1.5</v>
      </c>
      <c r="F22" s="97">
        <f>monoplane_spar_layup!F22/2</f>
        <v>1.7000000000000001E-2</v>
      </c>
      <c r="G22">
        <v>0</v>
      </c>
      <c r="H22">
        <v>0</v>
      </c>
      <c r="I22">
        <f t="shared" si="0"/>
        <v>4.3000000000000003E-2</v>
      </c>
      <c r="J22" s="3">
        <v>0.79600000000000004</v>
      </c>
      <c r="K22" s="3">
        <f>monoplane_spar_layup!K22/2</f>
        <v>0.04</v>
      </c>
      <c r="L22" s="97">
        <f>monoplane_spar_layup!L22/2</f>
        <v>1.5E-3</v>
      </c>
      <c r="M22" s="3">
        <v>2.3479999999999999</v>
      </c>
      <c r="N22" s="3">
        <v>4.1000000000000002E-2</v>
      </c>
      <c r="O22">
        <v>-2.1099999999999999E-3</v>
      </c>
      <c r="P22">
        <v>27</v>
      </c>
      <c r="Q22" s="7">
        <v>76.400000000000006</v>
      </c>
      <c r="R22" s="3">
        <v>4.4219999999999997</v>
      </c>
      <c r="T22" s="97">
        <f t="shared" si="1"/>
        <v>6.6659360074666676E-2</v>
      </c>
      <c r="U22" s="97">
        <f t="shared" si="2"/>
        <v>5.5306341000000009E-2</v>
      </c>
      <c r="V22" s="97">
        <f t="shared" si="3"/>
        <v>1.1353019074666668E-2</v>
      </c>
    </row>
    <row r="23" spans="1:22" x14ac:dyDescent="0.25">
      <c r="A23">
        <v>22</v>
      </c>
      <c r="B23" s="7">
        <v>82.2</v>
      </c>
      <c r="C23" s="98">
        <v>0.89444999999999997</v>
      </c>
      <c r="D23" s="7">
        <v>89.4</v>
      </c>
      <c r="E23">
        <v>1.5</v>
      </c>
      <c r="F23" s="97">
        <f>monoplane_spar_layup!F23/2</f>
        <v>8.5000000000000006E-3</v>
      </c>
      <c r="G23">
        <v>0</v>
      </c>
      <c r="H23">
        <v>0</v>
      </c>
      <c r="I23">
        <f t="shared" si="0"/>
        <v>4.3000000000000003E-2</v>
      </c>
      <c r="J23" s="3">
        <v>0.70699999999999996</v>
      </c>
      <c r="K23" s="3">
        <f>monoplane_spar_layup!K23/2</f>
        <v>0.04</v>
      </c>
      <c r="L23" s="97">
        <f>monoplane_spar_layup!L23/2</f>
        <v>1.5E-3</v>
      </c>
      <c r="M23" s="3">
        <v>1.38</v>
      </c>
      <c r="N23" s="3">
        <v>2.4E-2</v>
      </c>
      <c r="O23">
        <v>-2.0600000000000002E-3</v>
      </c>
      <c r="P23">
        <v>28</v>
      </c>
      <c r="Q23" s="7">
        <v>84.6</v>
      </c>
      <c r="R23" s="3">
        <v>3.9249999999999998</v>
      </c>
      <c r="T23" s="97">
        <f t="shared" si="1"/>
        <v>4.670680694983332E-2</v>
      </c>
      <c r="U23" s="97">
        <f t="shared" si="2"/>
        <v>4.1063624999999992E-2</v>
      </c>
      <c r="V23" s="97">
        <f t="shared" si="3"/>
        <v>5.6431819498333272E-3</v>
      </c>
    </row>
    <row r="24" spans="1:22" x14ac:dyDescent="0.25">
      <c r="A24">
        <v>23</v>
      </c>
      <c r="B24" s="7">
        <v>87</v>
      </c>
      <c r="C24" s="98">
        <v>0.94668099999999999</v>
      </c>
      <c r="D24" s="7">
        <v>94.7</v>
      </c>
      <c r="E24">
        <v>1.5</v>
      </c>
      <c r="F24" s="97">
        <f>monoplane_spar_layup!F24/2</f>
        <v>4.4999999999999997E-3</v>
      </c>
      <c r="G24">
        <v>0</v>
      </c>
      <c r="H24">
        <v>0</v>
      </c>
      <c r="I24">
        <f t="shared" si="0"/>
        <v>4.3000000000000003E-2</v>
      </c>
      <c r="J24" s="3">
        <v>0.65100000000000002</v>
      </c>
      <c r="K24" s="3">
        <f>monoplane_spar_layup!K24/2</f>
        <v>0.04</v>
      </c>
      <c r="L24" s="97">
        <f>monoplane_spar_layup!L24/2</f>
        <v>1.5E-3</v>
      </c>
      <c r="M24" s="3">
        <v>0.79900000000000004</v>
      </c>
      <c r="N24" s="3">
        <v>1.4E-2</v>
      </c>
      <c r="O24">
        <v>-2.1099999999999999E-3</v>
      </c>
      <c r="P24">
        <v>29</v>
      </c>
      <c r="Q24" s="7">
        <v>89.4</v>
      </c>
      <c r="R24" s="3">
        <v>3.6190000000000002</v>
      </c>
      <c r="T24" s="97">
        <f t="shared" si="1"/>
        <v>3.6464049940500003E-2</v>
      </c>
      <c r="U24" s="97">
        <f t="shared" si="2"/>
        <v>3.3076161E-2</v>
      </c>
      <c r="V24" s="97">
        <f t="shared" si="3"/>
        <v>3.3878889405000029E-3</v>
      </c>
    </row>
    <row r="25" spans="1:22" x14ac:dyDescent="0.25">
      <c r="A25">
        <v>24</v>
      </c>
      <c r="B25" s="7">
        <v>91.9</v>
      </c>
      <c r="C25" s="98">
        <v>1</v>
      </c>
      <c r="D25" s="7">
        <v>100</v>
      </c>
      <c r="E25">
        <v>1.5</v>
      </c>
      <c r="F25" s="97">
        <f>monoplane_spar_layup!F25/2</f>
        <v>2.5000000000000001E-3</v>
      </c>
      <c r="G25">
        <v>0</v>
      </c>
      <c r="H25">
        <v>0</v>
      </c>
      <c r="I25">
        <f t="shared" si="0"/>
        <v>4.3000000000000003E-2</v>
      </c>
      <c r="J25" s="3">
        <v>0.50800000000000001</v>
      </c>
      <c r="K25" s="3">
        <f>monoplane_spar_layup!K25/2</f>
        <v>0.04</v>
      </c>
      <c r="L25" s="97">
        <f>monoplane_spar_layup!L25/2</f>
        <v>1.5E-3</v>
      </c>
      <c r="M25" s="3">
        <v>0.28000000000000003</v>
      </c>
      <c r="N25" s="3">
        <v>5.0000000000000001E-3</v>
      </c>
      <c r="O25">
        <v>-1.8500000000000001E-3</v>
      </c>
      <c r="P25">
        <v>30</v>
      </c>
      <c r="Q25" s="7">
        <v>94.3</v>
      </c>
      <c r="R25" s="3">
        <v>2.8239999999999998</v>
      </c>
      <c r="T25" s="97">
        <f t="shared" si="1"/>
        <v>1.7326589002666665E-2</v>
      </c>
      <c r="U25" s="97">
        <f t="shared" si="2"/>
        <v>1.5907940874999998E-2</v>
      </c>
      <c r="V25" s="97">
        <f t="shared" si="3"/>
        <v>1.418648127666667E-3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Airfoil &amp; Chord Properties</vt:lpstr>
      <vt:lpstr>Laminate Schedule</vt:lpstr>
      <vt:lpstr>My Schedule</vt:lpstr>
      <vt:lpstr>Material Properties</vt:lpstr>
      <vt:lpstr>My Schedule (VABS outputs)</vt:lpstr>
      <vt:lpstr>twist vs. torsional stiffness</vt:lpstr>
      <vt:lpstr>monoplane_spar_layup</vt:lpstr>
      <vt:lpstr>biplane_spar_layup 20120306</vt:lpstr>
      <vt:lpstr>biplane_spar_layup 20120517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Johnson</dc:creator>
  <cp:lastModifiedBy>Perry Johnson</cp:lastModifiedBy>
  <dcterms:created xsi:type="dcterms:W3CDTF">2011-09-26T21:33:35Z</dcterms:created>
  <dcterms:modified xsi:type="dcterms:W3CDTF">2012-05-17T20:55:53Z</dcterms:modified>
</cp:coreProperties>
</file>