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fc4323b67124e/Learning Materials/2021.9-2022.1/Electrical Engineering/Lab/02/"/>
    </mc:Choice>
  </mc:AlternateContent>
  <xr:revisionPtr revIDLastSave="12" documentId="13_ncr:1_{FD3231B9-77CF-4B66-8722-BFE406A60E10}" xr6:coauthVersionLast="47" xr6:coauthVersionMax="47" xr10:uidLastSave="{CAE6734D-D89E-4A04-8B96-F2444CF9679D}"/>
  <bookViews>
    <workbookView minimized="1" xWindow="5985" yWindow="2445" windowWidth="21600" windowHeight="11385" activeTab="1" xr2:uid="{263F9E60-8AA7-4F4E-92A8-5474A054728E}"/>
  </bookViews>
  <sheets>
    <sheet name="Title" sheetId="3" r:id="rId1"/>
    <sheet name="RLC series. Calculations" sheetId="4" r:id="rId2"/>
    <sheet name="RLC series. Plots" sheetId="5" r:id="rId3"/>
    <sheet name="RLC parallel. Calculations" sheetId="1" r:id="rId4"/>
    <sheet name="RLC parallel. Plo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6" i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7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7" i="4"/>
  <c r="D8" i="4"/>
  <c r="E7" i="4"/>
  <c r="E16" i="4"/>
  <c r="E17" i="4"/>
  <c r="E18" i="4"/>
  <c r="E19" i="4"/>
  <c r="E20" i="4"/>
  <c r="E21" i="4"/>
  <c r="E22" i="4"/>
  <c r="E23" i="4"/>
  <c r="E24" i="4"/>
  <c r="E25" i="4"/>
  <c r="E8" i="4"/>
  <c r="E9" i="4"/>
  <c r="E10" i="4"/>
  <c r="E11" i="4"/>
  <c r="E12" i="4"/>
  <c r="E13" i="4"/>
  <c r="E14" i="4"/>
  <c r="E15" i="4"/>
  <c r="H4" i="4"/>
  <c r="G2" i="1"/>
  <c r="C25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7" i="4"/>
  <c r="G1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7" i="4"/>
  <c r="O2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7" i="4"/>
  <c r="C4" i="4"/>
  <c r="G2" i="4"/>
  <c r="I2" i="4" s="1"/>
  <c r="I1" i="1"/>
  <c r="I2" i="1" s="1"/>
  <c r="A16" i="4" l="1"/>
  <c r="A25" i="4" s="1"/>
  <c r="A17" i="4" l="1"/>
  <c r="A18" i="4" s="1"/>
  <c r="A19" i="4" s="1"/>
  <c r="A20" i="4" s="1"/>
  <c r="A21" i="4" s="1"/>
  <c r="A22" i="4" s="1"/>
  <c r="A23" i="4" s="1"/>
  <c r="A24" i="4" s="1"/>
  <c r="A7" i="4"/>
  <c r="A8" i="4" s="1"/>
  <c r="A9" i="4" s="1"/>
  <c r="A10" i="4" s="1"/>
  <c r="A11" i="4" s="1"/>
  <c r="A12" i="4" s="1"/>
  <c r="A13" i="4" s="1"/>
  <c r="A14" i="4" s="1"/>
  <c r="A15" i="4" s="1"/>
  <c r="A15" i="1"/>
  <c r="J15" i="1" s="1"/>
  <c r="K15" i="1" l="1"/>
  <c r="L15" i="1"/>
  <c r="A6" i="1"/>
  <c r="A24" i="1"/>
  <c r="A16" i="1" l="1"/>
  <c r="J24" i="1"/>
  <c r="M15" i="1"/>
  <c r="X15" i="1"/>
  <c r="Z15" i="1" s="1"/>
  <c r="U15" i="1" s="1"/>
  <c r="O15" i="1"/>
  <c r="A7" i="1"/>
  <c r="J6" i="1"/>
  <c r="N15" i="1"/>
  <c r="Y15" i="1"/>
  <c r="P15" i="1"/>
  <c r="S15" i="1" l="1"/>
  <c r="T15" i="1"/>
  <c r="L6" i="1"/>
  <c r="K6" i="1"/>
  <c r="W15" i="1"/>
  <c r="A8" i="1"/>
  <c r="J7" i="1"/>
  <c r="Q15" i="1"/>
  <c r="L24" i="1"/>
  <c r="K24" i="1"/>
  <c r="A17" i="1"/>
  <c r="J16" i="1"/>
  <c r="N24" i="1" l="1"/>
  <c r="P24" i="1"/>
  <c r="Y24" i="1"/>
  <c r="M24" i="1"/>
  <c r="O24" i="1"/>
  <c r="W24" i="1" s="1"/>
  <c r="X24" i="1"/>
  <c r="Z24" i="1" s="1"/>
  <c r="U24" i="1" s="1"/>
  <c r="K7" i="1"/>
  <c r="L7" i="1"/>
  <c r="A9" i="1"/>
  <c r="J8" i="1"/>
  <c r="L16" i="1"/>
  <c r="K16" i="1"/>
  <c r="N6" i="1"/>
  <c r="Y6" i="1"/>
  <c r="P6" i="1"/>
  <c r="A18" i="1"/>
  <c r="J17" i="1"/>
  <c r="X6" i="1"/>
  <c r="O6" i="1"/>
  <c r="M6" i="1"/>
  <c r="S24" i="1" l="1"/>
  <c r="T24" i="1"/>
  <c r="M7" i="1"/>
  <c r="O7" i="1"/>
  <c r="X7" i="1"/>
  <c r="N7" i="1"/>
  <c r="Y7" i="1"/>
  <c r="P7" i="1"/>
  <c r="Q6" i="1"/>
  <c r="Q24" i="1"/>
  <c r="W6" i="1"/>
  <c r="O16" i="1"/>
  <c r="X16" i="1"/>
  <c r="M16" i="1"/>
  <c r="Z6" i="1"/>
  <c r="U6" i="1" s="1"/>
  <c r="L8" i="1"/>
  <c r="K8" i="1"/>
  <c r="A19" i="1"/>
  <c r="J18" i="1"/>
  <c r="P16" i="1"/>
  <c r="N16" i="1"/>
  <c r="Y16" i="1"/>
  <c r="L17" i="1"/>
  <c r="K17" i="1"/>
  <c r="A10" i="1"/>
  <c r="J9" i="1"/>
  <c r="S6" i="1" l="1"/>
  <c r="T6" i="1"/>
  <c r="Q16" i="1"/>
  <c r="A20" i="1"/>
  <c r="J19" i="1"/>
  <c r="Z7" i="1"/>
  <c r="U7" i="1" s="1"/>
  <c r="W7" i="1"/>
  <c r="L9" i="1"/>
  <c r="K9" i="1"/>
  <c r="A11" i="1"/>
  <c r="J10" i="1"/>
  <c r="N8" i="1"/>
  <c r="Y8" i="1"/>
  <c r="P8" i="1"/>
  <c r="N17" i="1"/>
  <c r="Y17" i="1"/>
  <c r="P17" i="1"/>
  <c r="O8" i="1"/>
  <c r="X8" i="1"/>
  <c r="M8" i="1"/>
  <c r="X17" i="1"/>
  <c r="O17" i="1"/>
  <c r="M17" i="1"/>
  <c r="Z16" i="1"/>
  <c r="U16" i="1" s="1"/>
  <c r="W16" i="1"/>
  <c r="L18" i="1"/>
  <c r="K18" i="1"/>
  <c r="Q7" i="1"/>
  <c r="S7" i="1" l="1"/>
  <c r="T7" i="1"/>
  <c r="S16" i="1"/>
  <c r="T16" i="1"/>
  <c r="W8" i="1"/>
  <c r="Z8" i="1"/>
  <c r="U8" i="1" s="1"/>
  <c r="P18" i="1"/>
  <c r="N18" i="1"/>
  <c r="Y18" i="1"/>
  <c r="A12" i="1"/>
  <c r="J11" i="1"/>
  <c r="N9" i="1"/>
  <c r="Y9" i="1"/>
  <c r="P9" i="1"/>
  <c r="K10" i="1"/>
  <c r="L10" i="1"/>
  <c r="X18" i="1"/>
  <c r="Z18" i="1" s="1"/>
  <c r="U18" i="1" s="1"/>
  <c r="M18" i="1"/>
  <c r="O18" i="1"/>
  <c r="X9" i="1"/>
  <c r="O9" i="1"/>
  <c r="M9" i="1"/>
  <c r="Q9" i="1" s="1"/>
  <c r="Q17" i="1"/>
  <c r="W17" i="1"/>
  <c r="L19" i="1"/>
  <c r="K19" i="1"/>
  <c r="Z17" i="1"/>
  <c r="U17" i="1" s="1"/>
  <c r="Q8" i="1"/>
  <c r="A21" i="1"/>
  <c r="J20" i="1"/>
  <c r="S8" i="1" l="1"/>
  <c r="T8" i="1"/>
  <c r="W18" i="1"/>
  <c r="S17" i="1"/>
  <c r="T17" i="1"/>
  <c r="S18" i="1"/>
  <c r="T18" i="1"/>
  <c r="W9" i="1"/>
  <c r="A13" i="1"/>
  <c r="J12" i="1"/>
  <c r="K20" i="1"/>
  <c r="L20" i="1"/>
  <c r="A22" i="1"/>
  <c r="J21" i="1"/>
  <c r="Z9" i="1"/>
  <c r="U9" i="1" s="1"/>
  <c r="L11" i="1"/>
  <c r="K11" i="1"/>
  <c r="P19" i="1"/>
  <c r="N19" i="1"/>
  <c r="Y19" i="1"/>
  <c r="M19" i="1"/>
  <c r="X19" i="1"/>
  <c r="Z19" i="1" s="1"/>
  <c r="U19" i="1" s="1"/>
  <c r="O19" i="1"/>
  <c r="W19" i="1" s="1"/>
  <c r="X10" i="1"/>
  <c r="O10" i="1"/>
  <c r="M10" i="1"/>
  <c r="Q18" i="1"/>
  <c r="P10" i="1"/>
  <c r="N10" i="1"/>
  <c r="Y10" i="1"/>
  <c r="S9" i="1" l="1"/>
  <c r="T9" i="1"/>
  <c r="T19" i="1"/>
  <c r="S19" i="1"/>
  <c r="K21" i="1"/>
  <c r="L21" i="1"/>
  <c r="A23" i="1"/>
  <c r="J23" i="1" s="1"/>
  <c r="J22" i="1"/>
  <c r="Y20" i="1"/>
  <c r="P20" i="1"/>
  <c r="N20" i="1"/>
  <c r="M20" i="1"/>
  <c r="X20" i="1"/>
  <c r="O20" i="1"/>
  <c r="L12" i="1"/>
  <c r="K12" i="1"/>
  <c r="Q10" i="1"/>
  <c r="W10" i="1"/>
  <c r="P11" i="1"/>
  <c r="N11" i="1"/>
  <c r="Y11" i="1"/>
  <c r="A14" i="1"/>
  <c r="J14" i="1" s="1"/>
  <c r="J13" i="1"/>
  <c r="Q19" i="1"/>
  <c r="Z10" i="1"/>
  <c r="U10" i="1" s="1"/>
  <c r="M11" i="1"/>
  <c r="X11" i="1"/>
  <c r="O11" i="1"/>
  <c r="W11" i="1" s="1"/>
  <c r="Q20" i="1" l="1"/>
  <c r="Z11" i="1"/>
  <c r="U11" i="1" s="1"/>
  <c r="S10" i="1"/>
  <c r="T10" i="1"/>
  <c r="K22" i="1"/>
  <c r="L22" i="1"/>
  <c r="K23" i="1"/>
  <c r="L23" i="1"/>
  <c r="Q11" i="1"/>
  <c r="Y12" i="1"/>
  <c r="P12" i="1"/>
  <c r="N12" i="1"/>
  <c r="K13" i="1"/>
  <c r="L13" i="1"/>
  <c r="M12" i="1"/>
  <c r="X12" i="1"/>
  <c r="Z12" i="1" s="1"/>
  <c r="U12" i="1" s="1"/>
  <c r="O12" i="1"/>
  <c r="K14" i="1"/>
  <c r="L14" i="1"/>
  <c r="W20" i="1"/>
  <c r="M21" i="1"/>
  <c r="X21" i="1"/>
  <c r="O21" i="1"/>
  <c r="Z20" i="1"/>
  <c r="U20" i="1" s="1"/>
  <c r="Y21" i="1"/>
  <c r="P21" i="1"/>
  <c r="N21" i="1"/>
  <c r="T20" i="1" l="1"/>
  <c r="S20" i="1"/>
  <c r="S11" i="1"/>
  <c r="T11" i="1"/>
  <c r="T12" i="1"/>
  <c r="S12" i="1"/>
  <c r="M23" i="1"/>
  <c r="X23" i="1"/>
  <c r="O23" i="1"/>
  <c r="W21" i="1"/>
  <c r="Q12" i="1"/>
  <c r="N23" i="1"/>
  <c r="Y23" i="1"/>
  <c r="P23" i="1"/>
  <c r="M13" i="1"/>
  <c r="O13" i="1"/>
  <c r="X13" i="1"/>
  <c r="M14" i="1"/>
  <c r="X14" i="1"/>
  <c r="O14" i="1"/>
  <c r="N14" i="1"/>
  <c r="Y14" i="1"/>
  <c r="P14" i="1"/>
  <c r="W12" i="1"/>
  <c r="Z21" i="1"/>
  <c r="U21" i="1" s="1"/>
  <c r="M22" i="1"/>
  <c r="X22" i="1"/>
  <c r="Z22" i="1" s="1"/>
  <c r="U22" i="1" s="1"/>
  <c r="O22" i="1"/>
  <c r="Q21" i="1"/>
  <c r="Y13" i="1"/>
  <c r="P13" i="1"/>
  <c r="N13" i="1"/>
  <c r="N22" i="1"/>
  <c r="Y22" i="1"/>
  <c r="P22" i="1"/>
  <c r="S22" i="1" l="1"/>
  <c r="T22" i="1"/>
  <c r="T21" i="1"/>
  <c r="S21" i="1"/>
  <c r="W22" i="1"/>
  <c r="Z14" i="1"/>
  <c r="U14" i="1" s="1"/>
  <c r="Q22" i="1"/>
  <c r="Q14" i="1"/>
  <c r="W14" i="1"/>
  <c r="Z13" i="1"/>
  <c r="U13" i="1" s="1"/>
  <c r="W23" i="1"/>
  <c r="Z23" i="1"/>
  <c r="U23" i="1" s="1"/>
  <c r="W13" i="1"/>
  <c r="Q13" i="1"/>
  <c r="Q23" i="1"/>
  <c r="T14" i="1" l="1"/>
  <c r="S14" i="1"/>
  <c r="S23" i="1"/>
  <c r="T23" i="1"/>
  <c r="T13" i="1"/>
  <c r="S13" i="1"/>
</calcChain>
</file>

<file path=xl/sharedStrings.xml><?xml version="1.0" encoding="utf-8"?>
<sst xmlns="http://schemas.openxmlformats.org/spreadsheetml/2006/main" count="106" uniqueCount="68">
  <si>
    <t>Hz</t>
  </si>
  <si>
    <t>Calculations</t>
  </si>
  <si>
    <t>Experiment</t>
  </si>
  <si>
    <t>I</t>
  </si>
  <si>
    <t>I1</t>
  </si>
  <si>
    <t>I2</t>
  </si>
  <si>
    <t>f</t>
  </si>
  <si>
    <t>Student:</t>
  </si>
  <si>
    <t>ITMO ID:</t>
  </si>
  <si>
    <t>Variant:</t>
  </si>
  <si>
    <t>R [Ohm]</t>
  </si>
  <si>
    <t>L [H]</t>
  </si>
  <si>
    <t>RL [Ohm]</t>
  </si>
  <si>
    <t>RC [Ohm]</t>
  </si>
  <si>
    <t>U [V]</t>
  </si>
  <si>
    <t>C [F]</t>
  </si>
  <si>
    <t>f0' [Hz]</t>
  </si>
  <si>
    <r>
      <rPr>
        <sz val="11"/>
        <color theme="1"/>
        <rFont val="Times New Roman"/>
        <family val="1"/>
        <charset val="204"/>
      </rPr>
      <t>ω</t>
    </r>
    <r>
      <rPr>
        <sz val="11"/>
        <color theme="1"/>
        <rFont val="Calibri"/>
        <family val="2"/>
      </rPr>
      <t>0' [rad/s]</t>
    </r>
  </si>
  <si>
    <r>
      <rPr>
        <sz val="11"/>
        <color theme="1"/>
        <rFont val="Times New Roman"/>
        <family val="1"/>
        <charset val="204"/>
      </rPr>
      <t>φ</t>
    </r>
  </si>
  <si>
    <r>
      <rPr>
        <sz val="11"/>
        <color theme="1"/>
        <rFont val="Times New Roman"/>
        <family val="1"/>
        <charset val="204"/>
      </rPr>
      <t>φ</t>
    </r>
    <r>
      <rPr>
        <sz val="11"/>
        <color theme="1"/>
        <rFont val="等线"/>
        <family val="2"/>
        <scheme val="minor"/>
      </rPr>
      <t xml:space="preserve"> calc</t>
    </r>
  </si>
  <si>
    <t>I calc</t>
  </si>
  <si>
    <t>I1 calc</t>
  </si>
  <si>
    <t>I2 calc</t>
  </si>
  <si>
    <t>deg</t>
  </si>
  <si>
    <t>mA</t>
  </si>
  <si>
    <t>XC</t>
  </si>
  <si>
    <t>XL</t>
  </si>
  <si>
    <t>GL</t>
  </si>
  <si>
    <t>GC</t>
  </si>
  <si>
    <t>BL</t>
  </si>
  <si>
    <t>BC</t>
  </si>
  <si>
    <t>U</t>
  </si>
  <si>
    <t>Ohm</t>
  </si>
  <si>
    <t>Sm</t>
  </si>
  <si>
    <t>V</t>
  </si>
  <si>
    <t>ω</t>
  </si>
  <si>
    <t>rad/s</t>
  </si>
  <si>
    <t>Y</t>
  </si>
  <si>
    <t>P</t>
  </si>
  <si>
    <t>Q</t>
  </si>
  <si>
    <t>Z</t>
  </si>
  <si>
    <t>phi</t>
  </si>
  <si>
    <t>Z=P+JQ</t>
  </si>
  <si>
    <t>Electrical Engineering</t>
  </si>
  <si>
    <t>Autumn 2021</t>
  </si>
  <si>
    <t>Research on series and parallel resonance circuits</t>
  </si>
  <si>
    <t>Laboratory report 2</t>
  </si>
  <si>
    <t>L [mH]</t>
  </si>
  <si>
    <t>f0 [Hz]</t>
  </si>
  <si>
    <r>
      <rPr>
        <sz val="11"/>
        <color theme="1"/>
        <rFont val="Times New Roman"/>
        <family val="1"/>
        <charset val="204"/>
      </rPr>
      <t>ω</t>
    </r>
    <r>
      <rPr>
        <sz val="11"/>
        <color theme="1"/>
        <rFont val="Calibri"/>
        <family val="2"/>
      </rPr>
      <t>0 [rad/s]</t>
    </r>
  </si>
  <si>
    <t>Qp =</t>
  </si>
  <si>
    <t xml:space="preserve">Qe = </t>
  </si>
  <si>
    <t>φ calc</t>
  </si>
  <si>
    <t>UR calc</t>
  </si>
  <si>
    <t>Uk calc</t>
  </si>
  <si>
    <t>UC calc</t>
  </si>
  <si>
    <t>φ</t>
  </si>
  <si>
    <t>Uk</t>
  </si>
  <si>
    <t>UC</t>
  </si>
  <si>
    <t>Deg</t>
  </si>
  <si>
    <t>CAO Xinyang</t>
  </si>
  <si>
    <t>CAO Xinyang</t>
    <phoneticPr fontId="5" type="noConversion"/>
  </si>
  <si>
    <t>C [mkF]</t>
    <phoneticPr fontId="5" type="noConversion"/>
  </si>
  <si>
    <t>UR</t>
    <phoneticPr fontId="5" type="noConversion"/>
  </si>
  <si>
    <t>I calc</t>
    <phoneticPr fontId="5" type="noConversion"/>
  </si>
  <si>
    <t>Z1</t>
    <phoneticPr fontId="5" type="noConversion"/>
  </si>
  <si>
    <t>Z2</t>
    <phoneticPr fontId="5" type="noConversion"/>
  </si>
  <si>
    <t>Z12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</si>
</sst>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00"/>
    <numFmt numFmtId="178" formatCode="0.00_);[Red]\(0.00\)"/>
    <numFmt numFmtId="179" formatCode="0.0000000000000000_ "/>
    <numFmt numFmtId="180" formatCode="0.0000000000000_ "/>
    <numFmt numFmtId="181" formatCode="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b/>
      <sz val="11"/>
      <color theme="1"/>
      <name val="等线"/>
      <family val="2"/>
      <charset val="204"/>
      <scheme val="minor"/>
    </font>
    <font>
      <sz val="11"/>
      <color theme="1"/>
      <name val="Calibri"/>
      <family val="1"/>
      <charset val="20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 diagonalUp="1" diagonalDown="1">
      <left style="double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Up="1" diagonalDown="1">
      <left style="double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double">
        <color indexed="64"/>
      </right>
      <top style="thin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25" xfId="0" quotePrefix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0" fontId="0" fillId="0" borderId="3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1" fillId="0" borderId="15" xfId="0" quotePrefix="1" applyFon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Calculations'!$D$7:$D$25</c:f>
              <c:numCache>
                <c:formatCode>0.00</c:formatCode>
                <c:ptCount val="19"/>
                <c:pt idx="0">
                  <c:v>5.5425740675399933</c:v>
                </c:pt>
                <c:pt idx="1">
                  <c:v>11.365171734931881</c:v>
                </c:pt>
                <c:pt idx="2">
                  <c:v>17.78311381057355</c:v>
                </c:pt>
                <c:pt idx="3">
                  <c:v>25.184622122954309</c:v>
                </c:pt>
                <c:pt idx="4">
                  <c:v>34.063840246128187</c:v>
                </c:pt>
                <c:pt idx="5">
                  <c:v>45.003901109957511</c:v>
                </c:pt>
                <c:pt idx="6">
                  <c:v>58.432787434645036</c:v>
                </c:pt>
                <c:pt idx="7">
                  <c:v>73.67547568463938</c:v>
                </c:pt>
                <c:pt idx="8">
                  <c:v>87.05122072117021</c:v>
                </c:pt>
                <c:pt idx="9">
                  <c:v>92.365823292492763</c:v>
                </c:pt>
                <c:pt idx="10">
                  <c:v>87.05122072117021</c:v>
                </c:pt>
                <c:pt idx="11">
                  <c:v>76.41879750822099</c:v>
                </c:pt>
                <c:pt idx="12">
                  <c:v>65.963498282563194</c:v>
                </c:pt>
                <c:pt idx="13">
                  <c:v>57.313847409862404</c:v>
                </c:pt>
                <c:pt idx="14">
                  <c:v>50.450604017403627</c:v>
                </c:pt>
                <c:pt idx="15">
                  <c:v>45.003901109957496</c:v>
                </c:pt>
                <c:pt idx="16">
                  <c:v>40.623286319605981</c:v>
                </c:pt>
                <c:pt idx="17">
                  <c:v>37.041194014782612</c:v>
                </c:pt>
                <c:pt idx="18">
                  <c:v>34.063840246128194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A-4059-9928-327B3442F377}"/>
            </c:ext>
          </c:extLst>
        </c:ser>
        <c:ser>
          <c:idx val="1"/>
          <c:order val="1"/>
          <c:tx>
            <c:v>Uk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Calculations'!$E$7:$E$25</c:f>
              <c:numCache>
                <c:formatCode>0.00</c:formatCode>
                <c:ptCount val="19"/>
                <c:pt idx="0">
                  <c:v>1.5685167865265874</c:v>
                </c:pt>
                <c:pt idx="1">
                  <c:v>6.4325573030764103</c:v>
                </c:pt>
                <c:pt idx="2">
                  <c:v>15.097558745467934</c:v>
                </c:pt>
                <c:pt idx="3">
                  <c:v>28.508416544961335</c:v>
                </c:pt>
                <c:pt idx="4">
                  <c:v>48.199360611635612</c:v>
                </c:pt>
                <c:pt idx="5">
                  <c:v>76.415080960548522</c:v>
                </c:pt>
                <c:pt idx="6">
                  <c:v>115.75301439466689</c:v>
                </c:pt>
                <c:pt idx="7">
                  <c:v>166.79790863739063</c:v>
                </c:pt>
                <c:pt idx="8">
                  <c:v>221.71498187023775</c:v>
                </c:pt>
                <c:pt idx="9">
                  <c:v>261.39000141485792</c:v>
                </c:pt>
                <c:pt idx="10">
                  <c:v>273.72219983979966</c:v>
                </c:pt>
                <c:pt idx="11">
                  <c:v>264.31879195661884</c:v>
                </c:pt>
                <c:pt idx="12">
                  <c:v>248.8972406284619</c:v>
                </c:pt>
                <c:pt idx="13">
                  <c:v>234.28154072563621</c:v>
                </c:pt>
                <c:pt idx="14">
                  <c:v>222.0902852444986</c:v>
                </c:pt>
                <c:pt idx="15">
                  <c:v>212.2641137793014</c:v>
                </c:pt>
                <c:pt idx="16">
                  <c:v>204.3761400059569</c:v>
                </c:pt>
                <c:pt idx="17">
                  <c:v>198.00176200769525</c:v>
                </c:pt>
                <c:pt idx="18">
                  <c:v>192.79744244654245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1A-4059-9928-327B3442F377}"/>
            </c:ext>
          </c:extLst>
        </c:ser>
        <c:ser>
          <c:idx val="2"/>
          <c:order val="2"/>
          <c:tx>
            <c:v>UC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Calculations'!$F$7:$F$25</c:f>
              <c:numCache>
                <c:formatCode>0.00</c:formatCode>
                <c:ptCount val="19"/>
                <c:pt idx="0">
                  <c:v>156.85167865265876</c:v>
                </c:pt>
                <c:pt idx="1">
                  <c:v>160.81393257691028</c:v>
                </c:pt>
                <c:pt idx="2">
                  <c:v>167.75065272742145</c:v>
                </c:pt>
                <c:pt idx="3">
                  <c:v>178.17760340600836</c:v>
                </c:pt>
                <c:pt idx="4">
                  <c:v>192.79744244654248</c:v>
                </c:pt>
                <c:pt idx="5">
                  <c:v>212.2641137793014</c:v>
                </c:pt>
                <c:pt idx="6">
                  <c:v>236.23064162176911</c:v>
                </c:pt>
                <c:pt idx="7">
                  <c:v>260.62173224592289</c:v>
                </c:pt>
                <c:pt idx="8">
                  <c:v>273.72219983979971</c:v>
                </c:pt>
                <c:pt idx="9">
                  <c:v>261.39000141485792</c:v>
                </c:pt>
                <c:pt idx="10">
                  <c:v>221.71498187023775</c:v>
                </c:pt>
                <c:pt idx="11">
                  <c:v>176.94067891310848</c:v>
                </c:pt>
                <c:pt idx="12">
                  <c:v>140.00469785350987</c:v>
                </c:pt>
                <c:pt idx="13">
                  <c:v>112.28878579157713</c:v>
                </c:pt>
                <c:pt idx="14">
                  <c:v>91.782209718389709</c:v>
                </c:pt>
                <c:pt idx="15">
                  <c:v>76.415080960548494</c:v>
                </c:pt>
                <c:pt idx="16">
                  <c:v>64.665888048759811</c:v>
                </c:pt>
                <c:pt idx="17">
                  <c:v>55.495303538489011</c:v>
                </c:pt>
                <c:pt idx="18">
                  <c:v>48.199360611635619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1A-4059-9928-327B3442F377}"/>
            </c:ext>
          </c:extLst>
        </c:ser>
        <c:ser>
          <c:idx val="3"/>
          <c:order val="3"/>
          <c:tx>
            <c:v>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Calculations'!$P$7:$P$25</c:f>
              <c:numCache>
                <c:formatCode>0.00</c:formatCode>
                <c:ptCount val="19"/>
                <c:pt idx="0">
                  <c:v>155.56349186104043</c:v>
                </c:pt>
                <c:pt idx="1">
                  <c:v>155.56349186104043</c:v>
                </c:pt>
                <c:pt idx="2">
                  <c:v>155.56349186104043</c:v>
                </c:pt>
                <c:pt idx="3">
                  <c:v>155.56349186104043</c:v>
                </c:pt>
                <c:pt idx="4">
                  <c:v>155.56349186104043</c:v>
                </c:pt>
                <c:pt idx="5">
                  <c:v>155.56349186104043</c:v>
                </c:pt>
                <c:pt idx="6">
                  <c:v>155.56349186104043</c:v>
                </c:pt>
                <c:pt idx="7">
                  <c:v>155.56349186104043</c:v>
                </c:pt>
                <c:pt idx="8">
                  <c:v>155.56349186104043</c:v>
                </c:pt>
                <c:pt idx="9">
                  <c:v>155.56349186104043</c:v>
                </c:pt>
                <c:pt idx="10">
                  <c:v>155.56349186104043</c:v>
                </c:pt>
                <c:pt idx="11">
                  <c:v>155.56349186104043</c:v>
                </c:pt>
                <c:pt idx="12">
                  <c:v>155.56349186104043</c:v>
                </c:pt>
                <c:pt idx="13">
                  <c:v>155.56349186104043</c:v>
                </c:pt>
                <c:pt idx="14">
                  <c:v>155.56349186104043</c:v>
                </c:pt>
                <c:pt idx="15">
                  <c:v>155.56349186104043</c:v>
                </c:pt>
                <c:pt idx="16">
                  <c:v>155.56349186104043</c:v>
                </c:pt>
                <c:pt idx="17">
                  <c:v>155.56349186104043</c:v>
                </c:pt>
                <c:pt idx="18">
                  <c:v>155.56349186104043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1A-4059-9928-327B3442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8464"/>
        <c:axId val="443645840"/>
      </c:scatterChart>
      <c:valAx>
        <c:axId val="4436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443645840"/>
        <c:crosses val="autoZero"/>
        <c:crossBetween val="midCat"/>
      </c:valAx>
      <c:valAx>
        <c:axId val="443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44364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46005556766849"/>
          <c:y val="0.41109049402083825"/>
          <c:w val="9.5793059159305902E-2"/>
          <c:h val="0.30223256571157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Current in the branch with the capacitor - I2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'RLC parallel. Calculations'!$E$4</c:f>
              <c:strCache>
                <c:ptCount val="1"/>
                <c:pt idx="0">
                  <c:v>I2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'RLC parallel. Calculations'!$A$6:$A$24</c:f>
              <c:numCache>
                <c:formatCode>0</c:formatCode>
                <c:ptCount val="19"/>
                <c:pt idx="0">
                  <c:v>12.365075939128278</c:v>
                </c:pt>
                <c:pt idx="1">
                  <c:v>24.730151878256557</c:v>
                </c:pt>
                <c:pt idx="2">
                  <c:v>37.095227817384838</c:v>
                </c:pt>
                <c:pt idx="3">
                  <c:v>49.460303756513113</c:v>
                </c:pt>
                <c:pt idx="4">
                  <c:v>61.825379695641388</c:v>
                </c:pt>
                <c:pt idx="5">
                  <c:v>74.190455634769663</c:v>
                </c:pt>
                <c:pt idx="6">
                  <c:v>86.555531573897937</c:v>
                </c:pt>
                <c:pt idx="7">
                  <c:v>98.920607513026212</c:v>
                </c:pt>
                <c:pt idx="8">
                  <c:v>111.28568345215449</c:v>
                </c:pt>
                <c:pt idx="9">
                  <c:v>123.65075939128278</c:v>
                </c:pt>
                <c:pt idx="10">
                  <c:v>137.38973265698087</c:v>
                </c:pt>
                <c:pt idx="11">
                  <c:v>151.12870592267896</c:v>
                </c:pt>
                <c:pt idx="12">
                  <c:v>164.86767918837705</c:v>
                </c:pt>
                <c:pt idx="13">
                  <c:v>178.60665245407515</c:v>
                </c:pt>
                <c:pt idx="14">
                  <c:v>192.34562571977324</c:v>
                </c:pt>
                <c:pt idx="15">
                  <c:v>206.08459898547133</c:v>
                </c:pt>
                <c:pt idx="16">
                  <c:v>219.82357225116942</c:v>
                </c:pt>
                <c:pt idx="17">
                  <c:v>233.56254551686752</c:v>
                </c:pt>
                <c:pt idx="18">
                  <c:v>247.30151878256555</c:v>
                </c:pt>
              </c:numCache>
            </c:numRef>
          </c:xVal>
          <c:yVal>
            <c:numRef>
              <c:f>'RLC parallel. Calculations'!$E$6:$E$24</c:f>
              <c:numCache>
                <c:formatCode>0.00</c:formatCode>
                <c:ptCount val="19"/>
                <c:pt idx="0">
                  <c:v>2.0199226387130058</c:v>
                </c:pt>
                <c:pt idx="1">
                  <c:v>5.4768467635567299</c:v>
                </c:pt>
                <c:pt idx="2">
                  <c:v>11.223758553411788</c:v>
                </c:pt>
                <c:pt idx="3">
                  <c:v>20.027031602557461</c:v>
                </c:pt>
                <c:pt idx="4">
                  <c:v>32.980869048617492</c:v>
                </c:pt>
                <c:pt idx="5">
                  <c:v>51.739867111230545</c:v>
                </c:pt>
                <c:pt idx="6">
                  <c:v>78.514504368742564</c:v>
                </c:pt>
                <c:pt idx="7">
                  <c:v>114.86464278945138</c:v>
                </c:pt>
                <c:pt idx="8">
                  <c:v>156.84129269959161</c:v>
                </c:pt>
                <c:pt idx="9">
                  <c:v>189.26919419960808</c:v>
                </c:pt>
                <c:pt idx="10">
                  <c:v>198.62563035198062</c:v>
                </c:pt>
                <c:pt idx="11">
                  <c:v>189.0307973444109</c:v>
                </c:pt>
                <c:pt idx="12">
                  <c:v>175.11479346012473</c:v>
                </c:pt>
                <c:pt idx="13">
                  <c:v>162.67194748913926</c:v>
                </c:pt>
                <c:pt idx="14">
                  <c:v>152.69144713393391</c:v>
                </c:pt>
                <c:pt idx="15">
                  <c:v>144.86574074958901</c:v>
                </c:pt>
                <c:pt idx="16">
                  <c:v>138.70792338847448</c:v>
                </c:pt>
                <c:pt idx="17">
                  <c:v>133.80533416456157</c:v>
                </c:pt>
                <c:pt idx="18">
                  <c:v>129.8480559918695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9-4341-8773-D1D0C747145A}"/>
            </c:ext>
          </c:extLst>
        </c:ser>
        <c:ser>
          <c:idx val="1"/>
          <c:order val="1"/>
          <c:tx>
            <c:strRef>
              <c:f>'RLC parallel. Calculations'!$I$4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'RLC parallel. Calculations'!$A$6:$A$24</c:f>
              <c:numCache>
                <c:formatCode>0</c:formatCode>
                <c:ptCount val="19"/>
                <c:pt idx="0">
                  <c:v>12.365075939128278</c:v>
                </c:pt>
                <c:pt idx="1">
                  <c:v>24.730151878256557</c:v>
                </c:pt>
                <c:pt idx="2">
                  <c:v>37.095227817384838</c:v>
                </c:pt>
                <c:pt idx="3">
                  <c:v>49.460303756513113</c:v>
                </c:pt>
                <c:pt idx="4">
                  <c:v>61.825379695641388</c:v>
                </c:pt>
                <c:pt idx="5">
                  <c:v>74.190455634769663</c:v>
                </c:pt>
                <c:pt idx="6">
                  <c:v>86.555531573897937</c:v>
                </c:pt>
                <c:pt idx="7">
                  <c:v>98.920607513026212</c:v>
                </c:pt>
                <c:pt idx="8">
                  <c:v>111.28568345215449</c:v>
                </c:pt>
                <c:pt idx="9">
                  <c:v>123.65075939128278</c:v>
                </c:pt>
                <c:pt idx="10">
                  <c:v>137.38973265698087</c:v>
                </c:pt>
                <c:pt idx="11">
                  <c:v>151.12870592267896</c:v>
                </c:pt>
                <c:pt idx="12">
                  <c:v>164.86767918837705</c:v>
                </c:pt>
                <c:pt idx="13">
                  <c:v>178.60665245407515</c:v>
                </c:pt>
                <c:pt idx="14">
                  <c:v>192.34562571977324</c:v>
                </c:pt>
                <c:pt idx="15">
                  <c:v>206.08459898547133</c:v>
                </c:pt>
                <c:pt idx="16">
                  <c:v>219.82357225116942</c:v>
                </c:pt>
                <c:pt idx="17">
                  <c:v>233.56254551686752</c:v>
                </c:pt>
                <c:pt idx="18">
                  <c:v>247.30151878256555</c:v>
                </c:pt>
              </c:numCache>
            </c:numRef>
          </c:xVal>
          <c:yVal>
            <c:numRef>
              <c:f>'RLC parallel. Calculations'!$I$6:$I$24</c:f>
              <c:numCache>
                <c:formatCode>0.00</c:formatCode>
                <c:ptCount val="19"/>
                <c:pt idx="0">
                  <c:v>1.9088000000000001</c:v>
                </c:pt>
                <c:pt idx="1">
                  <c:v>5.4988000000000001</c:v>
                </c:pt>
                <c:pt idx="2">
                  <c:v>11.102</c:v>
                </c:pt>
                <c:pt idx="3">
                  <c:v>19.484000000000002</c:v>
                </c:pt>
                <c:pt idx="4">
                  <c:v>33.039000000000001</c:v>
                </c:pt>
                <c:pt idx="5">
                  <c:v>51.280999999999999</c:v>
                </c:pt>
                <c:pt idx="6">
                  <c:v>79.292000000000002</c:v>
                </c:pt>
                <c:pt idx="7">
                  <c:v>114.78</c:v>
                </c:pt>
                <c:pt idx="8">
                  <c:v>154.97999999999999</c:v>
                </c:pt>
                <c:pt idx="9">
                  <c:v>187.92</c:v>
                </c:pt>
                <c:pt idx="10">
                  <c:v>194.63</c:v>
                </c:pt>
                <c:pt idx="11">
                  <c:v>184.88</c:v>
                </c:pt>
                <c:pt idx="12">
                  <c:v>170.38</c:v>
                </c:pt>
                <c:pt idx="13">
                  <c:v>158.13999999999999</c:v>
                </c:pt>
                <c:pt idx="14">
                  <c:v>148.62</c:v>
                </c:pt>
                <c:pt idx="15">
                  <c:v>141.49</c:v>
                </c:pt>
                <c:pt idx="16">
                  <c:v>134.81</c:v>
                </c:pt>
                <c:pt idx="17">
                  <c:v>130.63</c:v>
                </c:pt>
                <c:pt idx="18">
                  <c:v>126.79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09-4341-8773-D1D0C747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51152"/>
        <c:axId val="622151480"/>
      </c:scatterChart>
      <c:valAx>
        <c:axId val="6221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622151480"/>
        <c:crosses val="autoZero"/>
        <c:crossBetween val="midCat"/>
      </c:valAx>
      <c:valAx>
        <c:axId val="6221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6221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Input Current -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I_calc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Calculations'!$C$7:$C$25</c:f>
              <c:numCache>
                <c:formatCode>General</c:formatCode>
                <c:ptCount val="19"/>
                <c:pt idx="0">
                  <c:v>291.71442460736807</c:v>
                </c:pt>
                <c:pt idx="1">
                  <c:v>598.16693341746736</c:v>
                </c:pt>
                <c:pt idx="2">
                  <c:v>935.95335845123941</c:v>
                </c:pt>
                <c:pt idx="3">
                  <c:v>1325.506427523911</c:v>
                </c:pt>
                <c:pt idx="4">
                  <c:v>1792.8336971646415</c:v>
                </c:pt>
                <c:pt idx="5">
                  <c:v>2368.6263742082901</c:v>
                </c:pt>
                <c:pt idx="6">
                  <c:v>3075.4098649813177</c:v>
                </c:pt>
                <c:pt idx="7">
                  <c:v>3877.6566149810205</c:v>
                </c:pt>
                <c:pt idx="8">
                  <c:v>4581.6431958510639</c:v>
                </c:pt>
                <c:pt idx="9">
                  <c:v>4861.3591206575138</c:v>
                </c:pt>
                <c:pt idx="10">
                  <c:v>4581.6431958510639</c:v>
                </c:pt>
                <c:pt idx="11">
                  <c:v>4022.0419741168944</c:v>
                </c:pt>
                <c:pt idx="12">
                  <c:v>3471.7630675033261</c:v>
                </c:pt>
                <c:pt idx="13">
                  <c:v>3016.5182847296005</c:v>
                </c:pt>
                <c:pt idx="14">
                  <c:v>2655.2949482844015</c:v>
                </c:pt>
                <c:pt idx="15">
                  <c:v>2368.6263742082892</c:v>
                </c:pt>
                <c:pt idx="16">
                  <c:v>2138.0677010318936</c:v>
                </c:pt>
                <c:pt idx="17">
                  <c:v>1949.5365270938216</c:v>
                </c:pt>
                <c:pt idx="18">
                  <c:v>1792.8336971646418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2-41D0-81B8-9DBA9E5666C1}"/>
            </c:ext>
          </c:extLst>
        </c:ser>
        <c:ser>
          <c:idx val="1"/>
          <c:order val="1"/>
          <c:tx>
            <c:strRef>
              <c:f>'RLC series. Calculations'!$H$5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Calculations'!$H$7:$H$25</c:f>
              <c:numCache>
                <c:formatCode>0.00</c:formatCode>
                <c:ptCount val="19"/>
                <c:pt idx="0">
                  <c:v>306.12</c:v>
                </c:pt>
                <c:pt idx="1">
                  <c:v>587.41999999999996</c:v>
                </c:pt>
                <c:pt idx="2">
                  <c:v>936.57</c:v>
                </c:pt>
                <c:pt idx="3">
                  <c:v>1315.5</c:v>
                </c:pt>
                <c:pt idx="4">
                  <c:v>1802.3</c:v>
                </c:pt>
                <c:pt idx="5">
                  <c:v>2328.1999999999998</c:v>
                </c:pt>
                <c:pt idx="6">
                  <c:v>3078.1</c:v>
                </c:pt>
                <c:pt idx="7">
                  <c:v>3822.4</c:v>
                </c:pt>
                <c:pt idx="8">
                  <c:v>4588.1000000000004</c:v>
                </c:pt>
                <c:pt idx="9">
                  <c:v>4847.8</c:v>
                </c:pt>
                <c:pt idx="10">
                  <c:v>4552.5</c:v>
                </c:pt>
                <c:pt idx="11">
                  <c:v>3973</c:v>
                </c:pt>
                <c:pt idx="12">
                  <c:v>3447.3</c:v>
                </c:pt>
                <c:pt idx="13">
                  <c:v>3004.9</c:v>
                </c:pt>
                <c:pt idx="14">
                  <c:v>2610.1</c:v>
                </c:pt>
                <c:pt idx="15">
                  <c:v>2351.8000000000002</c:v>
                </c:pt>
                <c:pt idx="16">
                  <c:v>2129.9</c:v>
                </c:pt>
                <c:pt idx="17">
                  <c:v>1914.9</c:v>
                </c:pt>
                <c:pt idx="18">
                  <c:v>1766.6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2-41D0-81B8-9DBA9E566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75176"/>
        <c:axId val="606378456"/>
      </c:scatterChart>
      <c:valAx>
        <c:axId val="6063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606378456"/>
        <c:crosses val="autoZero"/>
        <c:crossBetween val="midCat"/>
      </c:valAx>
      <c:valAx>
        <c:axId val="6063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60637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  <a:cs typeface="Times New Roman" panose="02020603050405020304" pitchFamily="18" charset="0"/>
              </a:rPr>
              <a:t>Phase</a:t>
            </a:r>
            <a:r>
              <a:rPr lang="en-US" baseline="0">
                <a:latin typeface="+mj-lt"/>
                <a:cs typeface="Times New Roman" panose="02020603050405020304" pitchFamily="18" charset="0"/>
              </a:rPr>
              <a:t> shift -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φ</a:t>
            </a:r>
            <a:endParaRPr lang="el-GR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'RLC series. Calculations'!$B$5</c:f>
              <c:strCache>
                <c:ptCount val="1"/>
                <c:pt idx="0">
                  <c:v>φ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Calculations'!$B$7:$B$25</c:f>
              <c:numCache>
                <c:formatCode>0.00</c:formatCode>
                <c:ptCount val="19"/>
                <c:pt idx="0">
                  <c:v>-87.955790314643195</c:v>
                </c:pt>
                <c:pt idx="1">
                  <c:v>-85.78962277690195</c:v>
                </c:pt>
                <c:pt idx="2">
                  <c:v>-83.35535600511426</c:v>
                </c:pt>
                <c:pt idx="3">
                  <c:v>-80.448398585323417</c:v>
                </c:pt>
                <c:pt idx="4">
                  <c:v>-76.744176679999512</c:v>
                </c:pt>
                <c:pt idx="5">
                  <c:v>-71.671062192575477</c:v>
                </c:pt>
                <c:pt idx="6">
                  <c:v>-64.126176547472198</c:v>
                </c:pt>
                <c:pt idx="7">
                  <c:v>-51.85910460943429</c:v>
                </c:pt>
                <c:pt idx="8">
                  <c:v>-30.855462080057084</c:v>
                </c:pt>
                <c:pt idx="9">
                  <c:v>-2.1426894696175268E-14</c:v>
                </c:pt>
                <c:pt idx="10">
                  <c:v>30.855462080057066</c:v>
                </c:pt>
                <c:pt idx="11">
                  <c:v>48.827837971675912</c:v>
                </c:pt>
                <c:pt idx="12">
                  <c:v>58.793906224276633</c:v>
                </c:pt>
                <c:pt idx="13">
                  <c:v>64.835226756106835</c:v>
                </c:pt>
                <c:pt idx="14">
                  <c:v>68.835387292033673</c:v>
                </c:pt>
                <c:pt idx="15">
                  <c:v>71.671062192575477</c:v>
                </c:pt>
                <c:pt idx="16">
                  <c:v>73.787253786327696</c:v>
                </c:pt>
                <c:pt idx="17">
                  <c:v>75.429732586981629</c:v>
                </c:pt>
                <c:pt idx="18">
                  <c:v>76.744176679999512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4-4222-B448-BC3189603B98}"/>
            </c:ext>
          </c:extLst>
        </c:ser>
        <c:ser>
          <c:idx val="1"/>
          <c:order val="1"/>
          <c:tx>
            <c:strRef>
              <c:f>'RLC series. Calculations'!$G$5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Calculations'!$G$7:$G$25</c:f>
              <c:numCache>
                <c:formatCode>0.00</c:formatCode>
                <c:ptCount val="19"/>
                <c:pt idx="0">
                  <c:v>-87.94</c:v>
                </c:pt>
                <c:pt idx="1">
                  <c:v>-85.76</c:v>
                </c:pt>
                <c:pt idx="2">
                  <c:v>-83.35</c:v>
                </c:pt>
                <c:pt idx="3">
                  <c:v>-80.44</c:v>
                </c:pt>
                <c:pt idx="4">
                  <c:v>-76.73</c:v>
                </c:pt>
                <c:pt idx="5">
                  <c:v>-71.680000000000007</c:v>
                </c:pt>
                <c:pt idx="6">
                  <c:v>-64.13</c:v>
                </c:pt>
                <c:pt idx="7">
                  <c:v>-51.85</c:v>
                </c:pt>
                <c:pt idx="8">
                  <c:v>-30.84</c:v>
                </c:pt>
                <c:pt idx="9">
                  <c:v>0</c:v>
                </c:pt>
                <c:pt idx="10">
                  <c:v>30.75</c:v>
                </c:pt>
                <c:pt idx="11">
                  <c:v>48.8</c:v>
                </c:pt>
                <c:pt idx="12">
                  <c:v>58.77</c:v>
                </c:pt>
                <c:pt idx="13">
                  <c:v>64.52</c:v>
                </c:pt>
                <c:pt idx="14">
                  <c:v>68.86</c:v>
                </c:pt>
                <c:pt idx="15">
                  <c:v>71.59</c:v>
                </c:pt>
                <c:pt idx="16">
                  <c:v>73.81</c:v>
                </c:pt>
                <c:pt idx="17">
                  <c:v>75.459999999999994</c:v>
                </c:pt>
                <c:pt idx="18">
                  <c:v>76.95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4-4222-B448-BC318960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84688"/>
        <c:axId val="572983048"/>
      </c:scatterChart>
      <c:valAx>
        <c:axId val="5729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83048"/>
        <c:crosses val="autoZero"/>
        <c:crossBetween val="midCat"/>
      </c:valAx>
      <c:valAx>
        <c:axId val="572983048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across the resistor - 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'RLC series. Calculations'!$D$5</c:f>
              <c:strCache>
                <c:ptCount val="1"/>
                <c:pt idx="0">
                  <c:v>UR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Calculations'!$D$7:$D$25</c:f>
              <c:numCache>
                <c:formatCode>0.00</c:formatCode>
                <c:ptCount val="19"/>
                <c:pt idx="0">
                  <c:v>5.5425740675399933</c:v>
                </c:pt>
                <c:pt idx="1">
                  <c:v>11.365171734931881</c:v>
                </c:pt>
                <c:pt idx="2">
                  <c:v>17.78311381057355</c:v>
                </c:pt>
                <c:pt idx="3">
                  <c:v>25.184622122954309</c:v>
                </c:pt>
                <c:pt idx="4">
                  <c:v>34.063840246128187</c:v>
                </c:pt>
                <c:pt idx="5">
                  <c:v>45.003901109957511</c:v>
                </c:pt>
                <c:pt idx="6">
                  <c:v>58.432787434645036</c:v>
                </c:pt>
                <c:pt idx="7">
                  <c:v>73.67547568463938</c:v>
                </c:pt>
                <c:pt idx="8">
                  <c:v>87.05122072117021</c:v>
                </c:pt>
                <c:pt idx="9">
                  <c:v>92.365823292492763</c:v>
                </c:pt>
                <c:pt idx="10">
                  <c:v>87.05122072117021</c:v>
                </c:pt>
                <c:pt idx="11">
                  <c:v>76.41879750822099</c:v>
                </c:pt>
                <c:pt idx="12">
                  <c:v>65.963498282563194</c:v>
                </c:pt>
                <c:pt idx="13">
                  <c:v>57.313847409862404</c:v>
                </c:pt>
                <c:pt idx="14">
                  <c:v>50.450604017403627</c:v>
                </c:pt>
                <c:pt idx="15">
                  <c:v>45.003901109957496</c:v>
                </c:pt>
                <c:pt idx="16">
                  <c:v>40.623286319605981</c:v>
                </c:pt>
                <c:pt idx="17">
                  <c:v>37.041194014782612</c:v>
                </c:pt>
                <c:pt idx="18">
                  <c:v>34.063840246128194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C-4C3E-B309-0BD05DD8808C}"/>
            </c:ext>
          </c:extLst>
        </c:ser>
        <c:ser>
          <c:idx val="1"/>
          <c:order val="1"/>
          <c:tx>
            <c:strRef>
              <c:f>'RLC series. Calculations'!$I$5</c:f>
              <c:strCache>
                <c:ptCount val="1"/>
                <c:pt idx="0">
                  <c:v>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Calculations'!$I$7:$I$25</c:f>
              <c:numCache>
                <c:formatCode>0.00</c:formatCode>
                <c:ptCount val="19"/>
                <c:pt idx="0">
                  <c:v>6.1844999999999999</c:v>
                </c:pt>
                <c:pt idx="1">
                  <c:v>11.551</c:v>
                </c:pt>
                <c:pt idx="2">
                  <c:v>17.97</c:v>
                </c:pt>
                <c:pt idx="3">
                  <c:v>25.321000000000002</c:v>
                </c:pt>
                <c:pt idx="4">
                  <c:v>34.853999999999999</c:v>
                </c:pt>
                <c:pt idx="5">
                  <c:v>45.180999999999997</c:v>
                </c:pt>
                <c:pt idx="6">
                  <c:v>59.734000000000002</c:v>
                </c:pt>
                <c:pt idx="7">
                  <c:v>74.512</c:v>
                </c:pt>
                <c:pt idx="8">
                  <c:v>87.429000000000002</c:v>
                </c:pt>
                <c:pt idx="9">
                  <c:v>92.438000000000002</c:v>
                </c:pt>
                <c:pt idx="10">
                  <c:v>86.876000000000005</c:v>
                </c:pt>
                <c:pt idx="11">
                  <c:v>75.885999999999996</c:v>
                </c:pt>
                <c:pt idx="12">
                  <c:v>65.902000000000001</c:v>
                </c:pt>
                <c:pt idx="13">
                  <c:v>57.500999999999998</c:v>
                </c:pt>
                <c:pt idx="14">
                  <c:v>50.021000000000001</c:v>
                </c:pt>
                <c:pt idx="15">
                  <c:v>45.104999999999997</c:v>
                </c:pt>
                <c:pt idx="16">
                  <c:v>40.881999999999998</c:v>
                </c:pt>
                <c:pt idx="17">
                  <c:v>36.798999999999999</c:v>
                </c:pt>
                <c:pt idx="18">
                  <c:v>33.994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C-4C3E-B309-0BD05DD8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19352"/>
        <c:axId val="572982720"/>
      </c:scatterChart>
      <c:valAx>
        <c:axId val="56921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572982720"/>
        <c:crosses val="autoZero"/>
        <c:crossBetween val="midCat"/>
      </c:valAx>
      <c:valAx>
        <c:axId val="5729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56921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40244969378838"/>
          <c:y val="0.45491579177602798"/>
          <c:w val="0.14234751351180086"/>
          <c:h val="0.16104885651401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 across the inductor - 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'RLC series. Calculations'!$E$5</c:f>
              <c:strCache>
                <c:ptCount val="1"/>
                <c:pt idx="0">
                  <c:v>Uk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Calculations'!$E$7:$E$25</c:f>
              <c:numCache>
                <c:formatCode>0.00</c:formatCode>
                <c:ptCount val="19"/>
                <c:pt idx="0">
                  <c:v>1.5685167865265874</c:v>
                </c:pt>
                <c:pt idx="1">
                  <c:v>6.4325573030764103</c:v>
                </c:pt>
                <c:pt idx="2">
                  <c:v>15.097558745467934</c:v>
                </c:pt>
                <c:pt idx="3">
                  <c:v>28.508416544961335</c:v>
                </c:pt>
                <c:pt idx="4">
                  <c:v>48.199360611635612</c:v>
                </c:pt>
                <c:pt idx="5">
                  <c:v>76.415080960548522</c:v>
                </c:pt>
                <c:pt idx="6">
                  <c:v>115.75301439466689</c:v>
                </c:pt>
                <c:pt idx="7">
                  <c:v>166.79790863739063</c:v>
                </c:pt>
                <c:pt idx="8">
                  <c:v>221.71498187023775</c:v>
                </c:pt>
                <c:pt idx="9">
                  <c:v>261.39000141485792</c:v>
                </c:pt>
                <c:pt idx="10">
                  <c:v>273.72219983979966</c:v>
                </c:pt>
                <c:pt idx="11">
                  <c:v>264.31879195661884</c:v>
                </c:pt>
                <c:pt idx="12">
                  <c:v>248.8972406284619</c:v>
                </c:pt>
                <c:pt idx="13">
                  <c:v>234.28154072563621</c:v>
                </c:pt>
                <c:pt idx="14">
                  <c:v>222.0902852444986</c:v>
                </c:pt>
                <c:pt idx="15">
                  <c:v>212.2641137793014</c:v>
                </c:pt>
                <c:pt idx="16">
                  <c:v>204.3761400059569</c:v>
                </c:pt>
                <c:pt idx="17">
                  <c:v>198.00176200769525</c:v>
                </c:pt>
                <c:pt idx="18">
                  <c:v>192.79744244654245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B-4237-AEAD-26E341C8E400}"/>
            </c:ext>
          </c:extLst>
        </c:ser>
        <c:ser>
          <c:idx val="1"/>
          <c:order val="1"/>
          <c:tx>
            <c:strRef>
              <c:f>'RLC series. Calculations'!$J$5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Calculations'!$J$7:$J$25</c:f>
              <c:numCache>
                <c:formatCode>0.00</c:formatCode>
                <c:ptCount val="19"/>
                <c:pt idx="0">
                  <c:v>4.3573000000000004</c:v>
                </c:pt>
                <c:pt idx="1">
                  <c:v>9.9504000000000001</c:v>
                </c:pt>
                <c:pt idx="2">
                  <c:v>19.789000000000001</c:v>
                </c:pt>
                <c:pt idx="3">
                  <c:v>33.140999999999998</c:v>
                </c:pt>
                <c:pt idx="4">
                  <c:v>54.866999999999997</c:v>
                </c:pt>
                <c:pt idx="5">
                  <c:v>82.08</c:v>
                </c:pt>
                <c:pt idx="6">
                  <c:v>124.82</c:v>
                </c:pt>
                <c:pt idx="7">
                  <c:v>172.42</c:v>
                </c:pt>
                <c:pt idx="8">
                  <c:v>233.25</c:v>
                </c:pt>
                <c:pt idx="9">
                  <c:v>267.14</c:v>
                </c:pt>
                <c:pt idx="10">
                  <c:v>280.64999999999998</c:v>
                </c:pt>
                <c:pt idx="11">
                  <c:v>268.08999999999997</c:v>
                </c:pt>
                <c:pt idx="12">
                  <c:v>251.47</c:v>
                </c:pt>
                <c:pt idx="13">
                  <c:v>236.65</c:v>
                </c:pt>
                <c:pt idx="14">
                  <c:v>223.22</c:v>
                </c:pt>
                <c:pt idx="15">
                  <c:v>212.07</c:v>
                </c:pt>
                <c:pt idx="16">
                  <c:v>203.74</c:v>
                </c:pt>
                <c:pt idx="17">
                  <c:v>197.55</c:v>
                </c:pt>
                <c:pt idx="18">
                  <c:v>192.08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4B-4237-AEAD-26E341C8E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3808"/>
        <c:axId val="451185280"/>
      </c:scatterChart>
      <c:valAx>
        <c:axId val="4511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451185280"/>
        <c:crosses val="autoZero"/>
        <c:crossBetween val="midCat"/>
      </c:valAx>
      <c:valAx>
        <c:axId val="4511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45119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across the capacitor - UC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'RLC series. Calculations'!$F$5</c:f>
              <c:strCache>
                <c:ptCount val="1"/>
                <c:pt idx="0">
                  <c:v>UC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Calculations'!$F$7:$F$25</c:f>
              <c:numCache>
                <c:formatCode>0.00</c:formatCode>
                <c:ptCount val="19"/>
                <c:pt idx="0">
                  <c:v>156.85167865265876</c:v>
                </c:pt>
                <c:pt idx="1">
                  <c:v>160.81393257691028</c:v>
                </c:pt>
                <c:pt idx="2">
                  <c:v>167.75065272742145</c:v>
                </c:pt>
                <c:pt idx="3">
                  <c:v>178.17760340600836</c:v>
                </c:pt>
                <c:pt idx="4">
                  <c:v>192.79744244654248</c:v>
                </c:pt>
                <c:pt idx="5">
                  <c:v>212.2641137793014</c:v>
                </c:pt>
                <c:pt idx="6">
                  <c:v>236.23064162176911</c:v>
                </c:pt>
                <c:pt idx="7">
                  <c:v>260.62173224592289</c:v>
                </c:pt>
                <c:pt idx="8">
                  <c:v>273.72219983979971</c:v>
                </c:pt>
                <c:pt idx="9">
                  <c:v>261.39000141485792</c:v>
                </c:pt>
                <c:pt idx="10">
                  <c:v>221.71498187023775</c:v>
                </c:pt>
                <c:pt idx="11">
                  <c:v>176.94067891310848</c:v>
                </c:pt>
                <c:pt idx="12">
                  <c:v>140.00469785350987</c:v>
                </c:pt>
                <c:pt idx="13">
                  <c:v>112.28878579157713</c:v>
                </c:pt>
                <c:pt idx="14">
                  <c:v>91.782209718389709</c:v>
                </c:pt>
                <c:pt idx="15">
                  <c:v>76.415080960548494</c:v>
                </c:pt>
                <c:pt idx="16">
                  <c:v>64.665888048759811</c:v>
                </c:pt>
                <c:pt idx="17">
                  <c:v>55.495303538489011</c:v>
                </c:pt>
                <c:pt idx="18">
                  <c:v>48.199360611635619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D12-BBCE-A58CA2111068}"/>
            </c:ext>
          </c:extLst>
        </c:ser>
        <c:ser>
          <c:idx val="1"/>
          <c:order val="1"/>
          <c:tx>
            <c:strRef>
              <c:f>'RLC series. Calculations'!$K$5</c:f>
              <c:strCache>
                <c:ptCount val="1"/>
                <c:pt idx="0">
                  <c:v>UC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'RLC series. Calculations'!$A$7:$A$25</c:f>
              <c:numCache>
                <c:formatCode>0</c:formatCode>
                <c:ptCount val="19"/>
                <c:pt idx="0">
                  <c:v>7.5000775445502574</c:v>
                </c:pt>
                <c:pt idx="1">
                  <c:v>15.000155089100515</c:v>
                </c:pt>
                <c:pt idx="2">
                  <c:v>22.500232633650771</c:v>
                </c:pt>
                <c:pt idx="3">
                  <c:v>30.00031017820103</c:v>
                </c:pt>
                <c:pt idx="4">
                  <c:v>37.500387722751285</c:v>
                </c:pt>
                <c:pt idx="5">
                  <c:v>45.000465267301543</c:v>
                </c:pt>
                <c:pt idx="6">
                  <c:v>52.500542811851801</c:v>
                </c:pt>
                <c:pt idx="7">
                  <c:v>60.000620356402059</c:v>
                </c:pt>
                <c:pt idx="8">
                  <c:v>67.500697900952318</c:v>
                </c:pt>
                <c:pt idx="9">
                  <c:v>75.000775445502569</c:v>
                </c:pt>
                <c:pt idx="10">
                  <c:v>83.3341949394473</c:v>
                </c:pt>
                <c:pt idx="11">
                  <c:v>91.667614433392032</c:v>
                </c:pt>
                <c:pt idx="12">
                  <c:v>100.00103392733676</c:v>
                </c:pt>
                <c:pt idx="13">
                  <c:v>108.33445342128149</c:v>
                </c:pt>
                <c:pt idx="14">
                  <c:v>116.66787291522623</c:v>
                </c:pt>
                <c:pt idx="15">
                  <c:v>125.00129240917096</c:v>
                </c:pt>
                <c:pt idx="16">
                  <c:v>133.33471190311568</c:v>
                </c:pt>
                <c:pt idx="17">
                  <c:v>141.66813139706039</c:v>
                </c:pt>
                <c:pt idx="18">
                  <c:v>150.00155089100514</c:v>
                </c:pt>
              </c:numCache>
            </c:numRef>
          </c:xVal>
          <c:yVal>
            <c:numRef>
              <c:f>'RLC series. Calculations'!$K$7:$K$25</c:f>
              <c:numCache>
                <c:formatCode>0.00</c:formatCode>
                <c:ptCount val="19"/>
                <c:pt idx="0">
                  <c:v>155.15</c:v>
                </c:pt>
                <c:pt idx="1">
                  <c:v>158.22999999999999</c:v>
                </c:pt>
                <c:pt idx="2">
                  <c:v>165.13</c:v>
                </c:pt>
                <c:pt idx="3">
                  <c:v>176.57</c:v>
                </c:pt>
                <c:pt idx="4">
                  <c:v>192.13</c:v>
                </c:pt>
                <c:pt idx="5">
                  <c:v>210.13</c:v>
                </c:pt>
                <c:pt idx="6">
                  <c:v>234.87</c:v>
                </c:pt>
                <c:pt idx="7">
                  <c:v>255.71</c:v>
                </c:pt>
                <c:pt idx="8">
                  <c:v>274.32</c:v>
                </c:pt>
                <c:pt idx="9">
                  <c:v>260.45999999999998</c:v>
                </c:pt>
                <c:pt idx="10">
                  <c:v>223.76</c:v>
                </c:pt>
                <c:pt idx="11">
                  <c:v>174.18</c:v>
                </c:pt>
                <c:pt idx="12">
                  <c:v>138.85</c:v>
                </c:pt>
                <c:pt idx="13">
                  <c:v>112.27</c:v>
                </c:pt>
                <c:pt idx="14">
                  <c:v>90.293000000000006</c:v>
                </c:pt>
                <c:pt idx="15">
                  <c:v>75.207999999999998</c:v>
                </c:pt>
                <c:pt idx="16">
                  <c:v>63.936999999999998</c:v>
                </c:pt>
                <c:pt idx="17">
                  <c:v>54.406999999999996</c:v>
                </c:pt>
                <c:pt idx="18">
                  <c:v>47.42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5-4D12-BBCE-A58CA2111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78848"/>
        <c:axId val="447579504"/>
      </c:scatterChart>
      <c:valAx>
        <c:axId val="4475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447579504"/>
        <c:crosses val="autoZero"/>
        <c:crossBetween val="midCat"/>
      </c:valAx>
      <c:valAx>
        <c:axId val="4475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44757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Phase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'RLC parallel. Calculations'!$B$4</c:f>
              <c:strCache>
                <c:ptCount val="1"/>
                <c:pt idx="0">
                  <c:v>φ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'RLC parallel. Calculations'!$A$6:$A$24</c:f>
              <c:numCache>
                <c:formatCode>0</c:formatCode>
                <c:ptCount val="19"/>
                <c:pt idx="0">
                  <c:v>12.365075939128278</c:v>
                </c:pt>
                <c:pt idx="1">
                  <c:v>24.730151878256557</c:v>
                </c:pt>
                <c:pt idx="2">
                  <c:v>37.095227817384838</c:v>
                </c:pt>
                <c:pt idx="3">
                  <c:v>49.460303756513113</c:v>
                </c:pt>
                <c:pt idx="4">
                  <c:v>61.825379695641388</c:v>
                </c:pt>
                <c:pt idx="5">
                  <c:v>74.190455634769663</c:v>
                </c:pt>
                <c:pt idx="6">
                  <c:v>86.555531573897937</c:v>
                </c:pt>
                <c:pt idx="7">
                  <c:v>98.920607513026212</c:v>
                </c:pt>
                <c:pt idx="8">
                  <c:v>111.28568345215449</c:v>
                </c:pt>
                <c:pt idx="9">
                  <c:v>123.65075939128278</c:v>
                </c:pt>
                <c:pt idx="10">
                  <c:v>137.38973265698087</c:v>
                </c:pt>
                <c:pt idx="11">
                  <c:v>151.12870592267896</c:v>
                </c:pt>
                <c:pt idx="12">
                  <c:v>164.86767918837705</c:v>
                </c:pt>
                <c:pt idx="13">
                  <c:v>178.60665245407515</c:v>
                </c:pt>
                <c:pt idx="14">
                  <c:v>192.34562571977324</c:v>
                </c:pt>
                <c:pt idx="15">
                  <c:v>206.08459898547133</c:v>
                </c:pt>
                <c:pt idx="16">
                  <c:v>219.82357225116942</c:v>
                </c:pt>
                <c:pt idx="17">
                  <c:v>233.56254551686752</c:v>
                </c:pt>
                <c:pt idx="18">
                  <c:v>247.30151878256555</c:v>
                </c:pt>
              </c:numCache>
            </c:numRef>
          </c:xVal>
          <c:yVal>
            <c:numRef>
              <c:f>'RLC parallel. Calculations'!$B$6:$B$24</c:f>
              <c:numCache>
                <c:formatCode>0.00</c:formatCode>
                <c:ptCount val="19"/>
                <c:pt idx="0">
                  <c:v>28.920667588537366</c:v>
                </c:pt>
                <c:pt idx="1">
                  <c:v>46.914881324916678</c:v>
                </c:pt>
                <c:pt idx="2">
                  <c:v>56.52893527081163</c:v>
                </c:pt>
                <c:pt idx="3">
                  <c:v>61.509134756452546</c:v>
                </c:pt>
                <c:pt idx="4">
                  <c:v>63.640859239611935</c:v>
                </c:pt>
                <c:pt idx="5">
                  <c:v>63.454968056481235</c:v>
                </c:pt>
                <c:pt idx="6">
                  <c:v>60.490098288254281</c:v>
                </c:pt>
                <c:pt idx="7">
                  <c:v>52.575798376189411</c:v>
                </c:pt>
                <c:pt idx="8">
                  <c:v>32.735350362090806</c:v>
                </c:pt>
                <c:pt idx="9">
                  <c:v>-9.9738820816848062</c:v>
                </c:pt>
                <c:pt idx="10">
                  <c:v>-49.783575327696838</c:v>
                </c:pt>
                <c:pt idx="11">
                  <c:v>-65.492634860733631</c:v>
                </c:pt>
                <c:pt idx="12">
                  <c:v>-72.247749200138855</c:v>
                </c:pt>
                <c:pt idx="13">
                  <c:v>-75.683819996105427</c:v>
                </c:pt>
                <c:pt idx="14">
                  <c:v>-77.620788152419649</c:v>
                </c:pt>
                <c:pt idx="15">
                  <c:v>-78.774254564289805</c:v>
                </c:pt>
                <c:pt idx="16">
                  <c:v>-79.474280413087257</c:v>
                </c:pt>
                <c:pt idx="17">
                  <c:v>-79.891773736682012</c:v>
                </c:pt>
                <c:pt idx="18">
                  <c:v>-80.123145216764044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8-4B2A-AA76-5F73C2132380}"/>
            </c:ext>
          </c:extLst>
        </c:ser>
        <c:ser>
          <c:idx val="1"/>
          <c:order val="1"/>
          <c:tx>
            <c:strRef>
              <c:f>'RLC parallel. Calculations'!$F$4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'RLC parallel. Calculations'!$A$6:$A$24</c:f>
              <c:numCache>
                <c:formatCode>0</c:formatCode>
                <c:ptCount val="19"/>
                <c:pt idx="0">
                  <c:v>12.365075939128278</c:v>
                </c:pt>
                <c:pt idx="1">
                  <c:v>24.730151878256557</c:v>
                </c:pt>
                <c:pt idx="2">
                  <c:v>37.095227817384838</c:v>
                </c:pt>
                <c:pt idx="3">
                  <c:v>49.460303756513113</c:v>
                </c:pt>
                <c:pt idx="4">
                  <c:v>61.825379695641388</c:v>
                </c:pt>
                <c:pt idx="5">
                  <c:v>74.190455634769663</c:v>
                </c:pt>
                <c:pt idx="6">
                  <c:v>86.555531573897937</c:v>
                </c:pt>
                <c:pt idx="7">
                  <c:v>98.920607513026212</c:v>
                </c:pt>
                <c:pt idx="8">
                  <c:v>111.28568345215449</c:v>
                </c:pt>
                <c:pt idx="9">
                  <c:v>123.65075939128278</c:v>
                </c:pt>
                <c:pt idx="10">
                  <c:v>137.38973265698087</c:v>
                </c:pt>
                <c:pt idx="11">
                  <c:v>151.12870592267896</c:v>
                </c:pt>
                <c:pt idx="12">
                  <c:v>164.86767918837705</c:v>
                </c:pt>
                <c:pt idx="13">
                  <c:v>178.60665245407515</c:v>
                </c:pt>
                <c:pt idx="14">
                  <c:v>192.34562571977324</c:v>
                </c:pt>
                <c:pt idx="15">
                  <c:v>206.08459898547133</c:v>
                </c:pt>
                <c:pt idx="16">
                  <c:v>219.82357225116942</c:v>
                </c:pt>
                <c:pt idx="17">
                  <c:v>233.56254551686752</c:v>
                </c:pt>
                <c:pt idx="18">
                  <c:v>247.30151878256555</c:v>
                </c:pt>
              </c:numCache>
            </c:numRef>
          </c:xVal>
          <c:yVal>
            <c:numRef>
              <c:f>'RLC parallel. Calculations'!$F$6:$F$24</c:f>
              <c:numCache>
                <c:formatCode>0.00</c:formatCode>
                <c:ptCount val="19"/>
                <c:pt idx="0">
                  <c:v>28.94</c:v>
                </c:pt>
                <c:pt idx="1">
                  <c:v>46.97</c:v>
                </c:pt>
                <c:pt idx="2">
                  <c:v>56.61</c:v>
                </c:pt>
                <c:pt idx="3">
                  <c:v>61.55</c:v>
                </c:pt>
                <c:pt idx="4">
                  <c:v>63.59</c:v>
                </c:pt>
                <c:pt idx="5">
                  <c:v>63.42</c:v>
                </c:pt>
                <c:pt idx="6">
                  <c:v>60.43</c:v>
                </c:pt>
                <c:pt idx="7">
                  <c:v>52.54</c:v>
                </c:pt>
                <c:pt idx="8">
                  <c:v>32.78</c:v>
                </c:pt>
                <c:pt idx="9">
                  <c:v>-9.91</c:v>
                </c:pt>
                <c:pt idx="10">
                  <c:v>-49.68</c:v>
                </c:pt>
                <c:pt idx="11">
                  <c:v>-65.459999999999994</c:v>
                </c:pt>
                <c:pt idx="12">
                  <c:v>-72.239999999999995</c:v>
                </c:pt>
                <c:pt idx="13">
                  <c:v>-75.61</c:v>
                </c:pt>
                <c:pt idx="14">
                  <c:v>-77.69</c:v>
                </c:pt>
                <c:pt idx="15">
                  <c:v>-78.739999999999995</c:v>
                </c:pt>
                <c:pt idx="16">
                  <c:v>-79.430000000000007</c:v>
                </c:pt>
                <c:pt idx="17">
                  <c:v>-79.819999999999993</c:v>
                </c:pt>
                <c:pt idx="18">
                  <c:v>-80.17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C8-4B2A-AA76-5F73C213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24056"/>
        <c:axId val="486026352"/>
      </c:scatterChart>
      <c:valAx>
        <c:axId val="48602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486026352"/>
        <c:crosses val="autoZero"/>
        <c:crossBetween val="midCat"/>
      </c:valAx>
      <c:valAx>
        <c:axId val="4860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48602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Input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'RLC parallel. Calculations'!$C$4</c:f>
              <c:strCache>
                <c:ptCount val="1"/>
                <c:pt idx="0">
                  <c:v>I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'RLC parallel. Calculations'!$A$6:$A$24</c:f>
              <c:numCache>
                <c:formatCode>0</c:formatCode>
                <c:ptCount val="19"/>
                <c:pt idx="0">
                  <c:v>12.365075939128278</c:v>
                </c:pt>
                <c:pt idx="1">
                  <c:v>24.730151878256557</c:v>
                </c:pt>
                <c:pt idx="2">
                  <c:v>37.095227817384838</c:v>
                </c:pt>
                <c:pt idx="3">
                  <c:v>49.460303756513113</c:v>
                </c:pt>
                <c:pt idx="4">
                  <c:v>61.825379695641388</c:v>
                </c:pt>
                <c:pt idx="5">
                  <c:v>74.190455634769663</c:v>
                </c:pt>
                <c:pt idx="6">
                  <c:v>86.555531573897937</c:v>
                </c:pt>
                <c:pt idx="7">
                  <c:v>98.920607513026212</c:v>
                </c:pt>
                <c:pt idx="8">
                  <c:v>111.28568345215449</c:v>
                </c:pt>
                <c:pt idx="9">
                  <c:v>123.65075939128278</c:v>
                </c:pt>
                <c:pt idx="10">
                  <c:v>137.38973265698087</c:v>
                </c:pt>
                <c:pt idx="11">
                  <c:v>151.12870592267896</c:v>
                </c:pt>
                <c:pt idx="12">
                  <c:v>164.86767918837705</c:v>
                </c:pt>
                <c:pt idx="13">
                  <c:v>178.60665245407515</c:v>
                </c:pt>
                <c:pt idx="14">
                  <c:v>192.34562571977324</c:v>
                </c:pt>
                <c:pt idx="15">
                  <c:v>206.08459898547133</c:v>
                </c:pt>
                <c:pt idx="16">
                  <c:v>219.82357225116942</c:v>
                </c:pt>
                <c:pt idx="17">
                  <c:v>233.56254551686752</c:v>
                </c:pt>
                <c:pt idx="18">
                  <c:v>247.30151878256555</c:v>
                </c:pt>
              </c:numCache>
            </c:numRef>
          </c:xVal>
          <c:yVal>
            <c:numRef>
              <c:f>'RLC parallel. Calculations'!$C$6:$C$24</c:f>
              <c:numCache>
                <c:formatCode>0.00</c:formatCode>
                <c:ptCount val="19"/>
                <c:pt idx="0">
                  <c:v>98.530801991325433</c:v>
                </c:pt>
                <c:pt idx="1">
                  <c:v>98.036137410744843</c:v>
                </c:pt>
                <c:pt idx="2">
                  <c:v>97.104784141651294</c:v>
                </c:pt>
                <c:pt idx="3">
                  <c:v>95.535404515171763</c:v>
                </c:pt>
                <c:pt idx="4">
                  <c:v>92.942752122083633</c:v>
                </c:pt>
                <c:pt idx="5">
                  <c:v>88.59873328556327</c:v>
                </c:pt>
                <c:pt idx="6">
                  <c:v>81.176389462045208</c:v>
                </c:pt>
                <c:pt idx="7">
                  <c:v>68.740310536713807</c:v>
                </c:pt>
                <c:pt idx="8">
                  <c:v>51.479710319007168</c:v>
                </c:pt>
                <c:pt idx="9">
                  <c:v>42.516182317870133</c:v>
                </c:pt>
                <c:pt idx="10">
                  <c:v>56.252684222149142</c:v>
                </c:pt>
                <c:pt idx="11">
                  <c:v>72.429401990334981</c:v>
                </c:pt>
                <c:pt idx="12">
                  <c:v>82.73050469667578</c:v>
                </c:pt>
                <c:pt idx="13">
                  <c:v>88.826805001300031</c:v>
                </c:pt>
                <c:pt idx="14">
                  <c:v>92.552198821753905</c:v>
                </c:pt>
                <c:pt idx="15">
                  <c:v>94.948645565246352</c:v>
                </c:pt>
                <c:pt idx="16">
                  <c:v>96.568237301081837</c:v>
                </c:pt>
                <c:pt idx="17">
                  <c:v>97.710673550869032</c:v>
                </c:pt>
                <c:pt idx="18">
                  <c:v>98.546129132942497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8-4ABD-A36E-745CAE135125}"/>
            </c:ext>
          </c:extLst>
        </c:ser>
        <c:ser>
          <c:idx val="1"/>
          <c:order val="1"/>
          <c:tx>
            <c:strRef>
              <c:f>'RLC parallel. Calculations'!$G$4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'RLC parallel. Calculations'!$A$6:$A$24</c:f>
              <c:numCache>
                <c:formatCode>0</c:formatCode>
                <c:ptCount val="19"/>
                <c:pt idx="0">
                  <c:v>12.365075939128278</c:v>
                </c:pt>
                <c:pt idx="1">
                  <c:v>24.730151878256557</c:v>
                </c:pt>
                <c:pt idx="2">
                  <c:v>37.095227817384838</c:v>
                </c:pt>
                <c:pt idx="3">
                  <c:v>49.460303756513113</c:v>
                </c:pt>
                <c:pt idx="4">
                  <c:v>61.825379695641388</c:v>
                </c:pt>
                <c:pt idx="5">
                  <c:v>74.190455634769663</c:v>
                </c:pt>
                <c:pt idx="6">
                  <c:v>86.555531573897937</c:v>
                </c:pt>
                <c:pt idx="7">
                  <c:v>98.920607513026212</c:v>
                </c:pt>
                <c:pt idx="8">
                  <c:v>111.28568345215449</c:v>
                </c:pt>
                <c:pt idx="9">
                  <c:v>123.65075939128278</c:v>
                </c:pt>
                <c:pt idx="10">
                  <c:v>137.38973265698087</c:v>
                </c:pt>
                <c:pt idx="11">
                  <c:v>151.12870592267896</c:v>
                </c:pt>
                <c:pt idx="12">
                  <c:v>164.86767918837705</c:v>
                </c:pt>
                <c:pt idx="13">
                  <c:v>178.60665245407515</c:v>
                </c:pt>
                <c:pt idx="14">
                  <c:v>192.34562571977324</c:v>
                </c:pt>
                <c:pt idx="15">
                  <c:v>206.08459898547133</c:v>
                </c:pt>
                <c:pt idx="16">
                  <c:v>219.82357225116942</c:v>
                </c:pt>
                <c:pt idx="17">
                  <c:v>233.56254551686752</c:v>
                </c:pt>
                <c:pt idx="18">
                  <c:v>247.30151878256555</c:v>
                </c:pt>
              </c:numCache>
            </c:numRef>
          </c:xVal>
          <c:yVal>
            <c:numRef>
              <c:f>'RLC parallel. Calculations'!$G$6:$G$24</c:f>
              <c:numCache>
                <c:formatCode>0.00</c:formatCode>
                <c:ptCount val="19"/>
                <c:pt idx="0">
                  <c:v>96.766000000000005</c:v>
                </c:pt>
                <c:pt idx="1">
                  <c:v>96.141000000000005</c:v>
                </c:pt>
                <c:pt idx="2">
                  <c:v>95.962999999999994</c:v>
                </c:pt>
                <c:pt idx="3">
                  <c:v>93.977999999999994</c:v>
                </c:pt>
                <c:pt idx="4">
                  <c:v>91.378</c:v>
                </c:pt>
                <c:pt idx="5">
                  <c:v>87.370999999999995</c:v>
                </c:pt>
                <c:pt idx="6">
                  <c:v>79.379000000000005</c:v>
                </c:pt>
                <c:pt idx="7">
                  <c:v>67.397000000000006</c:v>
                </c:pt>
                <c:pt idx="8">
                  <c:v>50.79</c:v>
                </c:pt>
                <c:pt idx="9">
                  <c:v>42.155000000000001</c:v>
                </c:pt>
                <c:pt idx="10">
                  <c:v>55.607999999999997</c:v>
                </c:pt>
                <c:pt idx="11">
                  <c:v>71.959000000000003</c:v>
                </c:pt>
                <c:pt idx="12">
                  <c:v>81.754999999999995</c:v>
                </c:pt>
                <c:pt idx="13">
                  <c:v>87.644999999999996</c:v>
                </c:pt>
                <c:pt idx="14">
                  <c:v>90.765000000000001</c:v>
                </c:pt>
                <c:pt idx="15">
                  <c:v>93.471000000000004</c:v>
                </c:pt>
                <c:pt idx="16">
                  <c:v>94.584000000000003</c:v>
                </c:pt>
                <c:pt idx="17">
                  <c:v>96.072000000000003</c:v>
                </c:pt>
                <c:pt idx="18">
                  <c:v>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8-4ABD-A36E-745CAE13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90496"/>
        <c:axId val="481890168"/>
      </c:scatterChart>
      <c:valAx>
        <c:axId val="4818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481890168"/>
        <c:crosses val="autoZero"/>
        <c:crossBetween val="midCat"/>
      </c:valAx>
      <c:valAx>
        <c:axId val="4818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48189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Current in the branch with the inductor - I1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'RLC parallel. Calculations'!$D$4</c:f>
              <c:strCache>
                <c:ptCount val="1"/>
                <c:pt idx="0">
                  <c:v>I1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'RLC parallel. Calculations'!$A$6:$A$24</c:f>
              <c:numCache>
                <c:formatCode>0</c:formatCode>
                <c:ptCount val="19"/>
                <c:pt idx="0">
                  <c:v>12.365075939128278</c:v>
                </c:pt>
                <c:pt idx="1">
                  <c:v>24.730151878256557</c:v>
                </c:pt>
                <c:pt idx="2">
                  <c:v>37.095227817384838</c:v>
                </c:pt>
                <c:pt idx="3">
                  <c:v>49.460303756513113</c:v>
                </c:pt>
                <c:pt idx="4">
                  <c:v>61.825379695641388</c:v>
                </c:pt>
                <c:pt idx="5">
                  <c:v>74.190455634769663</c:v>
                </c:pt>
                <c:pt idx="6">
                  <c:v>86.555531573897937</c:v>
                </c:pt>
                <c:pt idx="7">
                  <c:v>98.920607513026212</c:v>
                </c:pt>
                <c:pt idx="8">
                  <c:v>111.28568345215449</c:v>
                </c:pt>
                <c:pt idx="9">
                  <c:v>123.65075939128278</c:v>
                </c:pt>
                <c:pt idx="10">
                  <c:v>137.38973265698087</c:v>
                </c:pt>
                <c:pt idx="11">
                  <c:v>151.12870592267896</c:v>
                </c:pt>
                <c:pt idx="12">
                  <c:v>164.86767918837705</c:v>
                </c:pt>
                <c:pt idx="13">
                  <c:v>178.60665245407515</c:v>
                </c:pt>
                <c:pt idx="14">
                  <c:v>192.34562571977324</c:v>
                </c:pt>
                <c:pt idx="15">
                  <c:v>206.08459898547133</c:v>
                </c:pt>
                <c:pt idx="16">
                  <c:v>219.82357225116942</c:v>
                </c:pt>
                <c:pt idx="17">
                  <c:v>233.56254551686752</c:v>
                </c:pt>
                <c:pt idx="18">
                  <c:v>247.30151878256555</c:v>
                </c:pt>
              </c:numCache>
            </c:numRef>
          </c:xVal>
          <c:yVal>
            <c:numRef>
              <c:f>'RLC parallel. Calculations'!$D$6:$D$24</c:f>
              <c:numCache>
                <c:formatCode>0.00</c:formatCode>
                <c:ptCount val="19"/>
                <c:pt idx="0">
                  <c:v>99.513745181384138</c:v>
                </c:pt>
                <c:pt idx="1">
                  <c:v>102.06510941962054</c:v>
                </c:pt>
                <c:pt idx="2">
                  <c:v>106.553336373227</c:v>
                </c:pt>
                <c:pt idx="3">
                  <c:v>113.3600515294043</c:v>
                </c:pt>
                <c:pt idx="4">
                  <c:v>123.05625338365444</c:v>
                </c:pt>
                <c:pt idx="5">
                  <c:v>136.34359125403952</c:v>
                </c:pt>
                <c:pt idx="6">
                  <c:v>153.61981756971119</c:v>
                </c:pt>
                <c:pt idx="7">
                  <c:v>173.2872548089808</c:v>
                </c:pt>
                <c:pt idx="8">
                  <c:v>187.89078178980395</c:v>
                </c:pt>
                <c:pt idx="9">
                  <c:v>184.3395331006916</c:v>
                </c:pt>
                <c:pt idx="10">
                  <c:v>157.18873747062446</c:v>
                </c:pt>
                <c:pt idx="11">
                  <c:v>123.93708091526896</c:v>
                </c:pt>
                <c:pt idx="12">
                  <c:v>96.668549911615713</c:v>
                </c:pt>
                <c:pt idx="13">
                  <c:v>76.645481671958763</c:v>
                </c:pt>
                <c:pt idx="14">
                  <c:v>62.12421761883752</c:v>
                </c:pt>
                <c:pt idx="15">
                  <c:v>51.411595357322213</c:v>
                </c:pt>
                <c:pt idx="16">
                  <c:v>43.317992516809632</c:v>
                </c:pt>
                <c:pt idx="17">
                  <c:v>37.0577660094539</c:v>
                </c:pt>
                <c:pt idx="18">
                  <c:v>32.112085047838235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C-476C-8907-4B04D3E7724A}"/>
            </c:ext>
          </c:extLst>
        </c:ser>
        <c:ser>
          <c:idx val="1"/>
          <c:order val="1"/>
          <c:tx>
            <c:strRef>
              <c:f>'RLC parallel. Calculations'!$H$4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'RLC parallel. Calculations'!$A$6:$A$24</c:f>
              <c:numCache>
                <c:formatCode>0</c:formatCode>
                <c:ptCount val="19"/>
                <c:pt idx="0">
                  <c:v>12.365075939128278</c:v>
                </c:pt>
                <c:pt idx="1">
                  <c:v>24.730151878256557</c:v>
                </c:pt>
                <c:pt idx="2">
                  <c:v>37.095227817384838</c:v>
                </c:pt>
                <c:pt idx="3">
                  <c:v>49.460303756513113</c:v>
                </c:pt>
                <c:pt idx="4">
                  <c:v>61.825379695641388</c:v>
                </c:pt>
                <c:pt idx="5">
                  <c:v>74.190455634769663</c:v>
                </c:pt>
                <c:pt idx="6">
                  <c:v>86.555531573897937</c:v>
                </c:pt>
                <c:pt idx="7">
                  <c:v>98.920607513026212</c:v>
                </c:pt>
                <c:pt idx="8">
                  <c:v>111.28568345215449</c:v>
                </c:pt>
                <c:pt idx="9">
                  <c:v>123.65075939128278</c:v>
                </c:pt>
                <c:pt idx="10">
                  <c:v>137.38973265698087</c:v>
                </c:pt>
                <c:pt idx="11">
                  <c:v>151.12870592267896</c:v>
                </c:pt>
                <c:pt idx="12">
                  <c:v>164.86767918837705</c:v>
                </c:pt>
                <c:pt idx="13">
                  <c:v>178.60665245407515</c:v>
                </c:pt>
                <c:pt idx="14">
                  <c:v>192.34562571977324</c:v>
                </c:pt>
                <c:pt idx="15">
                  <c:v>206.08459898547133</c:v>
                </c:pt>
                <c:pt idx="16">
                  <c:v>219.82357225116942</c:v>
                </c:pt>
                <c:pt idx="17">
                  <c:v>233.56254551686752</c:v>
                </c:pt>
                <c:pt idx="18">
                  <c:v>247.30151878256555</c:v>
                </c:pt>
              </c:numCache>
            </c:numRef>
          </c:xVal>
          <c:yVal>
            <c:numRef>
              <c:f>'RLC parallel. Calculations'!$H$6:$H$24</c:f>
              <c:numCache>
                <c:formatCode>0.00</c:formatCode>
                <c:ptCount val="19"/>
                <c:pt idx="0">
                  <c:v>97.686000000000007</c:v>
                </c:pt>
                <c:pt idx="1">
                  <c:v>100.22</c:v>
                </c:pt>
                <c:pt idx="2">
                  <c:v>105.33</c:v>
                </c:pt>
                <c:pt idx="3">
                  <c:v>111.33</c:v>
                </c:pt>
                <c:pt idx="4">
                  <c:v>121.61</c:v>
                </c:pt>
                <c:pt idx="5">
                  <c:v>134.72999999999999</c:v>
                </c:pt>
                <c:pt idx="6">
                  <c:v>152.56</c:v>
                </c:pt>
                <c:pt idx="7">
                  <c:v>171.73</c:v>
                </c:pt>
                <c:pt idx="8">
                  <c:v>185.47</c:v>
                </c:pt>
                <c:pt idx="9">
                  <c:v>180.45</c:v>
                </c:pt>
                <c:pt idx="10">
                  <c:v>153.47999999999999</c:v>
                </c:pt>
                <c:pt idx="11">
                  <c:v>119.9</c:v>
                </c:pt>
                <c:pt idx="12">
                  <c:v>92.662000000000006</c:v>
                </c:pt>
                <c:pt idx="13">
                  <c:v>73.102000000000004</c:v>
                </c:pt>
                <c:pt idx="14">
                  <c:v>59.750999999999998</c:v>
                </c:pt>
                <c:pt idx="15">
                  <c:v>49.424999999999997</c:v>
                </c:pt>
                <c:pt idx="16">
                  <c:v>41.341999999999999</c:v>
                </c:pt>
                <c:pt idx="17">
                  <c:v>35.453000000000003</c:v>
                </c:pt>
                <c:pt idx="18">
                  <c:v>30.959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3C-476C-8907-4B04D3E7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59616"/>
        <c:axId val="618660272"/>
      </c:scatterChart>
      <c:valAx>
        <c:axId val="6186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618660272"/>
        <c:crosses val="autoZero"/>
        <c:crossBetween val="midCat"/>
      </c:valAx>
      <c:valAx>
        <c:axId val="6186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61865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2</xdr:row>
      <xdr:rowOff>95250</xdr:rowOff>
    </xdr:from>
    <xdr:ext cx="3761105" cy="762000"/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616DBB3C-5F40-47EA-8A1A-3DD6D91CC5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476250"/>
          <a:ext cx="3761105" cy="762000"/>
        </a:xfrm>
        <a:prstGeom prst="rect">
          <a:avLst/>
        </a:prstGeom>
      </xdr:spPr>
    </xdr:pic>
    <xdr:clientData/>
  </xdr:oneCellAnchor>
  <xdr:oneCellAnchor>
    <xdr:from>
      <xdr:col>3</xdr:col>
      <xdr:colOff>180975</xdr:colOff>
      <xdr:row>10</xdr:row>
      <xdr:rowOff>161925</xdr:rowOff>
    </xdr:from>
    <xdr:ext cx="1435100" cy="1598295"/>
    <xdr:pic>
      <xdr:nvPicPr>
        <xdr:cNvPr id="3" name="Picture 2">
          <a:extLst>
            <a:ext uri="{FF2B5EF4-FFF2-40B4-BE49-F238E27FC236}">
              <a16:creationId xmlns:a16="http://schemas.microsoft.com/office/drawing/2014/main" id="{7AB9FB7F-BE93-4298-87E9-8CD9CA9162C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066925"/>
          <a:ext cx="1435100" cy="159829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219076</xdr:colOff>
      <xdr:row>19</xdr:row>
      <xdr:rowOff>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AD68E-B3EE-47C7-8F14-6132B1FC9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9525</xdr:rowOff>
    </xdr:from>
    <xdr:to>
      <xdr:col>20</xdr:col>
      <xdr:colOff>100013</xdr:colOff>
      <xdr:row>16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5281E-0790-4CCA-9611-9925B4BC4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20</xdr:row>
      <xdr:rowOff>9526</xdr:rowOff>
    </xdr:from>
    <xdr:to>
      <xdr:col>9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87E43-F7AB-4143-98C5-DACC356F6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20</xdr:row>
      <xdr:rowOff>0</xdr:rowOff>
    </xdr:from>
    <xdr:to>
      <xdr:col>20</xdr:col>
      <xdr:colOff>0</xdr:colOff>
      <xdr:row>35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265EC5-45C2-48E8-9890-9D77E184F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28574</xdr:colOff>
      <xdr:row>36</xdr:row>
      <xdr:rowOff>180975</xdr:rowOff>
    </xdr:from>
    <xdr:to>
      <xdr:col>10</xdr:col>
      <xdr:colOff>19049</xdr:colOff>
      <xdr:row>53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53245A-D445-4325-AC1F-570010D85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36</xdr:row>
      <xdr:rowOff>180974</xdr:rowOff>
    </xdr:from>
    <xdr:to>
      <xdr:col>19</xdr:col>
      <xdr:colOff>600074</xdr:colOff>
      <xdr:row>53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9F0999-20B6-444A-A066-C8B0AE9FC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9</xdr:col>
      <xdr:colOff>9524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6919A-FF01-465B-B1C1-389314EC4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0</xdr:row>
      <xdr:rowOff>190499</xdr:rowOff>
    </xdr:from>
    <xdr:to>
      <xdr:col>17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DA4B3-93CB-4036-85F0-1776E04F7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17</xdr:row>
      <xdr:rowOff>190499</xdr:rowOff>
    </xdr:from>
    <xdr:to>
      <xdr:col>8</xdr:col>
      <xdr:colOff>600075</xdr:colOff>
      <xdr:row>34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8C64C5-91CE-4B3E-9F8D-4DD8540F9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590550</xdr:colOff>
      <xdr:row>34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EFC54D-EFCA-4F2B-874D-BDCD3E664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CA56-3204-4ABC-B518-2160CD9226AF}">
  <dimension ref="B8:H37"/>
  <sheetViews>
    <sheetView topLeftCell="A11" zoomScale="115" zoomScaleNormal="115" workbookViewId="0">
      <selection activeCell="F47" sqref="F47"/>
    </sheetView>
  </sheetViews>
  <sheetFormatPr defaultRowHeight="14.25" x14ac:dyDescent="0.2"/>
  <sheetData>
    <row r="8" spans="4:6" ht="15" thickBot="1" x14ac:dyDescent="0.25"/>
    <row r="9" spans="4:6" ht="15.75" thickTop="1" thickBot="1" x14ac:dyDescent="0.25">
      <c r="D9" s="73" t="s">
        <v>44</v>
      </c>
      <c r="E9" s="74"/>
      <c r="F9" s="75"/>
    </row>
    <row r="10" spans="4:6" ht="15" thickTop="1" x14ac:dyDescent="0.2"/>
    <row r="24" spans="2:8" x14ac:dyDescent="0.2">
      <c r="B24" s="76" t="s">
        <v>43</v>
      </c>
      <c r="C24" s="76"/>
      <c r="D24" s="76"/>
      <c r="E24" s="76"/>
      <c r="F24" s="76"/>
      <c r="G24" s="76"/>
      <c r="H24" s="76"/>
    </row>
    <row r="27" spans="2:8" x14ac:dyDescent="0.2">
      <c r="B27" s="76" t="s">
        <v>46</v>
      </c>
      <c r="C27" s="76"/>
      <c r="D27" s="76"/>
      <c r="E27" s="76"/>
      <c r="F27" s="76"/>
      <c r="G27" s="76"/>
      <c r="H27" s="76"/>
    </row>
    <row r="30" spans="2:8" x14ac:dyDescent="0.2">
      <c r="B30" s="76" t="s">
        <v>45</v>
      </c>
      <c r="C30" s="76"/>
      <c r="D30" s="76"/>
      <c r="E30" s="76"/>
      <c r="F30" s="76"/>
      <c r="G30" s="76"/>
      <c r="H30" s="76"/>
    </row>
    <row r="33" spans="4:6" ht="15" thickBot="1" x14ac:dyDescent="0.25"/>
    <row r="34" spans="4:6" ht="15.75" thickTop="1" thickBot="1" x14ac:dyDescent="0.25">
      <c r="D34" s="40" t="s">
        <v>7</v>
      </c>
      <c r="E34" s="72" t="s">
        <v>61</v>
      </c>
      <c r="F34" s="72"/>
    </row>
    <row r="35" spans="4:6" ht="15.75" thickTop="1" thickBot="1" x14ac:dyDescent="0.25">
      <c r="D35" s="40" t="s">
        <v>8</v>
      </c>
      <c r="E35" s="72">
        <v>321793</v>
      </c>
      <c r="F35" s="72"/>
    </row>
    <row r="36" spans="4:6" ht="15.75" thickTop="1" thickBot="1" x14ac:dyDescent="0.25">
      <c r="D36" s="40" t="s">
        <v>9</v>
      </c>
      <c r="E36" s="72">
        <v>72</v>
      </c>
      <c r="F36" s="72"/>
    </row>
    <row r="37" spans="4:6" ht="15" thickTop="1" x14ac:dyDescent="0.2"/>
  </sheetData>
  <mergeCells count="7">
    <mergeCell ref="E36:F36"/>
    <mergeCell ref="D9:F9"/>
    <mergeCell ref="B24:H24"/>
    <mergeCell ref="B27:H27"/>
    <mergeCell ref="B30:H30"/>
    <mergeCell ref="E34:F34"/>
    <mergeCell ref="E35:F3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5CA2-222A-4734-AE1A-F71FDCE70BA6}">
  <dimension ref="A1:P26"/>
  <sheetViews>
    <sheetView tabSelected="1" topLeftCell="B1" workbookViewId="0">
      <selection activeCell="O7" sqref="O7"/>
    </sheetView>
  </sheetViews>
  <sheetFormatPr defaultColWidth="9.125" defaultRowHeight="14.25" x14ac:dyDescent="0.2"/>
  <cols>
    <col min="1" max="11" width="10.75" style="1" customWidth="1"/>
    <col min="12" max="14" width="9.125" style="1"/>
    <col min="15" max="15" width="18.125" style="1" bestFit="1" customWidth="1"/>
    <col min="16" max="16384" width="9.125" style="1"/>
  </cols>
  <sheetData>
    <row r="1" spans="1:16" ht="15.75" thickTop="1" thickBot="1" x14ac:dyDescent="0.25">
      <c r="A1" s="80" t="s">
        <v>6</v>
      </c>
      <c r="B1" s="15" t="s">
        <v>47</v>
      </c>
      <c r="C1" s="42">
        <v>114.1</v>
      </c>
      <c r="D1" s="15" t="s">
        <v>12</v>
      </c>
      <c r="E1" s="16">
        <v>13</v>
      </c>
      <c r="F1" s="15" t="s">
        <v>14</v>
      </c>
      <c r="G1" s="17">
        <f>220/2^0.5</f>
        <v>155.56349186104043</v>
      </c>
      <c r="H1" s="43"/>
      <c r="I1" s="44"/>
      <c r="J1" s="45"/>
      <c r="K1" s="46"/>
      <c r="M1" s="40" t="s">
        <v>7</v>
      </c>
      <c r="N1" s="72" t="s">
        <v>61</v>
      </c>
      <c r="O1" s="72"/>
    </row>
    <row r="2" spans="1:16" ht="16.5" thickTop="1" thickBot="1" x14ac:dyDescent="0.25">
      <c r="A2" s="81"/>
      <c r="B2" s="15" t="s">
        <v>62</v>
      </c>
      <c r="C2" s="64">
        <v>39.466000000000001</v>
      </c>
      <c r="D2" s="15" t="s">
        <v>10</v>
      </c>
      <c r="E2" s="16">
        <v>19</v>
      </c>
      <c r="F2" s="15" t="s">
        <v>48</v>
      </c>
      <c r="G2" s="17">
        <f>1/(2*PI()*(C1/1000*C2/10^6)^0.5)</f>
        <v>75.000775445502569</v>
      </c>
      <c r="H2" s="47" t="s">
        <v>49</v>
      </c>
      <c r="I2" s="17">
        <f>2*PI()*G2</f>
        <v>471.2437703062572</v>
      </c>
      <c r="J2" s="48"/>
      <c r="K2" s="49"/>
      <c r="M2" s="40" t="s">
        <v>8</v>
      </c>
      <c r="N2" s="72">
        <v>321793</v>
      </c>
      <c r="O2" s="72"/>
    </row>
    <row r="3" spans="1:16" ht="15.75" thickTop="1" thickBot="1" x14ac:dyDescent="0.25">
      <c r="A3" s="81"/>
      <c r="B3" s="83" t="s">
        <v>1</v>
      </c>
      <c r="C3" s="78"/>
      <c r="D3" s="78"/>
      <c r="E3" s="78"/>
      <c r="F3" s="79"/>
      <c r="G3" s="77" t="s">
        <v>2</v>
      </c>
      <c r="H3" s="78"/>
      <c r="I3" s="78"/>
      <c r="J3" s="78"/>
      <c r="K3" s="79"/>
      <c r="M3" s="40" t="s">
        <v>9</v>
      </c>
      <c r="N3" s="72">
        <v>72</v>
      </c>
      <c r="O3" s="72"/>
    </row>
    <row r="4" spans="1:16" ht="15" thickTop="1" x14ac:dyDescent="0.2">
      <c r="A4" s="81"/>
      <c r="B4" s="50" t="s">
        <v>50</v>
      </c>
      <c r="C4" s="62">
        <f>(C1/1000/C2*10^6)^0.5/(E2+E1)</f>
        <v>1.6802785684982484</v>
      </c>
      <c r="D4" s="51"/>
      <c r="E4" s="51"/>
      <c r="F4" s="52"/>
      <c r="G4" s="53" t="s">
        <v>51</v>
      </c>
      <c r="H4" s="51">
        <f>K16/G1</f>
        <v>1.674300292980438</v>
      </c>
      <c r="I4" s="51"/>
      <c r="J4" s="51"/>
      <c r="K4" s="52"/>
    </row>
    <row r="5" spans="1:16" ht="15.75" thickBot="1" x14ac:dyDescent="0.25">
      <c r="A5" s="82"/>
      <c r="B5" s="54" t="s">
        <v>52</v>
      </c>
      <c r="C5" s="55" t="s">
        <v>64</v>
      </c>
      <c r="D5" s="55" t="s">
        <v>53</v>
      </c>
      <c r="E5" s="55" t="s">
        <v>54</v>
      </c>
      <c r="F5" s="56" t="s">
        <v>55</v>
      </c>
      <c r="G5" s="57" t="s">
        <v>56</v>
      </c>
      <c r="H5" s="55" t="s">
        <v>3</v>
      </c>
      <c r="I5" s="55" t="s">
        <v>63</v>
      </c>
      <c r="J5" s="55" t="s">
        <v>57</v>
      </c>
      <c r="K5" s="56" t="s">
        <v>58</v>
      </c>
      <c r="L5" s="20" t="s">
        <v>35</v>
      </c>
      <c r="M5" s="1" t="s">
        <v>26</v>
      </c>
      <c r="N5" s="1" t="s">
        <v>25</v>
      </c>
      <c r="O5" s="1" t="s">
        <v>40</v>
      </c>
      <c r="P5" s="1" t="s">
        <v>31</v>
      </c>
    </row>
    <row r="6" spans="1:16" ht="15.75" thickTop="1" thickBot="1" x14ac:dyDescent="0.25">
      <c r="A6" s="4" t="s">
        <v>0</v>
      </c>
      <c r="B6" s="58" t="s">
        <v>59</v>
      </c>
      <c r="C6" s="59" t="s">
        <v>24</v>
      </c>
      <c r="D6" s="77" t="s">
        <v>34</v>
      </c>
      <c r="E6" s="78"/>
      <c r="F6" s="79"/>
      <c r="G6" s="41" t="s">
        <v>59</v>
      </c>
      <c r="H6" s="59" t="s">
        <v>24</v>
      </c>
      <c r="I6" s="77" t="s">
        <v>34</v>
      </c>
      <c r="J6" s="78"/>
      <c r="K6" s="79"/>
      <c r="L6" s="1" t="s">
        <v>36</v>
      </c>
      <c r="M6" s="1" t="s">
        <v>32</v>
      </c>
      <c r="N6" s="1" t="s">
        <v>32</v>
      </c>
      <c r="O6" s="1" t="s">
        <v>32</v>
      </c>
      <c r="P6" s="1" t="s">
        <v>34</v>
      </c>
    </row>
    <row r="7" spans="1:16" ht="15" thickTop="1" x14ac:dyDescent="0.2">
      <c r="A7" s="11">
        <f xml:space="preserve"> 0.1 *A16</f>
        <v>7.5000775445502574</v>
      </c>
      <c r="B7" s="23">
        <f>ATAN((M7-N7)/19)*180/PI()</f>
        <v>-87.955790314643195</v>
      </c>
      <c r="C7" s="51">
        <f>P7/O7*1000</f>
        <v>291.71442460736807</v>
      </c>
      <c r="D7" s="24">
        <f>C7/1000*$E$2</f>
        <v>5.5425740675399933</v>
      </c>
      <c r="E7" s="24">
        <f>C7/1000*M7</f>
        <v>1.5685167865265874</v>
      </c>
      <c r="F7" s="25">
        <f>C7/1000*N7</f>
        <v>156.85167865265876</v>
      </c>
      <c r="G7" s="26">
        <v>-87.94</v>
      </c>
      <c r="H7" s="24">
        <v>306.12</v>
      </c>
      <c r="I7" s="24">
        <v>6.1844999999999999</v>
      </c>
      <c r="J7" s="24">
        <v>4.3573000000000004</v>
      </c>
      <c r="K7" s="25">
        <v>155.15</v>
      </c>
      <c r="L7" s="19">
        <f>2*PI()*A7</f>
        <v>47.124377030625723</v>
      </c>
      <c r="M7" s="19">
        <f>L7*($C$1/1000)</f>
        <v>5.3768914191943944</v>
      </c>
      <c r="N7" s="1">
        <f>1/(L7*($C$2*10^-6))</f>
        <v>537.68914191943952</v>
      </c>
      <c r="O7" s="65">
        <f>(32^2+(M7-N7)^2)^0.5</f>
        <v>533.27322456001457</v>
      </c>
      <c r="P7" s="19">
        <f>$G$1</f>
        <v>155.56349186104043</v>
      </c>
    </row>
    <row r="8" spans="1:16" x14ac:dyDescent="0.2">
      <c r="A8" s="12">
        <f xml:space="preserve"> A7 + ($A$16-$A$7) / 9</f>
        <v>15.000155089100515</v>
      </c>
      <c r="B8" s="23">
        <f t="shared" ref="B8:B25" si="0">ATAN((M8-N8)/19)*180/PI()</f>
        <v>-85.78962277690195</v>
      </c>
      <c r="C8" s="51">
        <f t="shared" ref="C8:C25" si="1">P8/O8*1000</f>
        <v>598.16693341746736</v>
      </c>
      <c r="D8" s="24">
        <f>C8/1000*$E$2</f>
        <v>11.365171734931881</v>
      </c>
      <c r="E8" s="24">
        <f t="shared" ref="E8:E25" si="2">C8/1000*M8</f>
        <v>6.4325573030764103</v>
      </c>
      <c r="F8" s="25">
        <f t="shared" ref="F8:F25" si="3">C8/1000*N8</f>
        <v>160.81393257691028</v>
      </c>
      <c r="G8" s="26">
        <v>-85.76</v>
      </c>
      <c r="H8" s="27">
        <v>587.41999999999996</v>
      </c>
      <c r="I8" s="27">
        <v>11.551</v>
      </c>
      <c r="J8" s="27">
        <v>9.9504000000000001</v>
      </c>
      <c r="K8" s="28">
        <v>158.22999999999999</v>
      </c>
      <c r="L8" s="19">
        <f t="shared" ref="L8:L25" si="4">2*PI()*A8</f>
        <v>94.248754061251447</v>
      </c>
      <c r="M8" s="19">
        <f t="shared" ref="M8:M25" si="5">L8*($C$1/1000)</f>
        <v>10.753782838388789</v>
      </c>
      <c r="N8" s="1">
        <f t="shared" ref="N8:N25" si="6">1/(L8*($C$2*10^-6))</f>
        <v>268.84457095971976</v>
      </c>
      <c r="O8" s="65">
        <f t="shared" ref="O8:O24" si="7">(32^2+(M8-N8)^2)^0.5</f>
        <v>260.06702004116119</v>
      </c>
      <c r="P8" s="19">
        <f t="shared" ref="P8:P25" si="8">$G$1</f>
        <v>155.56349186104043</v>
      </c>
    </row>
    <row r="9" spans="1:16" x14ac:dyDescent="0.2">
      <c r="A9" s="12">
        <f t="shared" ref="A9:A15" si="9" xml:space="preserve"> A8 + ($A$16-$A$7) / 9</f>
        <v>22.500232633650771</v>
      </c>
      <c r="B9" s="23">
        <f t="shared" si="0"/>
        <v>-83.35535600511426</v>
      </c>
      <c r="C9" s="51">
        <f t="shared" si="1"/>
        <v>935.95335845123941</v>
      </c>
      <c r="D9" s="24">
        <f t="shared" ref="D9:D25" si="10">C9/1000*$E$2</f>
        <v>17.78311381057355</v>
      </c>
      <c r="E9" s="24">
        <f t="shared" si="2"/>
        <v>15.097558745467934</v>
      </c>
      <c r="F9" s="25">
        <f t="shared" si="3"/>
        <v>167.75065272742145</v>
      </c>
      <c r="G9" s="26">
        <v>-83.35</v>
      </c>
      <c r="H9" s="27">
        <v>936.57</v>
      </c>
      <c r="I9" s="27">
        <v>17.97</v>
      </c>
      <c r="J9" s="27">
        <v>19.789000000000001</v>
      </c>
      <c r="K9" s="28">
        <v>165.13</v>
      </c>
      <c r="L9" s="19">
        <f t="shared" si="4"/>
        <v>141.37313109187718</v>
      </c>
      <c r="M9" s="19">
        <f t="shared" si="5"/>
        <v>16.130674257583184</v>
      </c>
      <c r="N9" s="1">
        <f t="shared" si="6"/>
        <v>179.22971397314646</v>
      </c>
      <c r="O9" s="65">
        <f t="shared" si="7"/>
        <v>166.20859411034942</v>
      </c>
      <c r="P9" s="19">
        <f t="shared" si="8"/>
        <v>155.56349186104043</v>
      </c>
    </row>
    <row r="10" spans="1:16" x14ac:dyDescent="0.2">
      <c r="A10" s="12">
        <f t="shared" si="9"/>
        <v>30.00031017820103</v>
      </c>
      <c r="B10" s="23">
        <f t="shared" si="0"/>
        <v>-80.448398585323417</v>
      </c>
      <c r="C10" s="51">
        <f t="shared" si="1"/>
        <v>1325.506427523911</v>
      </c>
      <c r="D10" s="24">
        <f t="shared" si="10"/>
        <v>25.184622122954309</v>
      </c>
      <c r="E10" s="24">
        <f t="shared" si="2"/>
        <v>28.508416544961335</v>
      </c>
      <c r="F10" s="25">
        <f t="shared" si="3"/>
        <v>178.17760340600836</v>
      </c>
      <c r="G10" s="26">
        <v>-80.44</v>
      </c>
      <c r="H10" s="27">
        <v>1315.5</v>
      </c>
      <c r="I10" s="27">
        <v>25.321000000000002</v>
      </c>
      <c r="J10" s="27">
        <v>33.140999999999998</v>
      </c>
      <c r="K10" s="28">
        <v>176.57</v>
      </c>
      <c r="L10" s="19">
        <f t="shared" si="4"/>
        <v>188.49750812250289</v>
      </c>
      <c r="M10" s="19">
        <f t="shared" si="5"/>
        <v>21.507565676777578</v>
      </c>
      <c r="N10" s="1">
        <f t="shared" si="6"/>
        <v>134.42228547985988</v>
      </c>
      <c r="O10" s="65">
        <f t="shared" si="7"/>
        <v>117.36155225715358</v>
      </c>
      <c r="P10" s="19">
        <f t="shared" si="8"/>
        <v>155.56349186104043</v>
      </c>
    </row>
    <row r="11" spans="1:16" x14ac:dyDescent="0.2">
      <c r="A11" s="12">
        <f t="shared" si="9"/>
        <v>37.500387722751285</v>
      </c>
      <c r="B11" s="23">
        <f t="shared" si="0"/>
        <v>-76.744176679999512</v>
      </c>
      <c r="C11" s="51">
        <f t="shared" si="1"/>
        <v>1792.8336971646415</v>
      </c>
      <c r="D11" s="24">
        <f t="shared" si="10"/>
        <v>34.063840246128187</v>
      </c>
      <c r="E11" s="24">
        <f t="shared" si="2"/>
        <v>48.199360611635612</v>
      </c>
      <c r="F11" s="25">
        <f t="shared" si="3"/>
        <v>192.79744244654248</v>
      </c>
      <c r="G11" s="26">
        <v>-76.73</v>
      </c>
      <c r="H11" s="27">
        <v>1802.3</v>
      </c>
      <c r="I11" s="27">
        <v>34.853999999999999</v>
      </c>
      <c r="J11" s="27">
        <v>54.866999999999997</v>
      </c>
      <c r="K11" s="28">
        <v>192.13</v>
      </c>
      <c r="L11" s="19">
        <f t="shared" si="4"/>
        <v>235.6218851531286</v>
      </c>
      <c r="M11" s="19">
        <f t="shared" si="5"/>
        <v>26.884457095971971</v>
      </c>
      <c r="N11" s="1">
        <f t="shared" si="6"/>
        <v>107.5378283838879</v>
      </c>
      <c r="O11" s="65">
        <f t="shared" si="7"/>
        <v>86.769616226571046</v>
      </c>
      <c r="P11" s="19">
        <f t="shared" si="8"/>
        <v>155.56349186104043</v>
      </c>
    </row>
    <row r="12" spans="1:16" x14ac:dyDescent="0.2">
      <c r="A12" s="12">
        <f t="shared" si="9"/>
        <v>45.000465267301543</v>
      </c>
      <c r="B12" s="23">
        <f t="shared" si="0"/>
        <v>-71.671062192575477</v>
      </c>
      <c r="C12" s="51">
        <f t="shared" si="1"/>
        <v>2368.6263742082901</v>
      </c>
      <c r="D12" s="24">
        <f t="shared" si="10"/>
        <v>45.003901109957511</v>
      </c>
      <c r="E12" s="24">
        <f t="shared" si="2"/>
        <v>76.415080960548522</v>
      </c>
      <c r="F12" s="25">
        <f t="shared" si="3"/>
        <v>212.2641137793014</v>
      </c>
      <c r="G12" s="26">
        <v>-71.680000000000007</v>
      </c>
      <c r="H12" s="27">
        <v>2328.1999999999998</v>
      </c>
      <c r="I12" s="27">
        <v>45.180999999999997</v>
      </c>
      <c r="J12" s="27">
        <v>82.08</v>
      </c>
      <c r="K12" s="28">
        <v>210.13</v>
      </c>
      <c r="L12" s="19">
        <f t="shared" si="4"/>
        <v>282.74626218375437</v>
      </c>
      <c r="M12" s="19">
        <f t="shared" si="5"/>
        <v>32.261348515166368</v>
      </c>
      <c r="N12" s="1">
        <f t="shared" si="6"/>
        <v>89.61485698657323</v>
      </c>
      <c r="O12" s="65">
        <f t="shared" si="7"/>
        <v>65.67666963221977</v>
      </c>
      <c r="P12" s="19">
        <f t="shared" si="8"/>
        <v>155.56349186104043</v>
      </c>
    </row>
    <row r="13" spans="1:16" x14ac:dyDescent="0.2">
      <c r="A13" s="12">
        <f t="shared" si="9"/>
        <v>52.500542811851801</v>
      </c>
      <c r="B13" s="23">
        <f t="shared" si="0"/>
        <v>-64.126176547472198</v>
      </c>
      <c r="C13" s="51">
        <f t="shared" si="1"/>
        <v>3075.4098649813177</v>
      </c>
      <c r="D13" s="24">
        <f t="shared" si="10"/>
        <v>58.432787434645036</v>
      </c>
      <c r="E13" s="24">
        <f t="shared" si="2"/>
        <v>115.75301439466689</v>
      </c>
      <c r="F13" s="25">
        <f t="shared" si="3"/>
        <v>236.23064162176911</v>
      </c>
      <c r="G13" s="26">
        <v>-64.13</v>
      </c>
      <c r="H13" s="27">
        <v>3078.1</v>
      </c>
      <c r="I13" s="27">
        <v>59.734000000000002</v>
      </c>
      <c r="J13" s="27">
        <v>124.82</v>
      </c>
      <c r="K13" s="28">
        <v>234.87</v>
      </c>
      <c r="L13" s="19">
        <f t="shared" si="4"/>
        <v>329.87063921438011</v>
      </c>
      <c r="M13" s="19">
        <f t="shared" si="5"/>
        <v>37.638239934360769</v>
      </c>
      <c r="N13" s="1">
        <f t="shared" si="6"/>
        <v>76.812734559919917</v>
      </c>
      <c r="O13" s="65">
        <f t="shared" si="7"/>
        <v>50.583011270267043</v>
      </c>
      <c r="P13" s="19">
        <f t="shared" si="8"/>
        <v>155.56349186104043</v>
      </c>
    </row>
    <row r="14" spans="1:16" x14ac:dyDescent="0.2">
      <c r="A14" s="12">
        <f t="shared" si="9"/>
        <v>60.000620356402059</v>
      </c>
      <c r="B14" s="23">
        <f t="shared" si="0"/>
        <v>-51.85910460943429</v>
      </c>
      <c r="C14" s="51">
        <f t="shared" si="1"/>
        <v>3877.6566149810205</v>
      </c>
      <c r="D14" s="24">
        <f t="shared" si="10"/>
        <v>73.67547568463938</v>
      </c>
      <c r="E14" s="24">
        <f t="shared" si="2"/>
        <v>166.79790863739063</v>
      </c>
      <c r="F14" s="25">
        <f t="shared" si="3"/>
        <v>260.62173224592289</v>
      </c>
      <c r="G14" s="26">
        <v>-51.85</v>
      </c>
      <c r="H14" s="27">
        <v>3822.4</v>
      </c>
      <c r="I14" s="27">
        <v>74.512</v>
      </c>
      <c r="J14" s="27">
        <v>172.42</v>
      </c>
      <c r="K14" s="28">
        <v>255.71</v>
      </c>
      <c r="L14" s="19">
        <f t="shared" si="4"/>
        <v>376.99501624500579</v>
      </c>
      <c r="M14" s="19">
        <f t="shared" si="5"/>
        <v>43.015131353555155</v>
      </c>
      <c r="N14" s="1">
        <f t="shared" si="6"/>
        <v>67.21114273992994</v>
      </c>
      <c r="O14" s="65">
        <f t="shared" si="7"/>
        <v>40.117913293310487</v>
      </c>
      <c r="P14" s="19">
        <f t="shared" si="8"/>
        <v>155.56349186104043</v>
      </c>
    </row>
    <row r="15" spans="1:16" ht="15" thickBot="1" x14ac:dyDescent="0.25">
      <c r="A15" s="12">
        <f t="shared" si="9"/>
        <v>67.500697900952318</v>
      </c>
      <c r="B15" s="66">
        <f t="shared" si="0"/>
        <v>-30.855462080057084</v>
      </c>
      <c r="C15" s="67">
        <f t="shared" si="1"/>
        <v>4581.6431958510639</v>
      </c>
      <c r="D15" s="69">
        <f t="shared" si="10"/>
        <v>87.05122072117021</v>
      </c>
      <c r="E15" s="69">
        <f t="shared" si="2"/>
        <v>221.71498187023775</v>
      </c>
      <c r="F15" s="70">
        <f t="shared" si="3"/>
        <v>273.72219983979971</v>
      </c>
      <c r="G15" s="26">
        <v>-30.84</v>
      </c>
      <c r="H15" s="30">
        <v>4588.1000000000004</v>
      </c>
      <c r="I15" s="30">
        <v>87.429000000000002</v>
      </c>
      <c r="J15" s="30">
        <v>233.25</v>
      </c>
      <c r="K15" s="31">
        <v>274.32</v>
      </c>
      <c r="L15" s="19">
        <f t="shared" si="4"/>
        <v>424.11939327563152</v>
      </c>
      <c r="M15" s="19">
        <f t="shared" si="5"/>
        <v>48.392022772749556</v>
      </c>
      <c r="N15" s="1">
        <f t="shared" si="6"/>
        <v>59.743237991048836</v>
      </c>
      <c r="O15" s="65">
        <f t="shared" si="7"/>
        <v>33.953646150776635</v>
      </c>
      <c r="P15" s="19">
        <f t="shared" si="8"/>
        <v>155.56349186104043</v>
      </c>
    </row>
    <row r="16" spans="1:16" ht="15.75" thickTop="1" thickBot="1" x14ac:dyDescent="0.25">
      <c r="A16" s="3">
        <f>G2</f>
        <v>75.000775445502569</v>
      </c>
      <c r="B16" s="35">
        <f t="shared" si="0"/>
        <v>-2.1426894696175268E-14</v>
      </c>
      <c r="C16" s="60">
        <f t="shared" si="1"/>
        <v>4861.3591206575138</v>
      </c>
      <c r="D16" s="33">
        <f t="shared" si="10"/>
        <v>92.365823292492763</v>
      </c>
      <c r="E16" s="33">
        <f t="shared" si="2"/>
        <v>261.39000141485792</v>
      </c>
      <c r="F16" s="34">
        <f t="shared" si="3"/>
        <v>261.39000141485792</v>
      </c>
      <c r="G16" s="35">
        <v>0</v>
      </c>
      <c r="H16" s="33">
        <v>4847.8</v>
      </c>
      <c r="I16" s="33">
        <v>92.438000000000002</v>
      </c>
      <c r="J16" s="33">
        <v>267.14</v>
      </c>
      <c r="K16" s="34">
        <v>260.45999999999998</v>
      </c>
      <c r="L16" s="19">
        <f t="shared" si="4"/>
        <v>471.2437703062572</v>
      </c>
      <c r="M16" s="19">
        <f t="shared" si="5"/>
        <v>53.768914191943942</v>
      </c>
      <c r="N16" s="1">
        <f t="shared" si="6"/>
        <v>53.768914191943949</v>
      </c>
      <c r="O16" s="65">
        <f t="shared" si="7"/>
        <v>32</v>
      </c>
      <c r="P16" s="19">
        <f t="shared" si="8"/>
        <v>155.56349186104043</v>
      </c>
    </row>
    <row r="17" spans="1:16" ht="15" thickTop="1" x14ac:dyDescent="0.2">
      <c r="A17" s="11">
        <f xml:space="preserve"> A16 + ($A$25-$A$16) / 9</f>
        <v>83.3341949394473</v>
      </c>
      <c r="B17" s="23">
        <f t="shared" si="0"/>
        <v>30.855462080057066</v>
      </c>
      <c r="C17" s="51">
        <f t="shared" si="1"/>
        <v>4581.6431958510639</v>
      </c>
      <c r="D17" s="24">
        <f t="shared" si="10"/>
        <v>87.05122072117021</v>
      </c>
      <c r="E17" s="24">
        <f t="shared" si="2"/>
        <v>273.72219983979966</v>
      </c>
      <c r="F17" s="25">
        <f t="shared" si="3"/>
        <v>221.71498187023775</v>
      </c>
      <c r="G17" s="26">
        <v>30.75</v>
      </c>
      <c r="H17" s="24">
        <v>4552.5</v>
      </c>
      <c r="I17" s="24">
        <v>86.876000000000005</v>
      </c>
      <c r="J17" s="24">
        <v>280.64999999999998</v>
      </c>
      <c r="K17" s="25">
        <v>223.76</v>
      </c>
      <c r="L17" s="19">
        <f t="shared" si="4"/>
        <v>523.60418922917472</v>
      </c>
      <c r="M17" s="19">
        <f t="shared" si="5"/>
        <v>59.743237991048829</v>
      </c>
      <c r="N17" s="1">
        <f t="shared" si="6"/>
        <v>48.392022772749556</v>
      </c>
      <c r="O17" s="65">
        <f t="shared" si="7"/>
        <v>33.953646150776635</v>
      </c>
      <c r="P17" s="19">
        <f t="shared" si="8"/>
        <v>155.56349186104043</v>
      </c>
    </row>
    <row r="18" spans="1:16" x14ac:dyDescent="0.2">
      <c r="A18" s="12">
        <f t="shared" ref="A18:A24" si="11" xml:space="preserve"> A17 + ($A$25-$A$16) / 9</f>
        <v>91.667614433392032</v>
      </c>
      <c r="B18" s="23">
        <f t="shared" si="0"/>
        <v>48.827837971675912</v>
      </c>
      <c r="C18" s="51">
        <f t="shared" si="1"/>
        <v>4022.0419741168944</v>
      </c>
      <c r="D18" s="24">
        <f t="shared" si="10"/>
        <v>76.41879750822099</v>
      </c>
      <c r="E18" s="24">
        <f t="shared" si="2"/>
        <v>264.31879195661884</v>
      </c>
      <c r="F18" s="25">
        <f t="shared" si="3"/>
        <v>176.94067891310848</v>
      </c>
      <c r="G18" s="26">
        <v>48.8</v>
      </c>
      <c r="H18" s="27">
        <v>3973</v>
      </c>
      <c r="I18" s="27">
        <v>75.885999999999996</v>
      </c>
      <c r="J18" s="27">
        <v>268.08999999999997</v>
      </c>
      <c r="K18" s="28">
        <v>174.18</v>
      </c>
      <c r="L18" s="19">
        <f t="shared" si="4"/>
        <v>575.96460815209218</v>
      </c>
      <c r="M18" s="19">
        <f t="shared" si="5"/>
        <v>65.717561790153709</v>
      </c>
      <c r="N18" s="1">
        <f t="shared" si="6"/>
        <v>43.99274797522687</v>
      </c>
      <c r="O18" s="65">
        <f t="shared" si="7"/>
        <v>38.677739531844878</v>
      </c>
      <c r="P18" s="19">
        <f t="shared" si="8"/>
        <v>155.56349186104043</v>
      </c>
    </row>
    <row r="19" spans="1:16" x14ac:dyDescent="0.2">
      <c r="A19" s="12">
        <f t="shared" si="11"/>
        <v>100.00103392733676</v>
      </c>
      <c r="B19" s="23">
        <f t="shared" si="0"/>
        <v>58.793906224276633</v>
      </c>
      <c r="C19" s="51">
        <f t="shared" si="1"/>
        <v>3471.7630675033261</v>
      </c>
      <c r="D19" s="24">
        <f t="shared" si="10"/>
        <v>65.963498282563194</v>
      </c>
      <c r="E19" s="24">
        <f t="shared" si="2"/>
        <v>248.8972406284619</v>
      </c>
      <c r="F19" s="25">
        <f t="shared" si="3"/>
        <v>140.00469785350987</v>
      </c>
      <c r="G19" s="26">
        <v>58.77</v>
      </c>
      <c r="H19" s="27">
        <v>3447.3</v>
      </c>
      <c r="I19" s="27">
        <v>65.902000000000001</v>
      </c>
      <c r="J19" s="27">
        <v>251.47</v>
      </c>
      <c r="K19" s="28">
        <v>138.85</v>
      </c>
      <c r="L19" s="19">
        <f t="shared" si="4"/>
        <v>628.32502707500964</v>
      </c>
      <c r="M19" s="19">
        <f t="shared" si="5"/>
        <v>71.69188558925859</v>
      </c>
      <c r="N19" s="1">
        <f t="shared" si="6"/>
        <v>40.326685643957966</v>
      </c>
      <c r="O19" s="65">
        <f t="shared" si="7"/>
        <v>44.808210939611129</v>
      </c>
      <c r="P19" s="19">
        <f t="shared" si="8"/>
        <v>155.56349186104043</v>
      </c>
    </row>
    <row r="20" spans="1:16" x14ac:dyDescent="0.2">
      <c r="A20" s="12">
        <f t="shared" si="11"/>
        <v>108.33445342128149</v>
      </c>
      <c r="B20" s="23">
        <f t="shared" si="0"/>
        <v>64.835226756106835</v>
      </c>
      <c r="C20" s="51">
        <f t="shared" si="1"/>
        <v>3016.5182847296005</v>
      </c>
      <c r="D20" s="24">
        <f t="shared" si="10"/>
        <v>57.313847409862404</v>
      </c>
      <c r="E20" s="24">
        <f t="shared" si="2"/>
        <v>234.28154072563621</v>
      </c>
      <c r="F20" s="25">
        <f t="shared" si="3"/>
        <v>112.28878579157713</v>
      </c>
      <c r="G20" s="26">
        <v>64.52</v>
      </c>
      <c r="H20" s="27">
        <v>3004.9</v>
      </c>
      <c r="I20" s="27">
        <v>57.500999999999998</v>
      </c>
      <c r="J20" s="27">
        <v>236.65</v>
      </c>
      <c r="K20" s="28">
        <v>112.27</v>
      </c>
      <c r="L20" s="19">
        <f t="shared" si="4"/>
        <v>680.6854459979271</v>
      </c>
      <c r="M20" s="19">
        <f t="shared" si="5"/>
        <v>77.666209388363484</v>
      </c>
      <c r="N20" s="1">
        <f t="shared" si="6"/>
        <v>37.224632902115047</v>
      </c>
      <c r="O20" s="65">
        <f t="shared" si="7"/>
        <v>51.570544971844946</v>
      </c>
      <c r="P20" s="19">
        <f t="shared" si="8"/>
        <v>155.56349186104043</v>
      </c>
    </row>
    <row r="21" spans="1:16" x14ac:dyDescent="0.2">
      <c r="A21" s="12">
        <f t="shared" si="11"/>
        <v>116.66787291522623</v>
      </c>
      <c r="B21" s="23">
        <f t="shared" si="0"/>
        <v>68.835387292033673</v>
      </c>
      <c r="C21" s="51">
        <f t="shared" si="1"/>
        <v>2655.2949482844015</v>
      </c>
      <c r="D21" s="24">
        <f t="shared" si="10"/>
        <v>50.450604017403627</v>
      </c>
      <c r="E21" s="24">
        <f t="shared" si="2"/>
        <v>222.0902852444986</v>
      </c>
      <c r="F21" s="25">
        <f t="shared" si="3"/>
        <v>91.782209718389709</v>
      </c>
      <c r="G21" s="26">
        <v>68.86</v>
      </c>
      <c r="H21" s="27">
        <v>2610.1</v>
      </c>
      <c r="I21" s="27">
        <v>50.021000000000001</v>
      </c>
      <c r="J21" s="27">
        <v>223.22</v>
      </c>
      <c r="K21" s="28">
        <v>90.293000000000006</v>
      </c>
      <c r="L21" s="19">
        <f t="shared" si="4"/>
        <v>733.04586492084468</v>
      </c>
      <c r="M21" s="19">
        <f t="shared" si="5"/>
        <v>83.640533187468378</v>
      </c>
      <c r="N21" s="1">
        <f t="shared" si="6"/>
        <v>34.565730551963966</v>
      </c>
      <c r="O21" s="65">
        <f t="shared" si="7"/>
        <v>58.586143871343083</v>
      </c>
      <c r="P21" s="19">
        <f t="shared" si="8"/>
        <v>155.56349186104043</v>
      </c>
    </row>
    <row r="22" spans="1:16" x14ac:dyDescent="0.2">
      <c r="A22" s="12">
        <f t="shared" si="11"/>
        <v>125.00129240917096</v>
      </c>
      <c r="B22" s="23">
        <f t="shared" si="0"/>
        <v>71.671062192575477</v>
      </c>
      <c r="C22" s="51">
        <f t="shared" si="1"/>
        <v>2368.6263742082892</v>
      </c>
      <c r="D22" s="24">
        <f t="shared" si="10"/>
        <v>45.003901109957496</v>
      </c>
      <c r="E22" s="24">
        <f t="shared" si="2"/>
        <v>212.2641137793014</v>
      </c>
      <c r="F22" s="25">
        <f t="shared" si="3"/>
        <v>76.415080960548494</v>
      </c>
      <c r="G22" s="26">
        <v>71.59</v>
      </c>
      <c r="H22" s="27">
        <v>2351.8000000000002</v>
      </c>
      <c r="I22" s="27">
        <v>45.104999999999997</v>
      </c>
      <c r="J22" s="27">
        <v>212.07</v>
      </c>
      <c r="K22" s="28">
        <v>75.207999999999998</v>
      </c>
      <c r="L22" s="19">
        <f t="shared" si="4"/>
        <v>785.40628384376214</v>
      </c>
      <c r="M22" s="19">
        <f t="shared" si="5"/>
        <v>89.614856986573258</v>
      </c>
      <c r="N22" s="1">
        <f t="shared" si="6"/>
        <v>32.261348515166368</v>
      </c>
      <c r="O22" s="65">
        <f t="shared" si="7"/>
        <v>65.676669632219799</v>
      </c>
      <c r="P22" s="19">
        <f t="shared" si="8"/>
        <v>155.56349186104043</v>
      </c>
    </row>
    <row r="23" spans="1:16" x14ac:dyDescent="0.2">
      <c r="A23" s="12">
        <f t="shared" si="11"/>
        <v>133.33471190311568</v>
      </c>
      <c r="B23" s="23">
        <f t="shared" si="0"/>
        <v>73.787253786327696</v>
      </c>
      <c r="C23" s="51">
        <f t="shared" si="1"/>
        <v>2138.0677010318936</v>
      </c>
      <c r="D23" s="24">
        <f t="shared" si="10"/>
        <v>40.623286319605981</v>
      </c>
      <c r="E23" s="24">
        <f t="shared" si="2"/>
        <v>204.3761400059569</v>
      </c>
      <c r="F23" s="25">
        <f t="shared" si="3"/>
        <v>64.665888048759811</v>
      </c>
      <c r="G23" s="26">
        <v>73.81</v>
      </c>
      <c r="H23" s="27">
        <v>2129.9</v>
      </c>
      <c r="I23" s="27">
        <v>40.881999999999998</v>
      </c>
      <c r="J23" s="27">
        <v>203.74</v>
      </c>
      <c r="K23" s="28">
        <v>63.936999999999998</v>
      </c>
      <c r="L23" s="19">
        <f t="shared" si="4"/>
        <v>837.76670276667949</v>
      </c>
      <c r="M23" s="19">
        <f t="shared" si="5"/>
        <v>95.589180785678124</v>
      </c>
      <c r="N23" s="1">
        <f t="shared" si="6"/>
        <v>30.245014232968476</v>
      </c>
      <c r="O23" s="65">
        <f t="shared" si="7"/>
        <v>72.758917683458279</v>
      </c>
      <c r="P23" s="19">
        <f t="shared" si="8"/>
        <v>155.56349186104043</v>
      </c>
    </row>
    <row r="24" spans="1:16" x14ac:dyDescent="0.2">
      <c r="A24" s="12">
        <f t="shared" si="11"/>
        <v>141.66813139706039</v>
      </c>
      <c r="B24" s="29">
        <f t="shared" si="0"/>
        <v>75.429732586981629</v>
      </c>
      <c r="C24" s="51">
        <f t="shared" si="1"/>
        <v>1949.5365270938216</v>
      </c>
      <c r="D24" s="24">
        <f t="shared" si="10"/>
        <v>37.041194014782612</v>
      </c>
      <c r="E24" s="24">
        <f t="shared" si="2"/>
        <v>198.00176200769525</v>
      </c>
      <c r="F24" s="25">
        <f t="shared" si="3"/>
        <v>55.495303538489011</v>
      </c>
      <c r="G24" s="26">
        <v>75.459999999999994</v>
      </c>
      <c r="H24" s="27">
        <v>1914.9</v>
      </c>
      <c r="I24" s="27">
        <v>36.798999999999999</v>
      </c>
      <c r="J24" s="27">
        <v>197.55</v>
      </c>
      <c r="K24" s="28">
        <v>54.406999999999996</v>
      </c>
      <c r="L24" s="19">
        <f t="shared" si="4"/>
        <v>890.12712168959683</v>
      </c>
      <c r="M24" s="19">
        <f t="shared" si="5"/>
        <v>101.56350458478299</v>
      </c>
      <c r="N24" s="1">
        <f t="shared" si="6"/>
        <v>28.465895748676214</v>
      </c>
      <c r="O24" s="65">
        <f t="shared" si="7"/>
        <v>79.795115248719796</v>
      </c>
      <c r="P24" s="19">
        <f t="shared" si="8"/>
        <v>155.56349186104043</v>
      </c>
    </row>
    <row r="25" spans="1:16" ht="15" thickBot="1" x14ac:dyDescent="0.25">
      <c r="A25" s="14">
        <f xml:space="preserve"> 2 * A16</f>
        <v>150.00155089100514</v>
      </c>
      <c r="B25" s="39">
        <f t="shared" si="0"/>
        <v>76.744176679999512</v>
      </c>
      <c r="C25" s="68">
        <f t="shared" si="1"/>
        <v>1792.8336971646418</v>
      </c>
      <c r="D25" s="37">
        <f t="shared" si="10"/>
        <v>34.063840246128194</v>
      </c>
      <c r="E25" s="37">
        <f t="shared" si="2"/>
        <v>192.79744244654245</v>
      </c>
      <c r="F25" s="38">
        <f t="shared" si="3"/>
        <v>48.199360611635619</v>
      </c>
      <c r="G25" s="39">
        <v>76.95</v>
      </c>
      <c r="H25" s="37">
        <v>1766.6</v>
      </c>
      <c r="I25" s="37">
        <v>33.994</v>
      </c>
      <c r="J25" s="37">
        <v>192.08</v>
      </c>
      <c r="K25" s="38">
        <v>47.42</v>
      </c>
      <c r="L25" s="19">
        <f t="shared" si="4"/>
        <v>942.48754061251441</v>
      </c>
      <c r="M25" s="19">
        <f t="shared" si="5"/>
        <v>107.53782838388788</v>
      </c>
      <c r="N25" s="1">
        <f t="shared" si="6"/>
        <v>26.884457095971975</v>
      </c>
      <c r="O25" s="65">
        <f>(32^2+(M25-N25)^2)^0.5</f>
        <v>86.769616226571031</v>
      </c>
      <c r="P25" s="19">
        <f t="shared" si="8"/>
        <v>155.56349186104043</v>
      </c>
    </row>
    <row r="26" spans="1:16" ht="15" thickTop="1" x14ac:dyDescent="0.2"/>
  </sheetData>
  <mergeCells count="8">
    <mergeCell ref="D6:F6"/>
    <mergeCell ref="I6:K6"/>
    <mergeCell ref="A1:A5"/>
    <mergeCell ref="N1:O1"/>
    <mergeCell ref="N2:O2"/>
    <mergeCell ref="B3:F3"/>
    <mergeCell ref="G3:K3"/>
    <mergeCell ref="N3:O3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0417-68F0-4A69-A843-C15F36556827}">
  <dimension ref="A1"/>
  <sheetViews>
    <sheetView topLeftCell="A13" workbookViewId="0">
      <selection activeCell="V17" sqref="V17"/>
    </sheetView>
  </sheetViews>
  <sheetFormatPr defaultRowHeight="14.25" x14ac:dyDescent="0.2"/>
  <sheetData/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CB865-459A-4C82-A63C-2516DCA26E76}">
  <dimension ref="A1:Z28"/>
  <sheetViews>
    <sheetView topLeftCell="A3" zoomScale="130" zoomScaleNormal="130" workbookViewId="0">
      <pane xSplit="1" topLeftCell="B1" activePane="topRight" state="frozen"/>
      <selection pane="topRight" activeCell="F25" sqref="F25"/>
    </sheetView>
  </sheetViews>
  <sheetFormatPr defaultColWidth="9.125" defaultRowHeight="14.25" x14ac:dyDescent="0.2"/>
  <cols>
    <col min="1" max="1" width="13.875" style="1" customWidth="1"/>
    <col min="2" max="2" width="9.125" style="1"/>
    <col min="3" max="3" width="12" style="1" bestFit="1" customWidth="1"/>
    <col min="4" max="7" width="9.125" style="1"/>
    <col min="8" max="8" width="10.125" style="1" bestFit="1" customWidth="1"/>
    <col min="9" max="16" width="9.125" style="1"/>
    <col min="17" max="17" width="20.375" style="1" bestFit="1" customWidth="1"/>
    <col min="18" max="18" width="9" style="1" customWidth="1"/>
    <col min="19" max="20" width="9.125" style="1"/>
    <col min="21" max="21" width="33.375" style="1" customWidth="1"/>
    <col min="22" max="22" width="13.125" style="1" bestFit="1" customWidth="1"/>
    <col min="23" max="23" width="9.125" style="1"/>
    <col min="24" max="24" width="25.375" style="1" customWidth="1"/>
    <col min="25" max="25" width="24" style="1" customWidth="1"/>
    <col min="26" max="26" width="36.875" style="1" customWidth="1"/>
    <col min="27" max="16384" width="9.125" style="1"/>
  </cols>
  <sheetData>
    <row r="1" spans="1:26" ht="15.75" thickTop="1" thickBot="1" x14ac:dyDescent="0.25">
      <c r="A1" s="80" t="s">
        <v>6</v>
      </c>
      <c r="B1" s="15" t="s">
        <v>15</v>
      </c>
      <c r="C1" s="61">
        <v>5.0309999999999998E-6</v>
      </c>
      <c r="D1" s="15" t="s">
        <v>13</v>
      </c>
      <c r="E1" s="18">
        <v>14</v>
      </c>
      <c r="F1" s="15" t="s">
        <v>10</v>
      </c>
      <c r="G1" s="17">
        <v>779</v>
      </c>
      <c r="H1" s="15" t="s">
        <v>16</v>
      </c>
      <c r="I1" s="17">
        <f>(-(E1+E2)^2/4/C2^2+1/C1/C2)^0.5/(2*PI())</f>
        <v>123.65075939128278</v>
      </c>
      <c r="K1" s="5" t="s">
        <v>7</v>
      </c>
      <c r="L1" s="72" t="s">
        <v>60</v>
      </c>
      <c r="M1" s="72"/>
    </row>
    <row r="2" spans="1:26" ht="16.5" thickTop="1" thickBot="1" x14ac:dyDescent="0.25">
      <c r="A2" s="81"/>
      <c r="B2" s="15" t="s">
        <v>11</v>
      </c>
      <c r="C2" s="61">
        <v>0.33362199999999997</v>
      </c>
      <c r="D2" s="15" t="s">
        <v>12</v>
      </c>
      <c r="E2" s="17">
        <v>45</v>
      </c>
      <c r="F2" s="15" t="s">
        <v>14</v>
      </c>
      <c r="G2" s="17">
        <f>115/2^0.5</f>
        <v>81.317279836452954</v>
      </c>
      <c r="H2" s="15" t="s">
        <v>17</v>
      </c>
      <c r="I2" s="17">
        <f>2*PI()*I1</f>
        <v>776.92063462890621</v>
      </c>
      <c r="K2" s="5" t="s">
        <v>8</v>
      </c>
      <c r="L2" s="72">
        <v>321793</v>
      </c>
      <c r="M2" s="72"/>
    </row>
    <row r="3" spans="1:26" ht="15.75" thickTop="1" thickBot="1" x14ac:dyDescent="0.25">
      <c r="A3" s="81"/>
      <c r="B3" s="86" t="s">
        <v>1</v>
      </c>
      <c r="C3" s="84"/>
      <c r="D3" s="84"/>
      <c r="E3" s="85"/>
      <c r="F3" s="87" t="s">
        <v>2</v>
      </c>
      <c r="G3" s="84"/>
      <c r="H3" s="84"/>
      <c r="I3" s="85"/>
      <c r="K3" s="5" t="s">
        <v>9</v>
      </c>
      <c r="L3" s="72">
        <v>72</v>
      </c>
      <c r="M3" s="72"/>
      <c r="S3" s="1" t="s">
        <v>42</v>
      </c>
    </row>
    <row r="4" spans="1:26" ht="16.5" thickTop="1" thickBot="1" x14ac:dyDescent="0.25">
      <c r="A4" s="82"/>
      <c r="B4" s="2" t="s">
        <v>19</v>
      </c>
      <c r="C4" s="9" t="s">
        <v>20</v>
      </c>
      <c r="D4" s="9" t="s">
        <v>21</v>
      </c>
      <c r="E4" s="10" t="s">
        <v>22</v>
      </c>
      <c r="F4" s="8" t="s">
        <v>18</v>
      </c>
      <c r="G4" s="9" t="s">
        <v>3</v>
      </c>
      <c r="H4" s="9" t="s">
        <v>4</v>
      </c>
      <c r="I4" s="10" t="s">
        <v>5</v>
      </c>
      <c r="J4" s="20" t="s">
        <v>35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37</v>
      </c>
      <c r="R4" s="1" t="s">
        <v>31</v>
      </c>
      <c r="S4" s="1" t="s">
        <v>38</v>
      </c>
      <c r="T4" s="1" t="s">
        <v>39</v>
      </c>
      <c r="U4" s="1" t="s">
        <v>40</v>
      </c>
      <c r="V4" s="1" t="s">
        <v>3</v>
      </c>
      <c r="W4" s="1" t="s">
        <v>41</v>
      </c>
      <c r="X4" s="1" t="s">
        <v>65</v>
      </c>
      <c r="Y4" s="1" t="s">
        <v>66</v>
      </c>
      <c r="Z4" s="1" t="s">
        <v>67</v>
      </c>
    </row>
    <row r="5" spans="1:26" ht="15.75" thickTop="1" thickBot="1" x14ac:dyDescent="0.25">
      <c r="A5" s="7" t="s">
        <v>0</v>
      </c>
      <c r="B5" s="6" t="s">
        <v>23</v>
      </c>
      <c r="C5" s="77" t="s">
        <v>24</v>
      </c>
      <c r="D5" s="84"/>
      <c r="E5" s="85"/>
      <c r="F5" s="4" t="s">
        <v>23</v>
      </c>
      <c r="G5" s="77" t="s">
        <v>24</v>
      </c>
      <c r="H5" s="84"/>
      <c r="I5" s="85"/>
      <c r="J5" s="1" t="s">
        <v>36</v>
      </c>
      <c r="K5" s="1" t="s">
        <v>32</v>
      </c>
      <c r="L5" s="1" t="s">
        <v>32</v>
      </c>
      <c r="M5" s="1" t="s">
        <v>33</v>
      </c>
      <c r="N5" s="1" t="s">
        <v>33</v>
      </c>
      <c r="O5" s="1" t="s">
        <v>33</v>
      </c>
      <c r="P5" s="1" t="s">
        <v>33</v>
      </c>
      <c r="Q5" s="1" t="s">
        <v>33</v>
      </c>
      <c r="R5" s="1" t="s">
        <v>34</v>
      </c>
    </row>
    <row r="6" spans="1:26" ht="15" thickTop="1" x14ac:dyDescent="0.2">
      <c r="A6" s="11">
        <f xml:space="preserve"> 0.1 * A15</f>
        <v>12.365075939128278</v>
      </c>
      <c r="B6" s="23">
        <v>28.920667588537366</v>
      </c>
      <c r="C6" s="24">
        <f>R6*Q6*1000</f>
        <v>98.530801991325433</v>
      </c>
      <c r="D6" s="24">
        <f>R6/IMABS(X6)*1000</f>
        <v>99.513745181384138</v>
      </c>
      <c r="E6" s="25">
        <f>R6/IMABS(Y6)*1000</f>
        <v>2.0199226387130058</v>
      </c>
      <c r="F6" s="26">
        <v>28.94</v>
      </c>
      <c r="G6" s="24">
        <v>96.766000000000005</v>
      </c>
      <c r="H6" s="24">
        <v>97.686000000000007</v>
      </c>
      <c r="I6" s="25">
        <v>1.9088000000000001</v>
      </c>
      <c r="J6" s="19">
        <f>2*PI()*A6</f>
        <v>77.692063462890616</v>
      </c>
      <c r="K6" s="19">
        <f>1/J6/$C$1</f>
        <v>2558.4034168824273</v>
      </c>
      <c r="L6" s="19">
        <f>J6*$C$2</f>
        <v>25.919781596616492</v>
      </c>
      <c r="M6" s="22">
        <f>$E$2/($E$2^2+L6^2)</f>
        <v>1.6686226149617012E-2</v>
      </c>
      <c r="N6" s="21">
        <f>$E$1/($E$1^2+K6^2)</f>
        <v>2.1388335026465326E-6</v>
      </c>
      <c r="O6" s="19">
        <f>L6/($E$2^2+L6^2)</f>
        <v>9.6111852771071961E-3</v>
      </c>
      <c r="P6" s="19">
        <f>K6/($E$1^2+K6^2)</f>
        <v>3.9085706723667851E-4</v>
      </c>
      <c r="Q6" s="63">
        <f>((M6+N6)^2+(O6-P6)^2)^0.5</f>
        <v>1.9066094988422471E-2</v>
      </c>
      <c r="R6" s="19">
        <f>IMABS(IMPRODUCT(IMDIV($G$2,U6),Z6))</f>
        <v>5.1678543535609371</v>
      </c>
      <c r="S6" s="1">
        <f>IMREAL(U6)</f>
        <v>824.90820208233697</v>
      </c>
      <c r="T6" s="1">
        <f>IMAGINARY(U6)</f>
        <v>25.3642996873789</v>
      </c>
      <c r="U6" s="1" t="str">
        <f>IMSUM(Z6,$G$1)</f>
        <v>824.908202082337+25.3642996873789j</v>
      </c>
      <c r="V6" s="1">
        <f>R6*Q6*1000</f>
        <v>98.530801991325433</v>
      </c>
      <c r="W6" s="1">
        <f>ATAN((O6-P6)/(M6+N6))*360/2/PI()</f>
        <v>28.920667588537366</v>
      </c>
      <c r="X6" s="71" t="str">
        <f>COMPLEX($E$2,L6,"j")</f>
        <v>45+25.9197815966165j</v>
      </c>
      <c r="Y6" s="71" t="str">
        <f>COMPLEX($E$1,-K6,"j")</f>
        <v>14-2558.40341688243j</v>
      </c>
      <c r="Z6" s="71" t="str">
        <f t="shared" ref="Z6:Z24" si="0">IMDIV(IMPRODUCT(X6,Y6),IMSUM(X6,Y6))</f>
        <v>45.908202082337+25.3642996873789j</v>
      </c>
    </row>
    <row r="7" spans="1:26" x14ac:dyDescent="0.2">
      <c r="A7" s="12">
        <f xml:space="preserve"> A6 + ($A$15-$A$6) / 9</f>
        <v>24.730151878256557</v>
      </c>
      <c r="B7" s="23">
        <v>46.914881324916678</v>
      </c>
      <c r="C7" s="24">
        <f t="shared" ref="C7:C24" si="1">R7*Q7*1000</f>
        <v>98.036137410744843</v>
      </c>
      <c r="D7" s="24">
        <f t="shared" ref="D7:D24" si="2">R7/IMABS(X7)*1000</f>
        <v>102.06510941962054</v>
      </c>
      <c r="E7" s="25">
        <f t="shared" ref="E7:E24" si="3">R7/IMABS(Y7)*1000</f>
        <v>5.4768467635567299</v>
      </c>
      <c r="F7" s="26">
        <v>46.97</v>
      </c>
      <c r="G7" s="27">
        <v>96.141000000000005</v>
      </c>
      <c r="H7" s="27">
        <v>100.22</v>
      </c>
      <c r="I7" s="28">
        <v>5.4988000000000001</v>
      </c>
      <c r="J7" s="19">
        <f t="shared" ref="J7:J24" si="4">2*PI()*A7</f>
        <v>155.38412692578123</v>
      </c>
      <c r="K7" s="19">
        <f t="shared" ref="K7:K24" si="5">1/J7/$C$1</f>
        <v>1279.2017084412137</v>
      </c>
      <c r="L7" s="19">
        <f t="shared" ref="L7:L24" si="6">J7*$C$2</f>
        <v>51.839563193232983</v>
      </c>
      <c r="M7" s="22">
        <f t="shared" ref="M7:M24" si="7">$E$2/($E$2^2+L7^2)</f>
        <v>9.5493952091670192E-3</v>
      </c>
      <c r="N7" s="21">
        <f t="shared" ref="N7:N24" si="8">$E$1/($E$1^2+K7^2)</f>
        <v>8.5545655453477926E-6</v>
      </c>
      <c r="O7" s="19">
        <f t="shared" ref="O7:O24" si="9">L7/($E$2^2+L7^2)</f>
        <v>1.1000810586728221E-2</v>
      </c>
      <c r="P7" s="19">
        <f t="shared" ref="P7:P24" si="10">K7/($E$1^2+K7^2)</f>
        <v>7.8164391861294574E-4</v>
      </c>
      <c r="Q7" s="63">
        <f t="shared" ref="Q7:Q24" si="11">((M7+N7)^2+(O7-P7)^2)^0.5</f>
        <v>1.3992346882729946E-2</v>
      </c>
      <c r="R7" s="19">
        <f t="shared" ref="R7:R24" si="12">IMABS(IMPRODUCT(IMDIV($G$2,U7),Z7))</f>
        <v>7.0064113070085439</v>
      </c>
      <c r="S7" s="1">
        <f t="shared" ref="S7:S24" si="13">IMREAL(U7)</f>
        <v>827.81840856922599</v>
      </c>
      <c r="T7" s="1">
        <f t="shared" ref="T7:T24" si="14">IMAGINARY(U7)</f>
        <v>52.195655490989502</v>
      </c>
      <c r="U7" s="1" t="str">
        <f t="shared" ref="U7:U24" si="15">IMSUM(Z7,$G$1)</f>
        <v>827.818408569226+52.1956554909895j</v>
      </c>
      <c r="V7" s="1">
        <f t="shared" ref="V7:V24" si="16">R7*Q7*1000</f>
        <v>98.036137410744843</v>
      </c>
      <c r="W7" s="1">
        <f t="shared" ref="W7:W24" si="17">ATAN((O7-P7)/(M7+N7))*360/2/PI()</f>
        <v>46.914881324916678</v>
      </c>
      <c r="X7" s="71" t="str">
        <f t="shared" ref="X7:X24" si="18">COMPLEX($E$2,L7,"j")</f>
        <v>45+51.839563193233j</v>
      </c>
      <c r="Y7" s="71" t="str">
        <f t="shared" ref="Y7:Y24" si="19">COMPLEX($E$1,-K7,"j")</f>
        <v>14-1279.20170844121j</v>
      </c>
      <c r="Z7" s="71" t="str">
        <f t="shared" si="0"/>
        <v>48.818408569226+52.1956554909895j</v>
      </c>
    </row>
    <row r="8" spans="1:26" x14ac:dyDescent="0.2">
      <c r="A8" s="12">
        <f t="shared" ref="A8:A14" si="20" xml:space="preserve"> A7 + ($A$15-$A$6) / 9</f>
        <v>37.095227817384838</v>
      </c>
      <c r="B8" s="23">
        <v>56.52893527081163</v>
      </c>
      <c r="C8" s="24">
        <f t="shared" si="1"/>
        <v>97.104784141651294</v>
      </c>
      <c r="D8" s="24">
        <f t="shared" si="2"/>
        <v>106.553336373227</v>
      </c>
      <c r="E8" s="25">
        <f t="shared" si="3"/>
        <v>11.223758553411788</v>
      </c>
      <c r="F8" s="26">
        <v>56.61</v>
      </c>
      <c r="G8" s="27">
        <v>95.962999999999994</v>
      </c>
      <c r="H8" s="27">
        <v>105.33</v>
      </c>
      <c r="I8" s="28">
        <v>11.102</v>
      </c>
      <c r="J8" s="19">
        <f t="shared" si="4"/>
        <v>233.07619038867188</v>
      </c>
      <c r="K8" s="19">
        <f t="shared" si="5"/>
        <v>852.80113896080911</v>
      </c>
      <c r="L8" s="19">
        <f t="shared" si="6"/>
        <v>77.759344789849479</v>
      </c>
      <c r="M8" s="22">
        <f t="shared" si="7"/>
        <v>5.575161055318501E-3</v>
      </c>
      <c r="N8" s="21">
        <f t="shared" si="8"/>
        <v>1.9244891422543509E-5</v>
      </c>
      <c r="O8" s="19">
        <f t="shared" si="9"/>
        <v>9.6337971279878316E-3</v>
      </c>
      <c r="P8" s="19">
        <f t="shared" si="10"/>
        <v>1.1722903803087293E-3</v>
      </c>
      <c r="Q8" s="63">
        <f t="shared" si="11"/>
        <v>1.0143691356599458E-2</v>
      </c>
      <c r="R8" s="19">
        <f t="shared" si="12"/>
        <v>9.5729237737971182</v>
      </c>
      <c r="S8" s="1">
        <f t="shared" si="13"/>
        <v>833.37032438074903</v>
      </c>
      <c r="T8" s="1">
        <f t="shared" si="14"/>
        <v>82.234802229396706</v>
      </c>
      <c r="U8" s="1" t="str">
        <f t="shared" si="15"/>
        <v>833.370324380749+82.2348022293967j</v>
      </c>
      <c r="V8" s="1">
        <f t="shared" si="16"/>
        <v>97.104784141651294</v>
      </c>
      <c r="W8" s="1">
        <f t="shared" si="17"/>
        <v>56.52893527081163</v>
      </c>
      <c r="X8" s="71" t="str">
        <f t="shared" si="18"/>
        <v>45+77.7593447898495j</v>
      </c>
      <c r="Y8" s="71" t="str">
        <f t="shared" si="19"/>
        <v>14-852.801138960809j</v>
      </c>
      <c r="Z8" s="71" t="str">
        <f t="shared" si="0"/>
        <v>54.3703243807491+82.2348022293967j</v>
      </c>
    </row>
    <row r="9" spans="1:26" x14ac:dyDescent="0.2">
      <c r="A9" s="12">
        <f t="shared" si="20"/>
        <v>49.460303756513113</v>
      </c>
      <c r="B9" s="23">
        <v>61.509134756452546</v>
      </c>
      <c r="C9" s="24">
        <f t="shared" si="1"/>
        <v>95.535404515171763</v>
      </c>
      <c r="D9" s="24">
        <f t="shared" si="2"/>
        <v>113.3600515294043</v>
      </c>
      <c r="E9" s="25">
        <f t="shared" si="3"/>
        <v>20.027031602557461</v>
      </c>
      <c r="F9" s="26">
        <v>61.55</v>
      </c>
      <c r="G9" s="27">
        <v>93.977999999999994</v>
      </c>
      <c r="H9" s="27">
        <v>111.33</v>
      </c>
      <c r="I9" s="28">
        <v>19.484000000000002</v>
      </c>
      <c r="J9" s="19">
        <f t="shared" si="4"/>
        <v>310.76825385156246</v>
      </c>
      <c r="K9" s="19">
        <f t="shared" si="5"/>
        <v>639.60085422060683</v>
      </c>
      <c r="L9" s="19">
        <f t="shared" si="6"/>
        <v>103.67912638646597</v>
      </c>
      <c r="M9" s="22">
        <f t="shared" si="7"/>
        <v>3.5226810268988362E-3</v>
      </c>
      <c r="N9" s="21">
        <f t="shared" si="8"/>
        <v>3.4205972257658912E-5</v>
      </c>
      <c r="O9" s="19">
        <f t="shared" si="9"/>
        <v>8.116188697934448E-3</v>
      </c>
      <c r="P9" s="19">
        <f t="shared" si="10"/>
        <v>1.5627263625317871E-3</v>
      </c>
      <c r="Q9" s="63">
        <f t="shared" si="11"/>
        <v>7.4564947332047245E-3</v>
      </c>
      <c r="R9" s="19">
        <f t="shared" si="12"/>
        <v>12.812374706005006</v>
      </c>
      <c r="S9" s="1">
        <f t="shared" si="13"/>
        <v>842.97357740681696</v>
      </c>
      <c r="T9" s="1">
        <f t="shared" si="14"/>
        <v>117.869482526705</v>
      </c>
      <c r="U9" s="1" t="str">
        <f t="shared" si="15"/>
        <v>842.973577406817+117.869482526705j</v>
      </c>
      <c r="V9" s="1">
        <f t="shared" si="16"/>
        <v>95.535404515171763</v>
      </c>
      <c r="W9" s="1">
        <f t="shared" si="17"/>
        <v>61.509134756452546</v>
      </c>
      <c r="X9" s="71" t="str">
        <f t="shared" si="18"/>
        <v>45+103.679126386466j</v>
      </c>
      <c r="Y9" s="71" t="str">
        <f t="shared" si="19"/>
        <v>14-639.600854220607j</v>
      </c>
      <c r="Z9" s="71" t="str">
        <f t="shared" si="0"/>
        <v>63.9735774068167+117.869482526705j</v>
      </c>
    </row>
    <row r="10" spans="1:26" x14ac:dyDescent="0.2">
      <c r="A10" s="12">
        <f t="shared" si="20"/>
        <v>61.825379695641388</v>
      </c>
      <c r="B10" s="23">
        <v>63.640859239611935</v>
      </c>
      <c r="C10" s="24">
        <f t="shared" si="1"/>
        <v>92.942752122083633</v>
      </c>
      <c r="D10" s="24">
        <f t="shared" si="2"/>
        <v>123.05625338365444</v>
      </c>
      <c r="E10" s="25">
        <f t="shared" si="3"/>
        <v>32.980869048617492</v>
      </c>
      <c r="F10" s="26">
        <v>63.59</v>
      </c>
      <c r="G10" s="27">
        <v>91.378</v>
      </c>
      <c r="H10" s="27">
        <v>121.61</v>
      </c>
      <c r="I10" s="28">
        <v>33.039000000000001</v>
      </c>
      <c r="J10" s="19">
        <f t="shared" si="4"/>
        <v>388.46031731445311</v>
      </c>
      <c r="K10" s="19">
        <f t="shared" si="5"/>
        <v>511.68068337648549</v>
      </c>
      <c r="L10" s="19">
        <f t="shared" si="6"/>
        <v>129.59890798308246</v>
      </c>
      <c r="M10" s="22">
        <f t="shared" si="7"/>
        <v>2.3909619152483619E-3</v>
      </c>
      <c r="N10" s="21">
        <f t="shared" si="8"/>
        <v>5.3432438448097733E-5</v>
      </c>
      <c r="O10" s="19">
        <f t="shared" si="9"/>
        <v>6.8859122943406006E-3</v>
      </c>
      <c r="P10" s="19">
        <f t="shared" si="10"/>
        <v>1.9528819013996176E-3</v>
      </c>
      <c r="Q10" s="63">
        <f t="shared" si="11"/>
        <v>5.5054384579307216E-3</v>
      </c>
      <c r="R10" s="19">
        <f t="shared" si="12"/>
        <v>16.881989115362334</v>
      </c>
      <c r="S10" s="1">
        <f t="shared" si="13"/>
        <v>859.64685713985796</v>
      </c>
      <c r="T10" s="1">
        <f t="shared" si="14"/>
        <v>162.75336128332799</v>
      </c>
      <c r="U10" s="1" t="str">
        <f t="shared" si="15"/>
        <v>859.646857139858+162.753361283328j</v>
      </c>
      <c r="V10" s="1">
        <f t="shared" si="16"/>
        <v>92.942752122083633</v>
      </c>
      <c r="W10" s="1">
        <f t="shared" si="17"/>
        <v>63.640859239611935</v>
      </c>
      <c r="X10" s="71" t="str">
        <f t="shared" si="18"/>
        <v>45+129.598907983082j</v>
      </c>
      <c r="Y10" s="71" t="str">
        <f t="shared" si="19"/>
        <v>14-511.680683376485j</v>
      </c>
      <c r="Z10" s="71" t="str">
        <f t="shared" si="0"/>
        <v>80.6468571398579+162.753361283328j</v>
      </c>
    </row>
    <row r="11" spans="1:26" x14ac:dyDescent="0.2">
      <c r="A11" s="12">
        <f t="shared" si="20"/>
        <v>74.190455634769663</v>
      </c>
      <c r="B11" s="23">
        <v>63.454968056481235</v>
      </c>
      <c r="C11" s="24">
        <f t="shared" si="1"/>
        <v>88.59873328556327</v>
      </c>
      <c r="D11" s="24">
        <f t="shared" si="2"/>
        <v>136.34359125403952</v>
      </c>
      <c r="E11" s="25">
        <f t="shared" si="3"/>
        <v>51.739867111230545</v>
      </c>
      <c r="F11" s="26">
        <v>63.42</v>
      </c>
      <c r="G11" s="27">
        <v>87.370999999999995</v>
      </c>
      <c r="H11" s="27">
        <v>134.72999999999999</v>
      </c>
      <c r="I11" s="28">
        <v>51.280999999999999</v>
      </c>
      <c r="J11" s="19">
        <f t="shared" si="4"/>
        <v>466.15238077734369</v>
      </c>
      <c r="K11" s="19">
        <f t="shared" si="5"/>
        <v>426.40056948040456</v>
      </c>
      <c r="L11" s="19">
        <f t="shared" si="6"/>
        <v>155.51868957969896</v>
      </c>
      <c r="M11" s="22">
        <f t="shared" si="7"/>
        <v>1.7168323287241128E-3</v>
      </c>
      <c r="N11" s="21">
        <f t="shared" si="8"/>
        <v>7.6917394480152464E-5</v>
      </c>
      <c r="O11" s="19">
        <f t="shared" si="9"/>
        <v>5.9333225331385997E-3</v>
      </c>
      <c r="P11" s="19">
        <f t="shared" si="10"/>
        <v>2.3426872006632811E-3</v>
      </c>
      <c r="Q11" s="63">
        <f t="shared" si="11"/>
        <v>4.0137513824744456E-3</v>
      </c>
      <c r="R11" s="19">
        <f t="shared" si="12"/>
        <v>22.073797015036554</v>
      </c>
      <c r="S11" s="1">
        <f t="shared" si="13"/>
        <v>890.34248521770905</v>
      </c>
      <c r="T11" s="1">
        <f t="shared" si="14"/>
        <v>222.879622645545</v>
      </c>
      <c r="U11" s="1" t="str">
        <f t="shared" si="15"/>
        <v>890.342485217709+222.879622645545j</v>
      </c>
      <c r="V11" s="1">
        <f t="shared" si="16"/>
        <v>88.59873328556327</v>
      </c>
      <c r="W11" s="1">
        <f t="shared" si="17"/>
        <v>63.454968056481235</v>
      </c>
      <c r="X11" s="71" t="str">
        <f t="shared" si="18"/>
        <v>45+155.518689579699j</v>
      </c>
      <c r="Y11" s="71" t="str">
        <f t="shared" si="19"/>
        <v>14-426.400569480405j</v>
      </c>
      <c r="Z11" s="71" t="str">
        <f t="shared" si="0"/>
        <v>111.342485217709+222.879622645545j</v>
      </c>
    </row>
    <row r="12" spans="1:26" x14ac:dyDescent="0.2">
      <c r="A12" s="12">
        <f t="shared" si="20"/>
        <v>86.555531573897937</v>
      </c>
      <c r="B12" s="23">
        <v>60.490098288254281</v>
      </c>
      <c r="C12" s="24">
        <f t="shared" si="1"/>
        <v>81.176389462045208</v>
      </c>
      <c r="D12" s="24">
        <f t="shared" si="2"/>
        <v>153.61981756971119</v>
      </c>
      <c r="E12" s="25">
        <f t="shared" si="3"/>
        <v>78.514504368742564</v>
      </c>
      <c r="F12" s="26">
        <v>60.43</v>
      </c>
      <c r="G12" s="27">
        <v>79.379000000000005</v>
      </c>
      <c r="H12" s="27">
        <v>152.56</v>
      </c>
      <c r="I12" s="28">
        <v>79.292000000000002</v>
      </c>
      <c r="J12" s="19">
        <f t="shared" si="4"/>
        <v>543.84444424023434</v>
      </c>
      <c r="K12" s="19">
        <f t="shared" si="5"/>
        <v>365.48620241177531</v>
      </c>
      <c r="L12" s="19">
        <f t="shared" si="6"/>
        <v>181.43847117631546</v>
      </c>
      <c r="M12" s="22">
        <f t="shared" si="7"/>
        <v>1.2877408652224782E-3</v>
      </c>
      <c r="N12" s="21">
        <f t="shared" si="8"/>
        <v>1.0465242510577808E-4</v>
      </c>
      <c r="O12" s="19">
        <f t="shared" si="9"/>
        <v>5.1921274190496027E-3</v>
      </c>
      <c r="P12" s="19">
        <f t="shared" si="10"/>
        <v>2.7320726732209689E-3</v>
      </c>
      <c r="Q12" s="63">
        <f t="shared" si="11"/>
        <v>2.826769963655538E-3</v>
      </c>
      <c r="R12" s="19">
        <f t="shared" si="12"/>
        <v>28.71701288245934</v>
      </c>
      <c r="S12" s="1">
        <f t="shared" si="13"/>
        <v>953.25328970989699</v>
      </c>
      <c r="T12" s="1">
        <f t="shared" si="14"/>
        <v>307.867493548482</v>
      </c>
      <c r="U12" s="1" t="str">
        <f t="shared" si="15"/>
        <v>953.253289709897+307.867493548482j</v>
      </c>
      <c r="V12" s="1">
        <f t="shared" si="16"/>
        <v>81.176389462045208</v>
      </c>
      <c r="W12" s="1">
        <f t="shared" si="17"/>
        <v>60.490098288254281</v>
      </c>
      <c r="X12" s="71" t="str">
        <f t="shared" si="18"/>
        <v>45+181.438471176315j</v>
      </c>
      <c r="Y12" s="71" t="str">
        <f t="shared" si="19"/>
        <v>14-365.486202411775j</v>
      </c>
      <c r="Z12" s="71" t="str">
        <f t="shared" si="0"/>
        <v>174.253289709897+307.867493548482j</v>
      </c>
    </row>
    <row r="13" spans="1:26" x14ac:dyDescent="0.2">
      <c r="A13" s="12">
        <f t="shared" si="20"/>
        <v>98.920607513026212</v>
      </c>
      <c r="B13" s="23">
        <v>52.575798376189411</v>
      </c>
      <c r="C13" s="24">
        <f t="shared" si="1"/>
        <v>68.740310536713807</v>
      </c>
      <c r="D13" s="24">
        <f t="shared" si="2"/>
        <v>173.2872548089808</v>
      </c>
      <c r="E13" s="25">
        <f t="shared" si="3"/>
        <v>114.86464278945138</v>
      </c>
      <c r="F13" s="26">
        <v>52.54</v>
      </c>
      <c r="G13" s="27">
        <v>67.397000000000006</v>
      </c>
      <c r="H13" s="27">
        <v>171.73</v>
      </c>
      <c r="I13" s="28">
        <v>114.78</v>
      </c>
      <c r="J13" s="19">
        <f t="shared" si="4"/>
        <v>621.53650770312493</v>
      </c>
      <c r="K13" s="19">
        <f t="shared" si="5"/>
        <v>319.80042711030342</v>
      </c>
      <c r="L13" s="19">
        <f t="shared" si="6"/>
        <v>207.35825277293193</v>
      </c>
      <c r="M13" s="22">
        <f t="shared" si="7"/>
        <v>9.9950147103191299E-4</v>
      </c>
      <c r="N13" s="21">
        <f t="shared" si="8"/>
        <v>1.3662760287091148E-4</v>
      </c>
      <c r="O13" s="19">
        <f t="shared" si="9"/>
        <v>4.605663970603394E-3</v>
      </c>
      <c r="P13" s="19">
        <f t="shared" si="10"/>
        <v>3.1209689823696002E-3</v>
      </c>
      <c r="Q13" s="63">
        <f t="shared" si="11"/>
        <v>1.869520922764395E-3</v>
      </c>
      <c r="R13" s="19">
        <f t="shared" si="12"/>
        <v>36.768944225063777</v>
      </c>
      <c r="S13" s="1">
        <f t="shared" si="13"/>
        <v>1104.06260683797</v>
      </c>
      <c r="T13" s="1">
        <f t="shared" si="14"/>
        <v>424.79224792360401</v>
      </c>
      <c r="U13" s="1" t="str">
        <f t="shared" si="15"/>
        <v>1104.06260683797+424.792247923604j</v>
      </c>
      <c r="V13" s="1">
        <f t="shared" si="16"/>
        <v>68.740310536713807</v>
      </c>
      <c r="W13" s="1">
        <f t="shared" si="17"/>
        <v>52.575798376189411</v>
      </c>
      <c r="X13" s="71" t="str">
        <f t="shared" si="18"/>
        <v>45+207.358252772932j</v>
      </c>
      <c r="Y13" s="71" t="str">
        <f t="shared" si="19"/>
        <v>14-319.800427110303j</v>
      </c>
      <c r="Z13" s="71" t="str">
        <f t="shared" si="0"/>
        <v>325.062606837969+424.792247923604j</v>
      </c>
    </row>
    <row r="14" spans="1:26" ht="15" thickBot="1" x14ac:dyDescent="0.25">
      <c r="A14" s="13">
        <f t="shared" si="20"/>
        <v>111.28568345215449</v>
      </c>
      <c r="B14" s="23">
        <v>32.735350362090806</v>
      </c>
      <c r="C14" s="69">
        <f t="shared" si="1"/>
        <v>51.479710319007168</v>
      </c>
      <c r="D14" s="69">
        <f t="shared" si="2"/>
        <v>187.89078178980395</v>
      </c>
      <c r="E14" s="70">
        <f t="shared" si="3"/>
        <v>156.84129269959161</v>
      </c>
      <c r="F14" s="26">
        <v>32.78</v>
      </c>
      <c r="G14" s="30">
        <v>50.79</v>
      </c>
      <c r="H14" s="30">
        <v>185.47</v>
      </c>
      <c r="I14" s="31">
        <v>154.97999999999999</v>
      </c>
      <c r="J14" s="19">
        <f t="shared" si="4"/>
        <v>699.22857116601551</v>
      </c>
      <c r="K14" s="19">
        <f>1/J14/$C$1</f>
        <v>284.26704632026974</v>
      </c>
      <c r="L14" s="19">
        <f t="shared" si="6"/>
        <v>233.27803436954841</v>
      </c>
      <c r="M14" s="22">
        <f t="shared" si="7"/>
        <v>7.9725543831270956E-4</v>
      </c>
      <c r="N14" s="21">
        <f t="shared" si="8"/>
        <v>1.7283149698278264E-4</v>
      </c>
      <c r="O14" s="19">
        <f t="shared" si="9"/>
        <v>4.1329373675560365E-3</v>
      </c>
      <c r="P14" s="19">
        <f t="shared" si="10"/>
        <v>3.5093070827433028E-3</v>
      </c>
      <c r="Q14" s="63">
        <f t="shared" si="11"/>
        <v>1.1532490599027653E-3</v>
      </c>
      <c r="R14" s="19">
        <f t="shared" si="12"/>
        <v>44.638848717854245</v>
      </c>
      <c r="S14" s="1">
        <f t="shared" si="13"/>
        <v>1508.3977801154099</v>
      </c>
      <c r="T14" s="1">
        <f t="shared" si="14"/>
        <v>468.90080548976499</v>
      </c>
      <c r="U14" s="1" t="str">
        <f t="shared" si="15"/>
        <v>1508.39778011541+468.900805489765j</v>
      </c>
      <c r="V14" s="1">
        <f t="shared" si="16"/>
        <v>51.479710319007168</v>
      </c>
      <c r="W14" s="1">
        <f t="shared" si="17"/>
        <v>32.735350362090806</v>
      </c>
      <c r="X14" s="71" t="str">
        <f t="shared" si="18"/>
        <v>45+233.278034369548j</v>
      </c>
      <c r="Y14" s="71" t="str">
        <f t="shared" si="19"/>
        <v>14-284.26704632027j</v>
      </c>
      <c r="Z14" s="71" t="str">
        <f t="shared" si="0"/>
        <v>729.397780115408+468.900805489765j</v>
      </c>
    </row>
    <row r="15" spans="1:26" ht="15.75" thickTop="1" thickBot="1" x14ac:dyDescent="0.25">
      <c r="A15" s="3">
        <f>I1</f>
        <v>123.65075939128278</v>
      </c>
      <c r="B15" s="32">
        <v>-9.9738820816848062</v>
      </c>
      <c r="C15" s="33">
        <f t="shared" si="1"/>
        <v>42.516182317870133</v>
      </c>
      <c r="D15" s="33">
        <f t="shared" si="2"/>
        <v>184.3395331006916</v>
      </c>
      <c r="E15" s="34">
        <f t="shared" si="3"/>
        <v>189.26919419960808</v>
      </c>
      <c r="F15" s="35">
        <v>-9.91</v>
      </c>
      <c r="G15" s="33">
        <v>42.155000000000001</v>
      </c>
      <c r="H15" s="33">
        <v>180.45</v>
      </c>
      <c r="I15" s="34">
        <v>187.92</v>
      </c>
      <c r="J15" s="19">
        <f t="shared" si="4"/>
        <v>776.92063462890621</v>
      </c>
      <c r="K15" s="19">
        <f t="shared" si="5"/>
        <v>255.84034168824275</v>
      </c>
      <c r="L15" s="19">
        <f t="shared" si="6"/>
        <v>259.19781596616491</v>
      </c>
      <c r="M15" s="22">
        <f t="shared" si="7"/>
        <v>6.5020907731433897E-4</v>
      </c>
      <c r="N15" s="21">
        <f t="shared" si="8"/>
        <v>2.1325118350146101E-4</v>
      </c>
      <c r="O15" s="19">
        <f t="shared" si="9"/>
        <v>3.7451727280278201E-3</v>
      </c>
      <c r="P15" s="19">
        <f t="shared" si="10"/>
        <v>3.8970182608882814E-3</v>
      </c>
      <c r="Q15" s="63">
        <f t="shared" si="11"/>
        <v>8.7671015042473804E-4</v>
      </c>
      <c r="R15" s="19">
        <f t="shared" si="12"/>
        <v>48.495140950828961</v>
      </c>
      <c r="S15" s="1">
        <f t="shared" si="13"/>
        <v>1902.38930561753</v>
      </c>
      <c r="T15" s="1">
        <f t="shared" si="14"/>
        <v>-197.55587542623999</v>
      </c>
      <c r="U15" s="1" t="str">
        <f t="shared" si="15"/>
        <v>1902.38930561753-197.55587542624j</v>
      </c>
      <c r="V15" s="1">
        <f t="shared" si="16"/>
        <v>42.516182317870133</v>
      </c>
      <c r="W15" s="1">
        <f t="shared" si="17"/>
        <v>-9.9738820816848062</v>
      </c>
      <c r="X15" s="71" t="str">
        <f t="shared" si="18"/>
        <v>45+259.197815966165j</v>
      </c>
      <c r="Y15" s="71" t="str">
        <f t="shared" si="19"/>
        <v>14-255.840341688243j</v>
      </c>
      <c r="Z15" s="71" t="str">
        <f t="shared" si="0"/>
        <v>1123.38930561753-197.55587542624j</v>
      </c>
    </row>
    <row r="16" spans="1:26" ht="15" thickTop="1" x14ac:dyDescent="0.2">
      <c r="A16" s="11">
        <f xml:space="preserve"> A15 + ($A$24-$A$15)/9</f>
        <v>137.38973265698087</v>
      </c>
      <c r="B16" s="23">
        <v>-49.783575327696838</v>
      </c>
      <c r="C16" s="24">
        <f t="shared" si="1"/>
        <v>56.252684222149142</v>
      </c>
      <c r="D16" s="24">
        <f t="shared" si="2"/>
        <v>157.18873747062446</v>
      </c>
      <c r="E16" s="25">
        <f t="shared" si="3"/>
        <v>198.62563035198062</v>
      </c>
      <c r="F16" s="26">
        <v>-49.68</v>
      </c>
      <c r="G16" s="24">
        <v>55.607999999999997</v>
      </c>
      <c r="H16" s="24">
        <v>153.47999999999999</v>
      </c>
      <c r="I16" s="25">
        <v>194.63</v>
      </c>
      <c r="J16" s="19">
        <f t="shared" si="4"/>
        <v>863.24514958767361</v>
      </c>
      <c r="K16" s="19">
        <f t="shared" si="5"/>
        <v>230.25630751941847</v>
      </c>
      <c r="L16" s="19">
        <f t="shared" si="6"/>
        <v>287.99757329573885</v>
      </c>
      <c r="M16" s="22">
        <f t="shared" si="7"/>
        <v>5.2961362710039024E-4</v>
      </c>
      <c r="N16" s="21">
        <f t="shared" si="8"/>
        <v>2.6308882327613354E-4</v>
      </c>
      <c r="O16" s="19">
        <f t="shared" si="9"/>
        <v>3.3894986530948164E-3</v>
      </c>
      <c r="P16" s="19">
        <f t="shared" si="10"/>
        <v>4.3269900712279534E-3</v>
      </c>
      <c r="Q16" s="63">
        <f t="shared" si="11"/>
        <v>1.2277081631667298E-3</v>
      </c>
      <c r="R16" s="19">
        <f t="shared" si="12"/>
        <v>45.819263820036774</v>
      </c>
      <c r="S16" s="1">
        <f t="shared" si="13"/>
        <v>1304.9202747545501</v>
      </c>
      <c r="T16" s="1">
        <f t="shared" si="14"/>
        <v>-621.98085040663398</v>
      </c>
      <c r="U16" s="1" t="str">
        <f t="shared" si="15"/>
        <v>1304.92027475455-621.980850406634j</v>
      </c>
      <c r="V16" s="1">
        <f t="shared" si="16"/>
        <v>56.252684222149142</v>
      </c>
      <c r="W16" s="1">
        <f t="shared" si="17"/>
        <v>-49.783575327696838</v>
      </c>
      <c r="X16" s="71" t="str">
        <f t="shared" si="18"/>
        <v>45+287.997573295739j</v>
      </c>
      <c r="Y16" s="71" t="str">
        <f t="shared" si="19"/>
        <v>14-230.256307519418j</v>
      </c>
      <c r="Z16" s="71" t="str">
        <f t="shared" si="0"/>
        <v>525.920274754545-621.980850406634j</v>
      </c>
    </row>
    <row r="17" spans="1:26" x14ac:dyDescent="0.2">
      <c r="A17" s="12">
        <f t="shared" ref="A17:A23" si="21" xml:space="preserve"> A16 + ($A$24-$A$15)/9</f>
        <v>151.12870592267896</v>
      </c>
      <c r="B17" s="23">
        <v>-65.492634860733631</v>
      </c>
      <c r="C17" s="24">
        <f t="shared" si="1"/>
        <v>72.429401990334981</v>
      </c>
      <c r="D17" s="24">
        <f t="shared" si="2"/>
        <v>123.93708091526896</v>
      </c>
      <c r="E17" s="25">
        <f t="shared" si="3"/>
        <v>189.0307973444109</v>
      </c>
      <c r="F17" s="26">
        <v>-65.459999999999994</v>
      </c>
      <c r="G17" s="27">
        <v>71.959000000000003</v>
      </c>
      <c r="H17" s="27">
        <v>119.9</v>
      </c>
      <c r="I17" s="28">
        <v>184.88</v>
      </c>
      <c r="J17" s="19">
        <f t="shared" si="4"/>
        <v>949.569664546441</v>
      </c>
      <c r="K17" s="19">
        <f t="shared" si="5"/>
        <v>209.32391592674404</v>
      </c>
      <c r="L17" s="19">
        <f t="shared" si="6"/>
        <v>316.79733062531272</v>
      </c>
      <c r="M17" s="22">
        <f t="shared" si="7"/>
        <v>4.395151520422859E-4</v>
      </c>
      <c r="N17" s="21">
        <f t="shared" si="8"/>
        <v>3.1809143843555896E-4</v>
      </c>
      <c r="O17" s="19">
        <f t="shared" si="9"/>
        <v>3.0941605985861029E-3</v>
      </c>
      <c r="P17" s="19">
        <f t="shared" si="10"/>
        <v>4.7560103940072875E-3</v>
      </c>
      <c r="Q17" s="63">
        <f t="shared" si="11"/>
        <v>1.8263933006000921E-3</v>
      </c>
      <c r="R17" s="19">
        <f t="shared" si="12"/>
        <v>39.657067273810682</v>
      </c>
      <c r="S17" s="1">
        <f t="shared" si="13"/>
        <v>1006.11987112048</v>
      </c>
      <c r="T17" s="1">
        <f t="shared" si="14"/>
        <v>-498.19935056213097</v>
      </c>
      <c r="U17" s="1" t="str">
        <f t="shared" si="15"/>
        <v>1006.11987112048-498.199350562131j</v>
      </c>
      <c r="V17" s="1">
        <f t="shared" si="16"/>
        <v>72.429401990334981</v>
      </c>
      <c r="W17" s="1">
        <f t="shared" si="17"/>
        <v>-65.492634860733631</v>
      </c>
      <c r="X17" s="71" t="str">
        <f t="shared" si="18"/>
        <v>45+316.797330625313j</v>
      </c>
      <c r="Y17" s="71" t="str">
        <f t="shared" si="19"/>
        <v>14-209.323915926744j</v>
      </c>
      <c r="Z17" s="71" t="str">
        <f t="shared" si="0"/>
        <v>227.119871120478-498.199350562131j</v>
      </c>
    </row>
    <row r="18" spans="1:26" x14ac:dyDescent="0.2">
      <c r="A18" s="12">
        <f t="shared" si="21"/>
        <v>164.86767918837705</v>
      </c>
      <c r="B18" s="23">
        <v>-72.247749200138855</v>
      </c>
      <c r="C18" s="24">
        <f t="shared" si="1"/>
        <v>82.73050469667578</v>
      </c>
      <c r="D18" s="24">
        <f t="shared" si="2"/>
        <v>96.668549911615713</v>
      </c>
      <c r="E18" s="25">
        <f t="shared" si="3"/>
        <v>175.11479346012473</v>
      </c>
      <c r="F18" s="26">
        <v>-72.239999999999995</v>
      </c>
      <c r="G18" s="27">
        <v>81.754999999999995</v>
      </c>
      <c r="H18" s="27">
        <v>92.662000000000006</v>
      </c>
      <c r="I18" s="28">
        <v>170.38</v>
      </c>
      <c r="J18" s="19">
        <f t="shared" si="4"/>
        <v>1035.8941795052083</v>
      </c>
      <c r="K18" s="19">
        <f t="shared" si="5"/>
        <v>191.88025626618204</v>
      </c>
      <c r="L18" s="19">
        <f t="shared" si="6"/>
        <v>345.59708795488655</v>
      </c>
      <c r="M18" s="22">
        <f t="shared" si="7"/>
        <v>3.704851835674594E-4</v>
      </c>
      <c r="N18" s="21">
        <f t="shared" si="8"/>
        <v>3.78234927724162E-4</v>
      </c>
      <c r="O18" s="19">
        <f t="shared" si="9"/>
        <v>2.8453022349187902E-3</v>
      </c>
      <c r="P18" s="19">
        <f t="shared" si="10"/>
        <v>5.1839867757523606E-3</v>
      </c>
      <c r="Q18" s="63">
        <f t="shared" si="11"/>
        <v>2.455611367172433E-3</v>
      </c>
      <c r="R18" s="19">
        <f t="shared" si="12"/>
        <v>33.690390019629866</v>
      </c>
      <c r="S18" s="1">
        <f t="shared" si="13"/>
        <v>903.165296129529</v>
      </c>
      <c r="T18" s="1">
        <f t="shared" si="14"/>
        <v>-387.83980046323302</v>
      </c>
      <c r="U18" s="1" t="str">
        <f t="shared" si="15"/>
        <v>903.165296129529-387.839800463233j</v>
      </c>
      <c r="V18" s="1">
        <f t="shared" si="16"/>
        <v>82.73050469667578</v>
      </c>
      <c r="W18" s="1">
        <f t="shared" si="17"/>
        <v>-72.247749200138855</v>
      </c>
      <c r="X18" s="71" t="str">
        <f t="shared" si="18"/>
        <v>45+345.597087954887j</v>
      </c>
      <c r="Y18" s="71" t="str">
        <f t="shared" si="19"/>
        <v>14-191.880256266182j</v>
      </c>
      <c r="Z18" s="71" t="str">
        <f t="shared" si="0"/>
        <v>124.165296129529-387.839800463233j</v>
      </c>
    </row>
    <row r="19" spans="1:26" x14ac:dyDescent="0.2">
      <c r="A19" s="12">
        <f t="shared" si="21"/>
        <v>178.60665245407515</v>
      </c>
      <c r="B19" s="23">
        <v>-75.683819996105427</v>
      </c>
      <c r="C19" s="24">
        <f t="shared" si="1"/>
        <v>88.826805001300031</v>
      </c>
      <c r="D19" s="24">
        <f t="shared" si="2"/>
        <v>76.645481671958763</v>
      </c>
      <c r="E19" s="25">
        <f t="shared" si="3"/>
        <v>162.67194748913926</v>
      </c>
      <c r="F19" s="26">
        <v>-75.61</v>
      </c>
      <c r="G19" s="27">
        <v>87.644999999999996</v>
      </c>
      <c r="H19" s="27">
        <v>73.102000000000004</v>
      </c>
      <c r="I19" s="28">
        <v>158.13999999999999</v>
      </c>
      <c r="J19" s="19">
        <f t="shared" si="4"/>
        <v>1122.2186944639757</v>
      </c>
      <c r="K19" s="19">
        <f t="shared" si="5"/>
        <v>177.1202365533988</v>
      </c>
      <c r="L19" s="19">
        <f t="shared" si="6"/>
        <v>374.39684528446048</v>
      </c>
      <c r="M19" s="22">
        <f t="shared" si="7"/>
        <v>3.1646015210622547E-4</v>
      </c>
      <c r="N19" s="21">
        <f t="shared" si="8"/>
        <v>4.4349300135571875E-4</v>
      </c>
      <c r="O19" s="19">
        <f t="shared" si="9"/>
        <v>2.6329262801513629E-3</v>
      </c>
      <c r="P19" s="19">
        <f t="shared" si="10"/>
        <v>5.6108275221358368E-3</v>
      </c>
      <c r="Q19" s="63">
        <f t="shared" si="11"/>
        <v>3.0733409512238344E-3</v>
      </c>
      <c r="R19" s="19">
        <f t="shared" si="12"/>
        <v>28.902359487946928</v>
      </c>
      <c r="S19" s="1">
        <f t="shared" si="13"/>
        <v>859.45727804161004</v>
      </c>
      <c r="T19" s="1">
        <f t="shared" si="14"/>
        <v>-315.27447068985498</v>
      </c>
      <c r="U19" s="1" t="str">
        <f t="shared" si="15"/>
        <v>859.45727804161-315.274470689855j</v>
      </c>
      <c r="V19" s="1">
        <f t="shared" si="16"/>
        <v>88.826805001300031</v>
      </c>
      <c r="W19" s="1">
        <f t="shared" si="17"/>
        <v>-75.683819996105427</v>
      </c>
      <c r="X19" s="71" t="str">
        <f t="shared" si="18"/>
        <v>45+374.39684528446j</v>
      </c>
      <c r="Y19" s="71" t="str">
        <f t="shared" si="19"/>
        <v>14-177.120236553399j</v>
      </c>
      <c r="Z19" s="71" t="str">
        <f t="shared" si="0"/>
        <v>80.4572780416103-315.274470689855j</v>
      </c>
    </row>
    <row r="20" spans="1:26" x14ac:dyDescent="0.2">
      <c r="A20" s="12">
        <f t="shared" si="21"/>
        <v>192.34562571977324</v>
      </c>
      <c r="B20" s="23">
        <v>-77.620788152419649</v>
      </c>
      <c r="C20" s="24">
        <f t="shared" si="1"/>
        <v>92.552198821753905</v>
      </c>
      <c r="D20" s="24">
        <f t="shared" si="2"/>
        <v>62.12421761883752</v>
      </c>
      <c r="E20" s="25">
        <f t="shared" si="3"/>
        <v>152.69144713393391</v>
      </c>
      <c r="F20" s="26">
        <v>-77.69</v>
      </c>
      <c r="G20" s="27">
        <v>90.765000000000001</v>
      </c>
      <c r="H20" s="27">
        <v>59.750999999999998</v>
      </c>
      <c r="I20" s="28">
        <v>148.62</v>
      </c>
      <c r="J20" s="19">
        <f t="shared" si="4"/>
        <v>1208.5432094227431</v>
      </c>
      <c r="K20" s="19">
        <f t="shared" si="5"/>
        <v>164.4687910852989</v>
      </c>
      <c r="L20" s="19">
        <f t="shared" si="6"/>
        <v>403.19660261403436</v>
      </c>
      <c r="M20" s="22">
        <f t="shared" si="7"/>
        <v>2.7340249344114668E-4</v>
      </c>
      <c r="N20" s="21">
        <f t="shared" si="8"/>
        <v>5.138372095488189E-4</v>
      </c>
      <c r="O20" s="19">
        <f>L20/($E$2^2+L20^2)</f>
        <v>2.4496657000372475E-3</v>
      </c>
      <c r="P20" s="19">
        <f t="shared" si="10"/>
        <v>6.036441762081261E-3</v>
      </c>
      <c r="Q20" s="63">
        <f t="shared" si="11"/>
        <v>3.6721531652717985E-3</v>
      </c>
      <c r="R20" s="19">
        <f t="shared" si="12"/>
        <v>25.203795881129469</v>
      </c>
      <c r="S20" s="1">
        <f t="shared" si="13"/>
        <v>837.38017792042695</v>
      </c>
      <c r="T20" s="1">
        <f t="shared" si="14"/>
        <v>-265.98839447192597</v>
      </c>
      <c r="U20" s="1" t="str">
        <f t="shared" si="15"/>
        <v>837.380177920427-265.988394471926j</v>
      </c>
      <c r="V20" s="1">
        <f t="shared" si="16"/>
        <v>92.552198821753905</v>
      </c>
      <c r="W20" s="1">
        <f t="shared" si="17"/>
        <v>-77.620788152419649</v>
      </c>
      <c r="X20" s="71" t="str">
        <f t="shared" si="18"/>
        <v>45+403.196602614034j</v>
      </c>
      <c r="Y20" s="71" t="str">
        <f t="shared" si="19"/>
        <v>14-164.468791085299j</v>
      </c>
      <c r="Z20" s="71" t="str">
        <f t="shared" si="0"/>
        <v>58.3801779204267-265.988394471926j</v>
      </c>
    </row>
    <row r="21" spans="1:26" x14ac:dyDescent="0.2">
      <c r="A21" s="12">
        <f t="shared" si="21"/>
        <v>206.08459898547133</v>
      </c>
      <c r="B21" s="23">
        <v>-78.774254564289805</v>
      </c>
      <c r="C21" s="24">
        <f t="shared" si="1"/>
        <v>94.948645565246352</v>
      </c>
      <c r="D21" s="24">
        <f t="shared" si="2"/>
        <v>51.411595357322213</v>
      </c>
      <c r="E21" s="25">
        <f t="shared" si="3"/>
        <v>144.86574074958901</v>
      </c>
      <c r="F21" s="26">
        <v>-78.739999999999995</v>
      </c>
      <c r="G21" s="27">
        <v>93.471000000000004</v>
      </c>
      <c r="H21" s="27">
        <v>49.424999999999997</v>
      </c>
      <c r="I21" s="28">
        <v>141.49</v>
      </c>
      <c r="J21" s="19">
        <f t="shared" si="4"/>
        <v>1294.8677243815105</v>
      </c>
      <c r="K21" s="19">
        <f t="shared" si="5"/>
        <v>153.50420501294562</v>
      </c>
      <c r="L21" s="19">
        <f t="shared" si="6"/>
        <v>431.99635994360824</v>
      </c>
      <c r="M21" s="22">
        <f t="shared" si="7"/>
        <v>2.3854221445215426E-4</v>
      </c>
      <c r="N21" s="21">
        <f t="shared" si="8"/>
        <v>5.8923697328747344E-4</v>
      </c>
      <c r="O21" s="19">
        <f t="shared" si="9"/>
        <v>2.2899859630270713E-3</v>
      </c>
      <c r="P21" s="19">
        <f t="shared" si="10"/>
        <v>6.4607395106234203E-3</v>
      </c>
      <c r="Q21" s="63">
        <f t="shared" si="11"/>
        <v>4.252105776958331E-3</v>
      </c>
      <c r="R21" s="19">
        <f t="shared" si="12"/>
        <v>22.329793882306991</v>
      </c>
      <c r="S21" s="1">
        <f t="shared" si="13"/>
        <v>824.78322524603004</v>
      </c>
      <c r="T21" s="1">
        <f t="shared" si="14"/>
        <v>-230.67812279347299</v>
      </c>
      <c r="U21" s="1" t="str">
        <f t="shared" si="15"/>
        <v>824.78322524603-230.678122793473j</v>
      </c>
      <c r="V21" s="1">
        <f t="shared" si="16"/>
        <v>94.948645565246352</v>
      </c>
      <c r="W21" s="1">
        <f t="shared" si="17"/>
        <v>-78.774254564289805</v>
      </c>
      <c r="X21" s="71" t="str">
        <f t="shared" si="18"/>
        <v>45+431.996359943608j</v>
      </c>
      <c r="Y21" s="71" t="str">
        <f t="shared" si="19"/>
        <v>14-153.504205012946j</v>
      </c>
      <c r="Z21" s="71" t="str">
        <f t="shared" si="0"/>
        <v>45.7832252460303-230.678122793473j</v>
      </c>
    </row>
    <row r="22" spans="1:26" x14ac:dyDescent="0.2">
      <c r="A22" s="12">
        <f t="shared" si="21"/>
        <v>219.82357225116942</v>
      </c>
      <c r="B22" s="23">
        <v>-79.474280413087257</v>
      </c>
      <c r="C22" s="24">
        <f t="shared" si="1"/>
        <v>96.568237301081837</v>
      </c>
      <c r="D22" s="24">
        <f t="shared" si="2"/>
        <v>43.317992516809632</v>
      </c>
      <c r="E22" s="25">
        <f t="shared" si="3"/>
        <v>138.70792338847448</v>
      </c>
      <c r="F22" s="26">
        <v>-79.430000000000007</v>
      </c>
      <c r="G22" s="27">
        <v>94.584000000000003</v>
      </c>
      <c r="H22" s="27">
        <v>41.341999999999999</v>
      </c>
      <c r="I22" s="28">
        <v>134.81</v>
      </c>
      <c r="J22" s="19">
        <f t="shared" si="4"/>
        <v>1381.1922393402779</v>
      </c>
      <c r="K22" s="19">
        <f t="shared" si="5"/>
        <v>143.91019219963653</v>
      </c>
      <c r="L22" s="19">
        <f t="shared" si="6"/>
        <v>460.79611727318212</v>
      </c>
      <c r="M22" s="22">
        <f t="shared" si="7"/>
        <v>2.0992912346926273E-4</v>
      </c>
      <c r="N22" s="21">
        <f t="shared" si="8"/>
        <v>6.6965961724528816E-4</v>
      </c>
      <c r="O22" s="19">
        <f t="shared" si="9"/>
        <v>2.1496561110488604E-3</v>
      </c>
      <c r="P22" s="19">
        <f t="shared" si="10"/>
        <v>6.8836317304360323E-3</v>
      </c>
      <c r="Q22" s="63">
        <f t="shared" si="11"/>
        <v>4.8149975615511958E-3</v>
      </c>
      <c r="R22" s="19">
        <f t="shared" si="12"/>
        <v>20.055718838198434</v>
      </c>
      <c r="S22" s="1">
        <f t="shared" si="13"/>
        <v>816.93914317218798</v>
      </c>
      <c r="T22" s="1">
        <f t="shared" si="14"/>
        <v>-204.18972013179101</v>
      </c>
      <c r="U22" s="1" t="str">
        <f t="shared" si="15"/>
        <v>816.939143172188-204.189720131791j</v>
      </c>
      <c r="V22" s="1">
        <f t="shared" si="16"/>
        <v>96.568237301081837</v>
      </c>
      <c r="W22" s="1">
        <f t="shared" si="17"/>
        <v>-79.474280413087257</v>
      </c>
      <c r="X22" s="71" t="str">
        <f t="shared" si="18"/>
        <v>45+460.796117273182j</v>
      </c>
      <c r="Y22" s="71" t="str">
        <f t="shared" si="19"/>
        <v>14-143.910192199637j</v>
      </c>
      <c r="Z22" s="71" t="str">
        <f t="shared" si="0"/>
        <v>37.9391431721884-204.189720131791j</v>
      </c>
    </row>
    <row r="23" spans="1:26" x14ac:dyDescent="0.2">
      <c r="A23" s="12">
        <f t="shared" si="21"/>
        <v>233.56254551686752</v>
      </c>
      <c r="B23" s="23">
        <v>-79.891773736682012</v>
      </c>
      <c r="C23" s="24">
        <f t="shared" si="1"/>
        <v>97.710673550869032</v>
      </c>
      <c r="D23" s="24">
        <f t="shared" si="2"/>
        <v>37.0577660094539</v>
      </c>
      <c r="E23" s="25">
        <f t="shared" si="3"/>
        <v>133.80533416456157</v>
      </c>
      <c r="F23" s="26">
        <v>-79.819999999999993</v>
      </c>
      <c r="G23" s="27">
        <v>96.072000000000003</v>
      </c>
      <c r="H23" s="27">
        <v>35.453000000000003</v>
      </c>
      <c r="I23" s="28">
        <v>130.63</v>
      </c>
      <c r="J23" s="19">
        <f t="shared" si="4"/>
        <v>1467.5167542990453</v>
      </c>
      <c r="K23" s="19">
        <f t="shared" si="5"/>
        <v>135.44488677612847</v>
      </c>
      <c r="L23" s="19">
        <f t="shared" si="6"/>
        <v>489.59587460275606</v>
      </c>
      <c r="M23" s="22">
        <f t="shared" si="7"/>
        <v>1.8615878765585641E-4</v>
      </c>
      <c r="N23" s="21">
        <f t="shared" si="8"/>
        <v>7.5507040480767376E-4</v>
      </c>
      <c r="O23" s="19">
        <f t="shared" si="9"/>
        <v>2.0253905434968393E-3</v>
      </c>
      <c r="P23" s="19">
        <f t="shared" si="10"/>
        <v>7.3050303919414902E-3</v>
      </c>
      <c r="Q23" s="63">
        <f t="shared" si="11"/>
        <v>5.3628825571729799E-3</v>
      </c>
      <c r="R23" s="19">
        <f t="shared" si="12"/>
        <v>18.21980483614707</v>
      </c>
      <c r="S23" s="1">
        <f t="shared" si="13"/>
        <v>811.72644381657597</v>
      </c>
      <c r="T23" s="1">
        <f t="shared" si="14"/>
        <v>-183.57254349457901</v>
      </c>
      <c r="U23" s="1" t="str">
        <f t="shared" si="15"/>
        <v>811.726443816576-183.572543494579j</v>
      </c>
      <c r="V23" s="1">
        <f t="shared" si="16"/>
        <v>97.710673550869032</v>
      </c>
      <c r="W23" s="1">
        <f t="shared" si="17"/>
        <v>-79.891773736682012</v>
      </c>
      <c r="X23" s="71" t="str">
        <f t="shared" si="18"/>
        <v>45+489.595874602756j</v>
      </c>
      <c r="Y23" s="71" t="str">
        <f t="shared" si="19"/>
        <v>14-135.444886776128j</v>
      </c>
      <c r="Z23" s="71" t="str">
        <f t="shared" si="0"/>
        <v>32.7264438165758-183.572543494579j</v>
      </c>
    </row>
    <row r="24" spans="1:26" ht="15" thickBot="1" x14ac:dyDescent="0.25">
      <c r="A24" s="14">
        <f xml:space="preserve"> 2 * A15</f>
        <v>247.30151878256555</v>
      </c>
      <c r="B24" s="36">
        <v>-80.123145216764044</v>
      </c>
      <c r="C24" s="37">
        <f t="shared" si="1"/>
        <v>98.546129132942497</v>
      </c>
      <c r="D24" s="37">
        <f t="shared" si="2"/>
        <v>32.112085047838235</v>
      </c>
      <c r="E24" s="38">
        <f t="shared" si="3"/>
        <v>129.8480559918695</v>
      </c>
      <c r="F24" s="39">
        <v>-80.17</v>
      </c>
      <c r="G24" s="37">
        <v>96.6</v>
      </c>
      <c r="H24" s="37">
        <v>30.959</v>
      </c>
      <c r="I24" s="38">
        <v>126.79</v>
      </c>
      <c r="J24" s="19">
        <f t="shared" si="4"/>
        <v>1553.8412692578124</v>
      </c>
      <c r="K24" s="19">
        <f t="shared" si="5"/>
        <v>127.92017084412137</v>
      </c>
      <c r="L24" s="19">
        <f t="shared" si="6"/>
        <v>518.39563193232982</v>
      </c>
      <c r="M24" s="22">
        <f t="shared" si="7"/>
        <v>1.6619944235831069E-4</v>
      </c>
      <c r="N24" s="21">
        <f t="shared" si="8"/>
        <v>8.4543257512278795E-4</v>
      </c>
      <c r="O24" s="19">
        <f t="shared" si="9"/>
        <v>1.91460144329194E-3</v>
      </c>
      <c r="P24" s="19">
        <f t="shared" si="10"/>
        <v>7.7248485319208939E-3</v>
      </c>
      <c r="Q24" s="63">
        <f t="shared" si="11"/>
        <v>5.8976580580527146E-3</v>
      </c>
      <c r="R24" s="19">
        <f t="shared" si="12"/>
        <v>16.709366355749761</v>
      </c>
      <c r="S24" s="1">
        <f t="shared" si="13"/>
        <v>808.08461961939804</v>
      </c>
      <c r="T24" s="1">
        <f t="shared" si="14"/>
        <v>-167.04574741343399</v>
      </c>
      <c r="U24" s="1" t="str">
        <f t="shared" si="15"/>
        <v>808.084619619398-167.045747413434j</v>
      </c>
      <c r="V24" s="1">
        <f t="shared" si="16"/>
        <v>98.546129132942497</v>
      </c>
      <c r="W24" s="1">
        <f t="shared" si="17"/>
        <v>-80.123145216764044</v>
      </c>
      <c r="X24" s="71" t="str">
        <f t="shared" si="18"/>
        <v>45+518.39563193233j</v>
      </c>
      <c r="Y24" s="71" t="str">
        <f t="shared" si="19"/>
        <v>14-127.920170844121j</v>
      </c>
      <c r="Z24" s="71" t="str">
        <f t="shared" si="0"/>
        <v>29.0846196193985-167.045747413434j</v>
      </c>
    </row>
    <row r="25" spans="1:26" ht="15" thickTop="1" x14ac:dyDescent="0.2"/>
    <row r="28" spans="1:26" x14ac:dyDescent="0.2">
      <c r="K28" s="21"/>
    </row>
  </sheetData>
  <mergeCells count="8">
    <mergeCell ref="A1:A4"/>
    <mergeCell ref="B3:E3"/>
    <mergeCell ref="F3:I3"/>
    <mergeCell ref="C5:E5"/>
    <mergeCell ref="G5:I5"/>
    <mergeCell ref="L1:M1"/>
    <mergeCell ref="L2:M2"/>
    <mergeCell ref="L3:M3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A37B-9090-4FA2-9F23-3B98C4C8B94D}">
  <dimension ref="A1"/>
  <sheetViews>
    <sheetView workbookViewId="0">
      <selection activeCell="U25" sqref="U25"/>
    </sheetView>
  </sheetViews>
  <sheetFormatPr defaultRowHeight="14.25" x14ac:dyDescent="0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Title</vt:lpstr>
      <vt:lpstr>RLC series. Calculations</vt:lpstr>
      <vt:lpstr>RLC series. Plots</vt:lpstr>
      <vt:lpstr>RLC parallel. Calculations</vt:lpstr>
      <vt:lpstr>RLC parallel.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鑫阳 曹</cp:lastModifiedBy>
  <dcterms:created xsi:type="dcterms:W3CDTF">2020-09-28T10:00:52Z</dcterms:created>
  <dcterms:modified xsi:type="dcterms:W3CDTF">2021-10-30T07:58:43Z</dcterms:modified>
</cp:coreProperties>
</file>