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245712C5-0A43-4B77-865C-048B6877A032}" xr6:coauthVersionLast="47" xr6:coauthVersionMax="47" xr10:uidLastSave="{00000000-0000-0000-0000-000000000000}"/>
  <bookViews>
    <workbookView xWindow="-108" yWindow="-108" windowWidth="23256" windowHeight="12456" activeTab="2" xr2:uid="{C89B2B7B-DD18-4E23-931E-207A078B2013}"/>
  </bookViews>
  <sheets>
    <sheet name="Arkusz1" sheetId="1" r:id="rId1"/>
    <sheet name="obliczenia" sheetId="2" r:id="rId2"/>
    <sheet name="do latex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8" i="1" l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Y107" i="1"/>
  <c r="O107" i="1"/>
  <c r="P96" i="1" a="1"/>
  <c r="P96" i="1" s="1"/>
  <c r="Y96" i="1" a="1"/>
  <c r="Y96" i="1" s="1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Q40" i="2"/>
  <c r="C53" i="1" l="1"/>
  <c r="AO32" i="2" a="1"/>
  <c r="AO32" i="2" s="1"/>
  <c r="AD32" i="2" a="1"/>
  <c r="AD32" i="2" s="1"/>
  <c r="Q32" i="2" a="1"/>
  <c r="Q32" i="2" s="1"/>
  <c r="D8" i="2"/>
  <c r="O36" i="2"/>
  <c r="O40" i="2"/>
  <c r="O37" i="2"/>
  <c r="O32" i="2"/>
  <c r="O31" i="2"/>
  <c r="O34" i="2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50" i="3"/>
  <c r="F83" i="3"/>
  <c r="F77" i="3"/>
  <c r="F78" i="3"/>
  <c r="F79" i="3"/>
  <c r="F80" i="3"/>
  <c r="F81" i="3"/>
  <c r="F76" i="3"/>
  <c r="F74" i="3"/>
  <c r="F64" i="3"/>
  <c r="F56" i="3"/>
  <c r="F57" i="3"/>
  <c r="F58" i="3"/>
  <c r="F59" i="3"/>
  <c r="F60" i="3"/>
  <c r="F61" i="3"/>
  <c r="F62" i="3"/>
  <c r="F55" i="3"/>
  <c r="F51" i="3"/>
  <c r="F52" i="3"/>
  <c r="F53" i="3"/>
  <c r="F54" i="3"/>
  <c r="F63" i="3"/>
  <c r="F65" i="3"/>
  <c r="F66" i="3"/>
  <c r="F67" i="3"/>
  <c r="F68" i="3"/>
  <c r="F69" i="3"/>
  <c r="F70" i="3"/>
  <c r="F71" i="3"/>
  <c r="F72" i="3"/>
  <c r="F73" i="3"/>
  <c r="F75" i="3"/>
  <c r="F82" i="3"/>
  <c r="F84" i="3"/>
  <c r="F85" i="3"/>
  <c r="F86" i="3"/>
  <c r="F50" i="3"/>
  <c r="D54" i="3"/>
  <c r="D55" i="3"/>
  <c r="D56" i="3"/>
  <c r="D57" i="3"/>
  <c r="D58" i="3"/>
  <c r="D59" i="3"/>
  <c r="D60" i="3"/>
  <c r="D61" i="3"/>
  <c r="D62" i="3"/>
  <c r="D63" i="3"/>
  <c r="D64" i="3"/>
  <c r="D65" i="3"/>
  <c r="D53" i="3"/>
  <c r="D81" i="3"/>
  <c r="D82" i="3"/>
  <c r="D83" i="3"/>
  <c r="D73" i="3"/>
  <c r="D74" i="3"/>
  <c r="D75" i="3"/>
  <c r="D76" i="3"/>
  <c r="D77" i="3"/>
  <c r="D78" i="3"/>
  <c r="D79" i="3"/>
  <c r="D80" i="3"/>
  <c r="D72" i="3"/>
  <c r="D68" i="3"/>
  <c r="D66" i="3"/>
  <c r="D51" i="3"/>
  <c r="D52" i="3"/>
  <c r="D67" i="3"/>
  <c r="D69" i="3"/>
  <c r="D70" i="3"/>
  <c r="D71" i="3"/>
  <c r="D84" i="3"/>
  <c r="D85" i="3"/>
  <c r="D86" i="3"/>
  <c r="D50" i="3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6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7" i="3"/>
  <c r="X8" i="3"/>
  <c r="X9" i="3"/>
  <c r="X10" i="3"/>
  <c r="X11" i="3"/>
  <c r="X12" i="3"/>
  <c r="X6" i="3"/>
  <c r="AM31" i="2"/>
  <c r="AB31" i="2"/>
  <c r="AB32" i="2" l="1"/>
  <c r="AM32" i="2"/>
  <c r="V57" i="1"/>
  <c r="N57" i="1"/>
  <c r="J42" i="3"/>
  <c r="G42" i="3"/>
  <c r="D42" i="3"/>
  <c r="J41" i="3"/>
  <c r="G41" i="3"/>
  <c r="D41" i="3"/>
  <c r="J40" i="3"/>
  <c r="G40" i="3"/>
  <c r="D40" i="3"/>
  <c r="J39" i="3"/>
  <c r="G39" i="3"/>
  <c r="D39" i="3"/>
  <c r="J38" i="3"/>
  <c r="G38" i="3"/>
  <c r="D38" i="3"/>
  <c r="J37" i="3"/>
  <c r="G37" i="3"/>
  <c r="D37" i="3"/>
  <c r="J36" i="3"/>
  <c r="G36" i="3"/>
  <c r="D36" i="3"/>
  <c r="J35" i="3"/>
  <c r="G35" i="3"/>
  <c r="D35" i="3"/>
  <c r="J34" i="3"/>
  <c r="G34" i="3"/>
  <c r="D34" i="3"/>
  <c r="J33" i="3"/>
  <c r="G33" i="3"/>
  <c r="D33" i="3"/>
  <c r="J32" i="3"/>
  <c r="G32" i="3"/>
  <c r="D32" i="3"/>
  <c r="J31" i="3"/>
  <c r="G31" i="3"/>
  <c r="D31" i="3"/>
  <c r="J30" i="3"/>
  <c r="G30" i="3"/>
  <c r="D30" i="3"/>
  <c r="J29" i="3"/>
  <c r="G29" i="3"/>
  <c r="D29" i="3"/>
  <c r="J28" i="3"/>
  <c r="G28" i="3"/>
  <c r="D28" i="3"/>
  <c r="J27" i="3"/>
  <c r="G27" i="3"/>
  <c r="D27" i="3"/>
  <c r="J26" i="3"/>
  <c r="G26" i="3"/>
  <c r="D26" i="3"/>
  <c r="J25" i="3"/>
  <c r="G25" i="3"/>
  <c r="D25" i="3"/>
  <c r="J24" i="3"/>
  <c r="G24" i="3"/>
  <c r="D24" i="3"/>
  <c r="J23" i="3"/>
  <c r="G23" i="3"/>
  <c r="D23" i="3"/>
  <c r="J22" i="3"/>
  <c r="G22" i="3"/>
  <c r="D22" i="3"/>
  <c r="J21" i="3"/>
  <c r="G21" i="3"/>
  <c r="D21" i="3"/>
  <c r="J20" i="3"/>
  <c r="G20" i="3"/>
  <c r="D20" i="3"/>
  <c r="J19" i="3"/>
  <c r="G19" i="3"/>
  <c r="D19" i="3"/>
  <c r="J18" i="3"/>
  <c r="G18" i="3"/>
  <c r="D18" i="3"/>
  <c r="J17" i="3"/>
  <c r="G17" i="3"/>
  <c r="D17" i="3"/>
  <c r="J16" i="3"/>
  <c r="G16" i="3"/>
  <c r="D16" i="3"/>
  <c r="J15" i="3"/>
  <c r="G15" i="3"/>
  <c r="D15" i="3"/>
  <c r="J14" i="3"/>
  <c r="G14" i="3"/>
  <c r="D14" i="3"/>
  <c r="J13" i="3"/>
  <c r="G13" i="3"/>
  <c r="D13" i="3"/>
  <c r="J12" i="3"/>
  <c r="G12" i="3"/>
  <c r="D12" i="3"/>
  <c r="J11" i="3"/>
  <c r="G11" i="3"/>
  <c r="D11" i="3"/>
  <c r="J10" i="3"/>
  <c r="G10" i="3"/>
  <c r="D10" i="3"/>
  <c r="J9" i="3"/>
  <c r="G9" i="3"/>
  <c r="D9" i="3"/>
  <c r="J8" i="3"/>
  <c r="G8" i="3"/>
  <c r="D8" i="3"/>
  <c r="J7" i="3"/>
  <c r="G7" i="3"/>
  <c r="D7" i="3"/>
  <c r="J6" i="3"/>
  <c r="G6" i="3"/>
  <c r="D6" i="3"/>
  <c r="AL98" i="1" l="1"/>
  <c r="AL102" i="1" s="1"/>
  <c r="AC98" i="1"/>
  <c r="AC102" i="1" s="1"/>
  <c r="S98" i="1"/>
  <c r="S102" i="1" s="1"/>
  <c r="D79" i="1" l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8" i="1"/>
  <c r="C60" i="1"/>
  <c r="C55" i="1" l="1"/>
  <c r="AF61" i="1" a="1"/>
  <c r="AF61" i="1" s="1"/>
  <c r="W61" i="1" a="1"/>
  <c r="W61" i="1" s="1"/>
  <c r="X67" i="1" s="1"/>
  <c r="O61" i="1" a="1"/>
  <c r="O61" i="1" s="1"/>
  <c r="P67" i="1" s="1"/>
  <c r="E53" i="1"/>
  <c r="E55" i="1" s="1"/>
  <c r="D53" i="1"/>
  <c r="D55" i="1" s="1"/>
  <c r="G91" i="1" l="1"/>
  <c r="G107" i="1"/>
  <c r="G92" i="1"/>
  <c r="G108" i="1"/>
  <c r="G93" i="1"/>
  <c r="G109" i="1"/>
  <c r="G86" i="1"/>
  <c r="G102" i="1"/>
  <c r="G87" i="1"/>
  <c r="G95" i="1"/>
  <c r="G111" i="1"/>
  <c r="G83" i="1"/>
  <c r="G99" i="1"/>
  <c r="G78" i="1"/>
  <c r="G84" i="1"/>
  <c r="G100" i="1"/>
  <c r="G85" i="1"/>
  <c r="G101" i="1"/>
  <c r="G94" i="1"/>
  <c r="G110" i="1"/>
  <c r="G79" i="1"/>
  <c r="G103" i="1"/>
  <c r="G105" i="1"/>
  <c r="G104" i="1"/>
  <c r="G88" i="1"/>
  <c r="G112" i="1"/>
  <c r="G98" i="1"/>
  <c r="G96" i="1"/>
  <c r="G113" i="1"/>
  <c r="G114" i="1"/>
  <c r="G82" i="1"/>
  <c r="G80" i="1"/>
  <c r="G97" i="1"/>
  <c r="G106" i="1"/>
  <c r="G81" i="1"/>
  <c r="G90" i="1"/>
  <c r="G89" i="1"/>
  <c r="E78" i="1"/>
  <c r="E79" i="1"/>
  <c r="E87" i="1"/>
  <c r="E95" i="1"/>
  <c r="E103" i="1"/>
  <c r="E111" i="1"/>
  <c r="E88" i="1"/>
  <c r="E96" i="1"/>
  <c r="E104" i="1"/>
  <c r="E112" i="1"/>
  <c r="E81" i="1"/>
  <c r="E89" i="1"/>
  <c r="E97" i="1"/>
  <c r="E105" i="1"/>
  <c r="E113" i="1"/>
  <c r="E98" i="1"/>
  <c r="E91" i="1"/>
  <c r="E99" i="1"/>
  <c r="E84" i="1"/>
  <c r="E100" i="1"/>
  <c r="E85" i="1"/>
  <c r="E94" i="1"/>
  <c r="E80" i="1"/>
  <c r="E114" i="1"/>
  <c r="E83" i="1"/>
  <c r="E92" i="1"/>
  <c r="E93" i="1"/>
  <c r="E109" i="1"/>
  <c r="E86" i="1"/>
  <c r="E110" i="1"/>
  <c r="E82" i="1"/>
  <c r="E90" i="1"/>
  <c r="E106" i="1"/>
  <c r="E107" i="1"/>
  <c r="E108" i="1"/>
  <c r="E101" i="1"/>
  <c r="E102" i="1"/>
  <c r="C56" i="1"/>
  <c r="F86" i="1" s="1"/>
  <c r="D56" i="1"/>
  <c r="AG67" i="1"/>
  <c r="E56" i="1"/>
  <c r="AG57" i="1"/>
  <c r="Y57" i="1"/>
  <c r="Q57" i="1"/>
  <c r="AD57" i="1"/>
  <c r="Z102" i="1" l="1"/>
  <c r="Y113" i="1" s="1"/>
  <c r="Y116" i="1" s="1"/>
  <c r="AH96" i="1" a="1"/>
  <c r="AH96" i="1" s="1"/>
  <c r="AI102" i="1" s="1"/>
  <c r="AI113" i="1" s="1"/>
  <c r="F96" i="1"/>
  <c r="F111" i="1"/>
  <c r="F103" i="1"/>
  <c r="F84" i="1"/>
  <c r="F110" i="1"/>
  <c r="Q102" i="1"/>
  <c r="O113" i="1" s="1"/>
  <c r="F85" i="1"/>
  <c r="F90" i="1"/>
  <c r="F102" i="1"/>
  <c r="F97" i="1"/>
  <c r="F78" i="1"/>
  <c r="F105" i="1"/>
  <c r="F108" i="1"/>
  <c r="F83" i="1"/>
  <c r="F82" i="1"/>
  <c r="F104" i="1"/>
  <c r="J84" i="1"/>
  <c r="J92" i="1"/>
  <c r="J100" i="1"/>
  <c r="J108" i="1"/>
  <c r="J97" i="1"/>
  <c r="J90" i="1"/>
  <c r="J91" i="1"/>
  <c r="J85" i="1"/>
  <c r="J93" i="1"/>
  <c r="J101" i="1"/>
  <c r="J109" i="1"/>
  <c r="J105" i="1"/>
  <c r="J98" i="1"/>
  <c r="J83" i="1"/>
  <c r="J79" i="1"/>
  <c r="J86" i="1"/>
  <c r="J94" i="1"/>
  <c r="J102" i="1"/>
  <c r="J110" i="1"/>
  <c r="J89" i="1"/>
  <c r="J114" i="1"/>
  <c r="J80" i="1"/>
  <c r="J87" i="1"/>
  <c r="J95" i="1"/>
  <c r="J103" i="1"/>
  <c r="J111" i="1"/>
  <c r="J113" i="1"/>
  <c r="J106" i="1"/>
  <c r="J107" i="1"/>
  <c r="J78" i="1"/>
  <c r="J88" i="1"/>
  <c r="J96" i="1"/>
  <c r="J104" i="1"/>
  <c r="J112" i="1"/>
  <c r="J81" i="1"/>
  <c r="J82" i="1"/>
  <c r="J99" i="1"/>
  <c r="H81" i="1"/>
  <c r="H89" i="1"/>
  <c r="H97" i="1"/>
  <c r="H105" i="1"/>
  <c r="H113" i="1"/>
  <c r="H94" i="1"/>
  <c r="H95" i="1"/>
  <c r="H80" i="1"/>
  <c r="H82" i="1"/>
  <c r="H90" i="1"/>
  <c r="H98" i="1"/>
  <c r="H106" i="1"/>
  <c r="H114" i="1"/>
  <c r="H110" i="1"/>
  <c r="H79" i="1"/>
  <c r="H112" i="1"/>
  <c r="H83" i="1"/>
  <c r="H91" i="1"/>
  <c r="H99" i="1"/>
  <c r="H107" i="1"/>
  <c r="H78" i="1"/>
  <c r="H86" i="1"/>
  <c r="H87" i="1"/>
  <c r="H104" i="1"/>
  <c r="H84" i="1"/>
  <c r="H92" i="1"/>
  <c r="H100" i="1"/>
  <c r="H108" i="1"/>
  <c r="H102" i="1"/>
  <c r="H103" i="1"/>
  <c r="H96" i="1"/>
  <c r="H85" i="1"/>
  <c r="H93" i="1"/>
  <c r="H101" i="1"/>
  <c r="H109" i="1"/>
  <c r="H111" i="1"/>
  <c r="H88" i="1"/>
  <c r="F100" i="1"/>
  <c r="F80" i="1"/>
  <c r="O108" i="1" s="1"/>
  <c r="F113" i="1"/>
  <c r="F88" i="1"/>
  <c r="F94" i="1"/>
  <c r="F92" i="1"/>
  <c r="F114" i="1"/>
  <c r="F89" i="1"/>
  <c r="F95" i="1"/>
  <c r="F109" i="1"/>
  <c r="F99" i="1"/>
  <c r="F107" i="1"/>
  <c r="F106" i="1"/>
  <c r="F81" i="1"/>
  <c r="F87" i="1"/>
  <c r="F101" i="1"/>
  <c r="F91" i="1"/>
  <c r="F98" i="1"/>
  <c r="F112" i="1"/>
  <c r="F79" i="1"/>
  <c r="F93" i="1"/>
  <c r="AI116" i="1" l="1"/>
  <c r="AI124" i="1"/>
  <c r="AJ130" i="1" s="1"/>
  <c r="Y124" i="1"/>
  <c r="Z130" i="1" s="1"/>
  <c r="O116" i="1"/>
  <c r="L124" i="1"/>
  <c r="L130" i="1" s="1"/>
  <c r="S100" i="1"/>
  <c r="AI107" i="1"/>
  <c r="AI108" i="1" s="1"/>
  <c r="AL100" i="1"/>
  <c r="Y108" i="1"/>
  <c r="AC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<sst xmlns="http://schemas.openxmlformats.org/spreadsheetml/2006/main" count="217" uniqueCount="111">
  <si>
    <t>U_h(V)</t>
  </si>
  <si>
    <t>klasa</t>
  </si>
  <si>
    <t>zakres[mA]</t>
  </si>
  <si>
    <t>1.</t>
  </si>
  <si>
    <t>α0=0°</t>
  </si>
  <si>
    <r>
      <rPr>
        <sz val="14"/>
        <color theme="1"/>
        <rFont val="Calibri"/>
        <family val="2"/>
        <charset val="238"/>
      </rPr>
      <t>α</t>
    </r>
    <r>
      <rPr>
        <sz val="8"/>
        <color theme="1"/>
        <rFont val="Calibri"/>
        <family val="2"/>
        <charset val="238"/>
      </rPr>
      <t>0=5</t>
    </r>
    <r>
      <rPr>
        <sz val="11"/>
        <color theme="1"/>
        <rFont val="Calibri"/>
        <family val="2"/>
        <charset val="238"/>
      </rPr>
      <t>°</t>
    </r>
  </si>
  <si>
    <t>Δα = 5°</t>
  </si>
  <si>
    <t>Δα = 0°</t>
  </si>
  <si>
    <t>2.</t>
  </si>
  <si>
    <t>człość kątowa S [V/°]</t>
  </si>
  <si>
    <t>Wnioski:</t>
  </si>
  <si>
    <t>dla jednego punktu</t>
  </si>
  <si>
    <t>Pomiar na zbyt małym odcinku nie ma sensu, wartość bardzo odbiega od właściwej</t>
  </si>
  <si>
    <t>Regresja liniowa</t>
  </si>
  <si>
    <t>Natężenie prądu [mA]</t>
  </si>
  <si>
    <t>Współczynnik kierunkowy</t>
  </si>
  <si>
    <t>Współczynnik b</t>
  </si>
  <si>
    <r>
      <t>Alpha_0 [</t>
    </r>
    <r>
      <rPr>
        <sz val="11"/>
        <color theme="1"/>
        <rFont val="Calibri"/>
        <family val="2"/>
        <charset val="238"/>
      </rPr>
      <t>°]</t>
    </r>
  </si>
  <si>
    <t>u(alpha_0) [°]</t>
  </si>
  <si>
    <t>u(alpha_0) [rad]</t>
  </si>
  <si>
    <t>u(alpha) [°]</t>
  </si>
  <si>
    <t>u(alpha) [rad]</t>
  </si>
  <si>
    <t>B_0 [T]</t>
  </si>
  <si>
    <t>u(B_0) [T]</t>
  </si>
  <si>
    <t>I_s [mA]</t>
  </si>
  <si>
    <t>Składowa normalna indukcji magnetycznej</t>
  </si>
  <si>
    <t>B_n</t>
  </si>
  <si>
    <t>u(B_n)</t>
  </si>
  <si>
    <t>u(alpha_0)[°]</t>
  </si>
  <si>
    <t>a</t>
  </si>
  <si>
    <t>b</t>
  </si>
  <si>
    <r>
      <t>Alpha_0 [rad</t>
    </r>
    <r>
      <rPr>
        <sz val="11"/>
        <color theme="1"/>
        <rFont val="Calibri"/>
        <family val="2"/>
        <charset val="238"/>
      </rPr>
      <t>]</t>
    </r>
  </si>
  <si>
    <r>
      <t>kąt [rad</t>
    </r>
    <r>
      <rPr>
        <sz val="11"/>
        <color theme="0"/>
        <rFont val="Calibri"/>
        <family val="2"/>
        <charset val="238"/>
      </rPr>
      <t>]</t>
    </r>
  </si>
  <si>
    <t>kąt (°)</t>
  </si>
  <si>
    <t>[V/A*T]</t>
  </si>
  <si>
    <t>czułość polowa finalna</t>
  </si>
  <si>
    <t>czułość polowa dla punktu</t>
  </si>
  <si>
    <t>wspołczynnik korelacji</t>
  </si>
  <si>
    <t>koncentracja n nośników</t>
  </si>
  <si>
    <t>[1/m^3]</t>
  </si>
  <si>
    <t xml:space="preserve"> </t>
  </si>
  <si>
    <t>niepewność czułości polowej dla punktu</t>
  </si>
  <si>
    <t>uc=</t>
  </si>
  <si>
    <t>Uc=2*uc</t>
  </si>
  <si>
    <t>niepewność rozszerzona</t>
  </si>
  <si>
    <t>u(I_s)[mA]</t>
  </si>
  <si>
    <t>u(U_s)[V]</t>
  </si>
  <si>
    <t>pomiar nr 1</t>
  </si>
  <si>
    <t>pomiar nr 2</t>
  </si>
  <si>
    <t>pomiar nr 3</t>
  </si>
  <si>
    <t>u(U_h)[V]</t>
  </si>
  <si>
    <t>U_h[V]</t>
  </si>
  <si>
    <t>trzeba pozaokrąglać wyniki!</t>
  </si>
  <si>
    <t>czułość kątowa S_alpha [V/°]</t>
  </si>
  <si>
    <t>u(S_alpha)[V/°]</t>
  </si>
  <si>
    <t>Δα [°]</t>
  </si>
  <si>
    <t>u(Δα)[°]</t>
  </si>
  <si>
    <t>u(α)[°]</t>
  </si>
  <si>
    <t>u(S_α)[V/°]</t>
  </si>
  <si>
    <t>czułość kątowa S_α [V/°]</t>
  </si>
  <si>
    <t>DODANE SŁUPKI</t>
  </si>
  <si>
    <t>U(A)</t>
  </si>
  <si>
    <t>kąt [rad]</t>
  </si>
  <si>
    <t>zaokr. u(B_n)</t>
  </si>
  <si>
    <t>zaokr. u(U_h) [V]</t>
  </si>
  <si>
    <t>u(U_h) [V]</t>
  </si>
  <si>
    <t>U_h [V]</t>
  </si>
  <si>
    <t>u(delta U_h)</t>
  </si>
  <si>
    <r>
      <t>u(</t>
    </r>
    <r>
      <rPr>
        <sz val="11"/>
        <color theme="1"/>
        <rFont val="Calibri"/>
        <family val="2"/>
        <charset val="238"/>
      </rPr>
      <t>α</t>
    </r>
    <r>
      <rPr>
        <sz val="9.35"/>
        <color theme="1"/>
        <rFont val="Calibri"/>
        <family val="2"/>
        <charset val="238"/>
      </rPr>
      <t>)</t>
    </r>
  </si>
  <si>
    <t>niepewność finalna dla czułości polowej</t>
  </si>
  <si>
    <t xml:space="preserve">uc(gamma) = </t>
  </si>
  <si>
    <t>niepewność rozrzeszona:</t>
  </si>
  <si>
    <t>Uc(gamma)</t>
  </si>
  <si>
    <t>NIEPEWNOŚĆ KONCENTRACJI N SWOBODNYCH NOŚNIKÓW ŁADUNKU</t>
  </si>
  <si>
    <t>uc(n)</t>
  </si>
  <si>
    <t>NIEPEWNOŚĆ ROZSZERZONA</t>
  </si>
  <si>
    <t>Uc(n)</t>
  </si>
  <si>
    <t>WNIOSKI:</t>
  </si>
  <si>
    <t xml:space="preserve">Czułość polowa jest zależna od Is, tak samo jak jej niepewność. Wynika to bezpośrednio we wzoru. </t>
  </si>
  <si>
    <t>Koncentracja nośników ładównków (n) zależy od czułości polowej, która to zależna jest od Is, zatem również zależy od Is</t>
  </si>
  <si>
    <t>Dla największego badanego Is (tzn 15 mA) wyznaczone wartości są najdokładniejsze</t>
  </si>
  <si>
    <t>~0,26</t>
  </si>
  <si>
    <t>~0,51</t>
  </si>
  <si>
    <t>~ 7,5 * 10^21</t>
  </si>
  <si>
    <t>~3,8 * 10^21</t>
  </si>
  <si>
    <t>42,45(26)</t>
  </si>
  <si>
    <t>-13,47(2,7)</t>
  </si>
  <si>
    <t>73,6*10^21(3,8)</t>
  </si>
  <si>
    <t>~0,17</t>
  </si>
  <si>
    <t>~0,33</t>
  </si>
  <si>
    <t>~0,40</t>
  </si>
  <si>
    <t>~0,80</t>
  </si>
  <si>
    <t>CZYLI 3,9 * 10^21</t>
  </si>
  <si>
    <t>CZYLI 7,7* 10^21</t>
  </si>
  <si>
    <t>41,60(40)</t>
  </si>
  <si>
    <t>-32,33(17)</t>
  </si>
  <si>
    <t>75,1*10^21(3,9)</t>
  </si>
  <si>
    <t>~0,84</t>
  </si>
  <si>
    <t>czyli 4,0 * 10^21</t>
  </si>
  <si>
    <t>czyli 7,9 * 10^21</t>
  </si>
  <si>
    <t>42,78(84)</t>
  </si>
  <si>
    <t>73,0*10^21(4,0)</t>
  </si>
  <si>
    <t>~0,0034</t>
  </si>
  <si>
    <t>~0,0036</t>
  </si>
  <si>
    <t>~0,0038</t>
  </si>
  <si>
    <t>~5,3</t>
  </si>
  <si>
    <t>~ 2,7</t>
  </si>
  <si>
    <t>~0,0019</t>
  </si>
  <si>
    <t>~0,0040</t>
  </si>
  <si>
    <t>~1,7</t>
  </si>
  <si>
    <t>-52,0100(0019)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</si>
</sst>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4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rgb="FFFFFFFF"/>
      <name val="Segoe UI Historic"/>
      <family val="2"/>
    </font>
    <font>
      <sz val="9.35"/>
      <color theme="1"/>
      <name val="Calibri"/>
      <family val="2"/>
      <charset val="238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5" fillId="4" borderId="1" xfId="1" applyBorder="1" applyAlignment="1">
      <alignment horizontal="center"/>
    </xf>
    <xf numFmtId="0" fontId="4" fillId="5" borderId="1" xfId="2" applyBorder="1"/>
    <xf numFmtId="0" fontId="0" fillId="0" borderId="1" xfId="0" applyBorder="1"/>
    <xf numFmtId="0" fontId="5" fillId="4" borderId="1" xfId="1" applyBorder="1"/>
    <xf numFmtId="164" fontId="0" fillId="0" borderId="1" xfId="0" applyNumberFormat="1" applyBorder="1"/>
    <xf numFmtId="164" fontId="0" fillId="0" borderId="1" xfId="0" applyNumberFormat="1" applyBorder="1" applyAlignment="1"/>
    <xf numFmtId="0" fontId="4" fillId="6" borderId="1" xfId="3" applyBorder="1" applyAlignment="1">
      <alignment horizontal="center"/>
    </xf>
    <xf numFmtId="0" fontId="5" fillId="4" borderId="1" xfId="1" applyBorder="1" applyAlignment="1"/>
    <xf numFmtId="165" fontId="0" fillId="0" borderId="1" xfId="0" applyNumberFormat="1" applyBorder="1"/>
    <xf numFmtId="0" fontId="5" fillId="4" borderId="1" xfId="1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5" fillId="4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5" fillId="4" borderId="1" xfId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5" fillId="4" borderId="2" xfId="1" applyBorder="1" applyAlignment="1">
      <alignment horizontal="center"/>
    </xf>
    <xf numFmtId="0" fontId="0" fillId="0" borderId="2" xfId="0" applyBorder="1"/>
    <xf numFmtId="0" fontId="0" fillId="7" borderId="0" xfId="0" applyFill="1"/>
    <xf numFmtId="0" fontId="8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7" xfId="0" applyFill="1" applyBorder="1"/>
    <xf numFmtId="0" fontId="5" fillId="7" borderId="1" xfId="0" applyFont="1" applyFill="1" applyBorder="1"/>
    <xf numFmtId="0" fontId="11" fillId="7" borderId="0" xfId="0" applyFont="1" applyFill="1"/>
    <xf numFmtId="0" fontId="11" fillId="7" borderId="8" xfId="0" applyFont="1" applyFill="1" applyBorder="1"/>
    <xf numFmtId="0" fontId="11" fillId="7" borderId="0" xfId="0" applyFont="1" applyFill="1" applyBorder="1"/>
    <xf numFmtId="0" fontId="11" fillId="7" borderId="1" xfId="0" applyFont="1" applyFill="1" applyBorder="1"/>
    <xf numFmtId="0" fontId="11" fillId="7" borderId="7" xfId="0" applyFont="1" applyFill="1" applyBorder="1"/>
    <xf numFmtId="0" fontId="0" fillId="7" borderId="1" xfId="0" applyFill="1" applyBorder="1"/>
    <xf numFmtId="2" fontId="11" fillId="7" borderId="8" xfId="0" applyNumberFormat="1" applyFont="1" applyFill="1" applyBorder="1"/>
    <xf numFmtId="0" fontId="0" fillId="7" borderId="2" xfId="0" applyFill="1" applyBorder="1"/>
    <xf numFmtId="0" fontId="0" fillId="7" borderId="4" xfId="0" applyFill="1" applyBorder="1"/>
    <xf numFmtId="0" fontId="11" fillId="7" borderId="12" xfId="0" applyFont="1" applyFill="1" applyBorder="1"/>
    <xf numFmtId="0" fontId="11" fillId="7" borderId="5" xfId="0" applyFont="1" applyFill="1" applyBorder="1"/>
    <xf numFmtId="0" fontId="11" fillId="7" borderId="2" xfId="0" applyFont="1" applyFill="1" applyBorder="1"/>
    <xf numFmtId="0" fontId="11" fillId="7" borderId="4" xfId="0" applyFont="1" applyFill="1" applyBorder="1"/>
    <xf numFmtId="0" fontId="0" fillId="7" borderId="3" xfId="0" applyFill="1" applyBorder="1"/>
    <xf numFmtId="0" fontId="7" fillId="7" borderId="0" xfId="0" applyFont="1" applyFill="1" applyBorder="1"/>
    <xf numFmtId="0" fontId="9" fillId="7" borderId="3" xfId="0" applyFont="1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11" fillId="7" borderId="0" xfId="0" quotePrefix="1" applyFont="1" applyFill="1" applyBorder="1"/>
    <xf numFmtId="0" fontId="11" fillId="7" borderId="5" xfId="0" quotePrefix="1" applyFont="1" applyFill="1" applyBorder="1"/>
    <xf numFmtId="2" fontId="11" fillId="7" borderId="0" xfId="0" applyNumberFormat="1" applyFont="1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/>
    <xf numFmtId="0" fontId="7" fillId="7" borderId="0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5" xfId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0" xfId="1" applyBorder="1" applyAlignment="1">
      <alignment horizontal="center"/>
    </xf>
    <xf numFmtId="0" fontId="5" fillId="4" borderId="7" xfId="1" applyBorder="1" applyAlignment="1">
      <alignment horizontal="center"/>
    </xf>
    <xf numFmtId="0" fontId="5" fillId="4" borderId="1" xfId="1" applyBorder="1" applyAlignment="1">
      <alignment horizontal="center"/>
    </xf>
    <xf numFmtId="0" fontId="0" fillId="0" borderId="0" xfId="0" applyAlignment="1">
      <alignment horizontal="center"/>
    </xf>
    <xf numFmtId="0" fontId="5" fillId="4" borderId="0" xfId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4" borderId="2" xfId="1" applyBorder="1" applyAlignment="1">
      <alignment horizontal="center"/>
    </xf>
    <xf numFmtId="0" fontId="5" fillId="4" borderId="3" xfId="1" applyBorder="1" applyAlignment="1">
      <alignment horizontal="center"/>
    </xf>
    <xf numFmtId="0" fontId="5" fillId="4" borderId="4" xfId="1" applyBorder="1" applyAlignment="1">
      <alignment horizontal="center"/>
    </xf>
  </cellXfs>
  <cellStyles count="4">
    <cellStyle name="20% — akcent 1" xfId="2" builtinId="30"/>
    <cellStyle name="40% — akcent 1" xfId="3" builtinId="31"/>
    <cellStyle name="Akcent 1" xfId="1" builtinId="2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charakterystyki kątowej hallotronu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937292213473315"/>
          <c:y val="0.16054243408704624"/>
          <c:w val="0.81107152230971125"/>
          <c:h val="0.71041494197469757"/>
        </c:manualLayout>
      </c:layout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3"/>
              </a:solidFill>
              <a:prstDash val="sysDot"/>
              <a:miter lim="800000"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plus>
            <c:min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Arkusz1!$D$6:$D$42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Arkusz1!$E$6:$E$42</c:f>
              <c:numCache>
                <c:formatCode>General</c:formatCode>
                <c:ptCount val="37"/>
                <c:pt idx="0" formatCode="0.0000">
                  <c:v>3.7999999999999999E-2</c:v>
                </c:pt>
                <c:pt idx="1">
                  <c:v>-5.1499999999999997E-2</c:v>
                </c:pt>
                <c:pt idx="2">
                  <c:v>-0.1026</c:v>
                </c:pt>
                <c:pt idx="3" formatCode="0.0000">
                  <c:v>-0.155</c:v>
                </c:pt>
                <c:pt idx="4">
                  <c:v>-0.2011</c:v>
                </c:pt>
                <c:pt idx="5">
                  <c:v>-0.2402</c:v>
                </c:pt>
                <c:pt idx="6">
                  <c:v>-0.28520000000000001</c:v>
                </c:pt>
                <c:pt idx="7">
                  <c:v>-0.30890000000000001</c:v>
                </c:pt>
                <c:pt idx="8" formatCode="0.0000">
                  <c:v>-0.32500000000000001</c:v>
                </c:pt>
                <c:pt idx="9">
                  <c:v>-0.33329999999999999</c:v>
                </c:pt>
                <c:pt idx="10">
                  <c:v>-0.33229999999999998</c:v>
                </c:pt>
                <c:pt idx="11">
                  <c:v>-0.32269999999999999</c:v>
                </c:pt>
                <c:pt idx="12" formatCode="0.0000">
                  <c:v>-0.30299999999999999</c:v>
                </c:pt>
                <c:pt idx="13">
                  <c:v>-0.2757</c:v>
                </c:pt>
                <c:pt idx="14">
                  <c:v>-0.24160000000000001</c:v>
                </c:pt>
                <c:pt idx="15">
                  <c:v>-0.19359999999999999</c:v>
                </c:pt>
                <c:pt idx="16">
                  <c:v>-0.14549999999999999</c:v>
                </c:pt>
                <c:pt idx="17">
                  <c:v>-9.2399999999999996E-2</c:v>
                </c:pt>
                <c:pt idx="18">
                  <c:v>-3.9300000000000002E-2</c:v>
                </c:pt>
                <c:pt idx="19">
                  <c:v>1.3599999999999999E-2</c:v>
                </c:pt>
                <c:pt idx="20">
                  <c:v>7.0099999999999996E-2</c:v>
                </c:pt>
                <c:pt idx="21">
                  <c:v>0.1196</c:v>
                </c:pt>
                <c:pt idx="22">
                  <c:v>0.1651</c:v>
                </c:pt>
                <c:pt idx="23" formatCode="0.0000">
                  <c:v>0.21</c:v>
                </c:pt>
                <c:pt idx="24">
                  <c:v>0.2467</c:v>
                </c:pt>
                <c:pt idx="25">
                  <c:v>0.27429999999999999</c:v>
                </c:pt>
                <c:pt idx="26">
                  <c:v>0.29220000000000002</c:v>
                </c:pt>
                <c:pt idx="27">
                  <c:v>0.30049999999999999</c:v>
                </c:pt>
                <c:pt idx="28">
                  <c:v>0.2999</c:v>
                </c:pt>
                <c:pt idx="29">
                  <c:v>0.2898</c:v>
                </c:pt>
                <c:pt idx="30">
                  <c:v>0.2727</c:v>
                </c:pt>
                <c:pt idx="31">
                  <c:v>0.24349999999999999</c:v>
                </c:pt>
                <c:pt idx="32">
                  <c:v>0.2074</c:v>
                </c:pt>
                <c:pt idx="33">
                  <c:v>0.16839999999999999</c:v>
                </c:pt>
                <c:pt idx="34">
                  <c:v>0.11550000000000001</c:v>
                </c:pt>
                <c:pt idx="35">
                  <c:v>6.0900000000000003E-2</c:v>
                </c:pt>
                <c:pt idx="36">
                  <c:v>1.6000000000000001E-3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7FD-A079-8EBA00613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54600"/>
        <c:axId val="270154272"/>
      </c:scatterChart>
      <c:valAx>
        <c:axId val="27015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kąt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272"/>
        <c:crosses val="autoZero"/>
        <c:crossBetween val="midCat"/>
      </c:valAx>
      <c:valAx>
        <c:axId val="2701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sz="800"/>
                  <a:t>H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0555555555555555E-2"/>
              <c:y val="0.50518518518518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wykres charakterystyki kątowej hallotronu (2)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20577777777777781"/>
          <c:y val="3.9410502666221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alpha val="38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Arkusz1!$D$6:$D$42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Arkusz1!$F$6:$F$42</c:f>
              <c:numCache>
                <c:formatCode>General</c:formatCode>
                <c:ptCount val="37"/>
                <c:pt idx="0" formatCode="0.0000">
                  <c:v>8.0000000000000002E-3</c:v>
                </c:pt>
                <c:pt idx="1">
                  <c:v>-3.6600000000000001E-2</c:v>
                </c:pt>
                <c:pt idx="2">
                  <c:v>-7.4200000000000002E-2</c:v>
                </c:pt>
                <c:pt idx="3">
                  <c:v>-0.1057</c:v>
                </c:pt>
                <c:pt idx="4">
                  <c:v>-0.1363</c:v>
                </c:pt>
                <c:pt idx="5">
                  <c:v>-0.16209999999999999</c:v>
                </c:pt>
                <c:pt idx="6">
                  <c:v>-0.18479999999999999</c:v>
                </c:pt>
                <c:pt idx="7">
                  <c:v>-0.20080000000000001</c:v>
                </c:pt>
                <c:pt idx="8">
                  <c:v>-0.21190000000000001</c:v>
                </c:pt>
                <c:pt idx="9">
                  <c:v>-0.21709999999999999</c:v>
                </c:pt>
                <c:pt idx="10">
                  <c:v>-0.21640000000000001</c:v>
                </c:pt>
                <c:pt idx="11">
                  <c:v>-0.2099</c:v>
                </c:pt>
                <c:pt idx="12">
                  <c:v>-0.19789999999999999</c:v>
                </c:pt>
                <c:pt idx="13">
                  <c:v>-0.18049999999999999</c:v>
                </c:pt>
                <c:pt idx="14">
                  <c:v>-0.15759999999999999</c:v>
                </c:pt>
                <c:pt idx="15">
                  <c:v>-0.12909999999999999</c:v>
                </c:pt>
                <c:pt idx="16">
                  <c:v>-9.7100000000000006E-2</c:v>
                </c:pt>
                <c:pt idx="17">
                  <c:v>-6.2399999999999997E-2</c:v>
                </c:pt>
                <c:pt idx="18">
                  <c:v>-2.76E-2</c:v>
                </c:pt>
                <c:pt idx="19">
                  <c:v>1.67E-2</c:v>
                </c:pt>
                <c:pt idx="20">
                  <c:v>4.36E-2</c:v>
                </c:pt>
                <c:pt idx="21">
                  <c:v>7.8299999999999995E-2</c:v>
                </c:pt>
                <c:pt idx="22">
                  <c:v>0.1099</c:v>
                </c:pt>
                <c:pt idx="23">
                  <c:v>0.13780000000000001</c:v>
                </c:pt>
                <c:pt idx="24">
                  <c:v>0.15939999999999999</c:v>
                </c:pt>
                <c:pt idx="25">
                  <c:v>0.17760000000000001</c:v>
                </c:pt>
                <c:pt idx="26">
                  <c:v>0.1893</c:v>
                </c:pt>
                <c:pt idx="27">
                  <c:v>0.1951</c:v>
                </c:pt>
                <c:pt idx="28">
                  <c:v>0.19470000000000001</c:v>
                </c:pt>
                <c:pt idx="29">
                  <c:v>0.18809999999999999</c:v>
                </c:pt>
                <c:pt idx="30" formatCode="0.0000">
                  <c:v>0.17599999999999999</c:v>
                </c:pt>
                <c:pt idx="31">
                  <c:v>0.1588</c:v>
                </c:pt>
                <c:pt idx="32">
                  <c:v>0.13469999999999999</c:v>
                </c:pt>
                <c:pt idx="33">
                  <c:v>0.10979999999999999</c:v>
                </c:pt>
                <c:pt idx="34">
                  <c:v>7.6499999999999999E-2</c:v>
                </c:pt>
                <c:pt idx="35">
                  <c:v>4.24E-2</c:v>
                </c:pt>
                <c:pt idx="36">
                  <c:v>2.8E-3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8-4C89-A26D-716DC4674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34432"/>
        <c:axId val="508934760"/>
      </c:scatterChart>
      <c:valAx>
        <c:axId val="5089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kąt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8934760"/>
        <c:crosses val="autoZero"/>
        <c:crossBetween val="midCat"/>
      </c:valAx>
      <c:valAx>
        <c:axId val="50893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U</a:t>
                </a:r>
                <a:r>
                  <a:rPr lang="pl-PL" sz="8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H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89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wykres charakterystyki kątowej hallotronu (3)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21122222222222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alpha val="36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Arkusz1!$D$6:$D$42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Arkusz1!$G$6:$G$42</c:f>
              <c:numCache>
                <c:formatCode>General</c:formatCode>
                <c:ptCount val="37"/>
                <c:pt idx="0">
                  <c:v>1.1000000000000001E-3</c:v>
                </c:pt>
                <c:pt idx="1">
                  <c:v>-1.7500000000000002E-2</c:v>
                </c:pt>
                <c:pt idx="2">
                  <c:v>-3.7199999999999997E-2</c:v>
                </c:pt>
                <c:pt idx="3">
                  <c:v>-5.4199999999999998E-2</c:v>
                </c:pt>
                <c:pt idx="4" formatCode="0.0000">
                  <c:v>-6.9000000000000006E-2</c:v>
                </c:pt>
                <c:pt idx="5" formatCode="0.0000">
                  <c:v>-8.4000000000000005E-2</c:v>
                </c:pt>
                <c:pt idx="6">
                  <c:v>-9.5699999999999993E-2</c:v>
                </c:pt>
                <c:pt idx="7" formatCode="0.0000">
                  <c:v>-0.104</c:v>
                </c:pt>
                <c:pt idx="8">
                  <c:v>-0.1069</c:v>
                </c:pt>
                <c:pt idx="9">
                  <c:v>-0.1124</c:v>
                </c:pt>
                <c:pt idx="10">
                  <c:v>-0.11219999999999999</c:v>
                </c:pt>
                <c:pt idx="11">
                  <c:v>-0.1089</c:v>
                </c:pt>
                <c:pt idx="12">
                  <c:v>-0.1028</c:v>
                </c:pt>
                <c:pt idx="13">
                  <c:v>-9.35E-2</c:v>
                </c:pt>
                <c:pt idx="14">
                  <c:v>-8.14E-2</c:v>
                </c:pt>
                <c:pt idx="15">
                  <c:v>-6.7500000000000004E-2</c:v>
                </c:pt>
                <c:pt idx="16">
                  <c:v>-5.0700000000000002E-2</c:v>
                </c:pt>
                <c:pt idx="17">
                  <c:v>-3.2599999999999997E-2</c:v>
                </c:pt>
                <c:pt idx="18">
                  <c:v>-1.4800000000000001E-2</c:v>
                </c:pt>
                <c:pt idx="19" formatCode="0.0000">
                  <c:v>4.0000000000000001E-3</c:v>
                </c:pt>
                <c:pt idx="20">
                  <c:v>2.2100000000000002E-2</c:v>
                </c:pt>
                <c:pt idx="21">
                  <c:v>3.9800000000000002E-2</c:v>
                </c:pt>
                <c:pt idx="22">
                  <c:v>5.8099999999999999E-2</c:v>
                </c:pt>
                <c:pt idx="23">
                  <c:v>7.1300000000000002E-2</c:v>
                </c:pt>
                <c:pt idx="24">
                  <c:v>8.2900000000000001E-2</c:v>
                </c:pt>
                <c:pt idx="25">
                  <c:v>9.1600000000000001E-2</c:v>
                </c:pt>
                <c:pt idx="26">
                  <c:v>9.7600000000000006E-2</c:v>
                </c:pt>
                <c:pt idx="27">
                  <c:v>0.1009</c:v>
                </c:pt>
                <c:pt idx="28">
                  <c:v>0.1007</c:v>
                </c:pt>
                <c:pt idx="29">
                  <c:v>9.7100000000000006E-2</c:v>
                </c:pt>
                <c:pt idx="30">
                  <c:v>9.0899999999999995E-2</c:v>
                </c:pt>
                <c:pt idx="31">
                  <c:v>8.1900000000000001E-2</c:v>
                </c:pt>
                <c:pt idx="32">
                  <c:v>6.93E-2</c:v>
                </c:pt>
                <c:pt idx="33">
                  <c:v>5.5899999999999998E-2</c:v>
                </c:pt>
                <c:pt idx="34">
                  <c:v>3.9399999999999998E-2</c:v>
                </c:pt>
                <c:pt idx="35">
                  <c:v>2.1600000000000001E-2</c:v>
                </c:pt>
                <c:pt idx="36">
                  <c:v>1.1000000000000001E-3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0-4650-8E93-EE82E1225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98192"/>
        <c:axId val="718902456"/>
      </c:scatterChart>
      <c:valAx>
        <c:axId val="7188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pl-PL"/>
                  <a:t>ąt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902456"/>
        <c:crosses val="autoZero"/>
        <c:crossBetween val="midCat"/>
      </c:valAx>
      <c:valAx>
        <c:axId val="7189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U</a:t>
                </a:r>
                <a:r>
                  <a:rPr lang="pl-PL" sz="14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H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43209463400408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89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charakterystyki kątowej hallotronu (1)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174826334208223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Arkusz1!$D$18:$D$29</c:f>
              <c:numCache>
                <c:formatCode>General</c:formatCode>
                <c:ptCount val="12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</c:numCache>
            </c:numRef>
          </c:xVal>
          <c:yVal>
            <c:numRef>
              <c:f>Arkusz1!$E$18:$E$29</c:f>
              <c:numCache>
                <c:formatCode>General</c:formatCode>
                <c:ptCount val="12"/>
                <c:pt idx="0" formatCode="0.0000">
                  <c:v>-0.30299999999999999</c:v>
                </c:pt>
                <c:pt idx="1">
                  <c:v>-0.2757</c:v>
                </c:pt>
                <c:pt idx="2">
                  <c:v>-0.24160000000000001</c:v>
                </c:pt>
                <c:pt idx="3">
                  <c:v>-0.19359999999999999</c:v>
                </c:pt>
                <c:pt idx="4">
                  <c:v>-0.14549999999999999</c:v>
                </c:pt>
                <c:pt idx="5">
                  <c:v>-9.2399999999999996E-2</c:v>
                </c:pt>
                <c:pt idx="6">
                  <c:v>-3.9300000000000002E-2</c:v>
                </c:pt>
                <c:pt idx="7">
                  <c:v>1.3599999999999999E-2</c:v>
                </c:pt>
                <c:pt idx="8">
                  <c:v>7.0099999999999996E-2</c:v>
                </c:pt>
                <c:pt idx="9">
                  <c:v>0.1196</c:v>
                </c:pt>
                <c:pt idx="10">
                  <c:v>0.1651</c:v>
                </c:pt>
                <c:pt idx="11" formatCode="0.0000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2-4ADC-9020-AEA2054E1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29480"/>
        <c:axId val="717532104"/>
      </c:scatterChart>
      <c:valAx>
        <c:axId val="71752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532104"/>
        <c:crosses val="autoZero"/>
        <c:crossBetween val="midCat"/>
      </c:valAx>
      <c:valAx>
        <c:axId val="71753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52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charakterystyki kątowej hallotronu (2)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1926070292335777"/>
          <c:y val="1.960784313725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70255905511811"/>
          <c:y val="0.2839501312335958"/>
          <c:w val="0.85730774278215227"/>
          <c:h val="0.689125752663270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Arkusz1!$D$22:$D$28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Arkusz1!$F$22:$F$28</c:f>
              <c:numCache>
                <c:formatCode>General</c:formatCode>
                <c:ptCount val="7"/>
                <c:pt idx="0">
                  <c:v>-9.7100000000000006E-2</c:v>
                </c:pt>
                <c:pt idx="1">
                  <c:v>-6.2399999999999997E-2</c:v>
                </c:pt>
                <c:pt idx="2">
                  <c:v>-2.76E-2</c:v>
                </c:pt>
                <c:pt idx="3">
                  <c:v>1.67E-2</c:v>
                </c:pt>
                <c:pt idx="4">
                  <c:v>4.36E-2</c:v>
                </c:pt>
                <c:pt idx="5">
                  <c:v>7.8299999999999995E-2</c:v>
                </c:pt>
                <c:pt idx="6">
                  <c:v>0.1099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2-4AD8-BAFE-77FB1FF9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41288"/>
        <c:axId val="717545224"/>
      </c:scatterChart>
      <c:valAx>
        <c:axId val="71754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545224"/>
        <c:crosses val="autoZero"/>
        <c:crossBetween val="midCat"/>
      </c:valAx>
      <c:valAx>
        <c:axId val="71754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54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charakterystyki kątowej hallotronu (3)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29740256753286087"/>
          <c:w val="0.85730774278215227"/>
          <c:h val="0.649046470888133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Arkusz1!$D$22:$D$28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Arkusz1!$G$22:$G$28</c:f>
              <c:numCache>
                <c:formatCode>General</c:formatCode>
                <c:ptCount val="7"/>
                <c:pt idx="0">
                  <c:v>-5.0700000000000002E-2</c:v>
                </c:pt>
                <c:pt idx="1">
                  <c:v>-3.2599999999999997E-2</c:v>
                </c:pt>
                <c:pt idx="2">
                  <c:v>-1.4800000000000001E-2</c:v>
                </c:pt>
                <c:pt idx="3" formatCode="0.0000">
                  <c:v>4.0000000000000001E-3</c:v>
                </c:pt>
                <c:pt idx="4">
                  <c:v>2.2100000000000002E-2</c:v>
                </c:pt>
                <c:pt idx="5">
                  <c:v>3.9800000000000002E-2</c:v>
                </c:pt>
                <c:pt idx="6">
                  <c:v>5.8099999999999999E-2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C-4B39-999C-E2BAACCE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025256"/>
        <c:axId val="770027880"/>
      </c:scatterChart>
      <c:valAx>
        <c:axId val="77002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027880"/>
        <c:crosses val="autoZero"/>
        <c:crossBetween val="midCat"/>
      </c:valAx>
      <c:valAx>
        <c:axId val="77002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02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U od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Arkusz1!$F$78:$F$114</c:f>
                <c:numCache>
                  <c:formatCode>General</c:formatCode>
                  <c:ptCount val="37"/>
                  <c:pt idx="0">
                    <c:v>2.0499242248758081E-2</c:v>
                  </c:pt>
                  <c:pt idx="1">
                    <c:v>1.9738983811743563E-2</c:v>
                  </c:pt>
                  <c:pt idx="2">
                    <c:v>2.2046370549213334E-2</c:v>
                  </c:pt>
                  <c:pt idx="3">
                    <c:v>2.6416562637451964E-2</c:v>
                  </c:pt>
                  <c:pt idx="4">
                    <c:v>3.1614224379154003E-2</c:v>
                  </c:pt>
                  <c:pt idx="5">
                    <c:v>3.6804012072319099E-2</c:v>
                  </c:pt>
                  <c:pt idx="6">
                    <c:v>4.14757245328993E-2</c:v>
                  </c:pt>
                  <c:pt idx="7">
                    <c:v>4.5303990750253022E-2</c:v>
                  </c:pt>
                  <c:pt idx="8">
                    <c:v>4.8074033811923662E-2</c:v>
                  </c:pt>
                  <c:pt idx="9">
                    <c:v>4.9648976028457151E-2</c:v>
                  </c:pt>
                  <c:pt idx="10">
                    <c:v>4.9956103446198712E-2</c:v>
                  </c:pt>
                  <c:pt idx="11">
                    <c:v>4.8981601638312722E-2</c:v>
                  </c:pt>
                  <c:pt idx="12">
                    <c:v>4.6769701430190443E-2</c:v>
                  </c:pt>
                  <c:pt idx="13">
                    <c:v>4.3425575072209295E-2</c:v>
                  </c:pt>
                  <c:pt idx="14">
                    <c:v>3.9124218188075925E-2</c:v>
                  </c:pt>
                  <c:pt idx="15">
                    <c:v>3.4132155336553761E-2</c:v>
                  </c:pt>
                  <c:pt idx="16">
                    <c:v>2.8858069504881467E-2</c:v>
                  </c:pt>
                  <c:pt idx="17">
                    <c:v>2.3960947946556718E-2</c:v>
                  </c:pt>
                  <c:pt idx="18">
                    <c:v>2.0499242248758084E-2</c:v>
                  </c:pt>
                  <c:pt idx="19">
                    <c:v>1.9738983811743566E-2</c:v>
                  </c:pt>
                  <c:pt idx="20">
                    <c:v>2.204637054921333E-2</c:v>
                  </c:pt>
                  <c:pt idx="21">
                    <c:v>2.6416562637451974E-2</c:v>
                  </c:pt>
                  <c:pt idx="22">
                    <c:v>3.1614224379154003E-2</c:v>
                  </c:pt>
                  <c:pt idx="23">
                    <c:v>3.6804012072319099E-2</c:v>
                  </c:pt>
                  <c:pt idx="24">
                    <c:v>4.1475724532899293E-2</c:v>
                  </c:pt>
                  <c:pt idx="25">
                    <c:v>4.5303990750253015E-2</c:v>
                  </c:pt>
                  <c:pt idx="26">
                    <c:v>4.8074033811923662E-2</c:v>
                  </c:pt>
                  <c:pt idx="27">
                    <c:v>4.9648976028457151E-2</c:v>
                  </c:pt>
                  <c:pt idx="28">
                    <c:v>4.9956103446198712E-2</c:v>
                  </c:pt>
                  <c:pt idx="29">
                    <c:v>4.8981601638312729E-2</c:v>
                  </c:pt>
                  <c:pt idx="30">
                    <c:v>4.6769701430190443E-2</c:v>
                  </c:pt>
                  <c:pt idx="31">
                    <c:v>4.3425575072209302E-2</c:v>
                  </c:pt>
                  <c:pt idx="32">
                    <c:v>3.9124218188075925E-2</c:v>
                  </c:pt>
                  <c:pt idx="33">
                    <c:v>3.4132155336553782E-2</c:v>
                  </c:pt>
                  <c:pt idx="34">
                    <c:v>2.885806950488146E-2</c:v>
                  </c:pt>
                  <c:pt idx="35">
                    <c:v>2.3960947946556746E-2</c:v>
                  </c:pt>
                  <c:pt idx="36">
                    <c:v>2.0499242248758088E-2</c:v>
                  </c:pt>
                </c:numCache>
              </c:numRef>
            </c:plus>
            <c:minus>
              <c:numRef>
                <c:f>Arkusz1!$F$78:$F$114</c:f>
                <c:numCache>
                  <c:formatCode>General</c:formatCode>
                  <c:ptCount val="37"/>
                  <c:pt idx="0">
                    <c:v>2.0499242248758081E-2</c:v>
                  </c:pt>
                  <c:pt idx="1">
                    <c:v>1.9738983811743563E-2</c:v>
                  </c:pt>
                  <c:pt idx="2">
                    <c:v>2.2046370549213334E-2</c:v>
                  </c:pt>
                  <c:pt idx="3">
                    <c:v>2.6416562637451964E-2</c:v>
                  </c:pt>
                  <c:pt idx="4">
                    <c:v>3.1614224379154003E-2</c:v>
                  </c:pt>
                  <c:pt idx="5">
                    <c:v>3.6804012072319099E-2</c:v>
                  </c:pt>
                  <c:pt idx="6">
                    <c:v>4.14757245328993E-2</c:v>
                  </c:pt>
                  <c:pt idx="7">
                    <c:v>4.5303990750253022E-2</c:v>
                  </c:pt>
                  <c:pt idx="8">
                    <c:v>4.8074033811923662E-2</c:v>
                  </c:pt>
                  <c:pt idx="9">
                    <c:v>4.9648976028457151E-2</c:v>
                  </c:pt>
                  <c:pt idx="10">
                    <c:v>4.9956103446198712E-2</c:v>
                  </c:pt>
                  <c:pt idx="11">
                    <c:v>4.8981601638312722E-2</c:v>
                  </c:pt>
                  <c:pt idx="12">
                    <c:v>4.6769701430190443E-2</c:v>
                  </c:pt>
                  <c:pt idx="13">
                    <c:v>4.3425575072209295E-2</c:v>
                  </c:pt>
                  <c:pt idx="14">
                    <c:v>3.9124218188075925E-2</c:v>
                  </c:pt>
                  <c:pt idx="15">
                    <c:v>3.4132155336553761E-2</c:v>
                  </c:pt>
                  <c:pt idx="16">
                    <c:v>2.8858069504881467E-2</c:v>
                  </c:pt>
                  <c:pt idx="17">
                    <c:v>2.3960947946556718E-2</c:v>
                  </c:pt>
                  <c:pt idx="18">
                    <c:v>2.0499242248758084E-2</c:v>
                  </c:pt>
                  <c:pt idx="19">
                    <c:v>1.9738983811743566E-2</c:v>
                  </c:pt>
                  <c:pt idx="20">
                    <c:v>2.204637054921333E-2</c:v>
                  </c:pt>
                  <c:pt idx="21">
                    <c:v>2.6416562637451974E-2</c:v>
                  </c:pt>
                  <c:pt idx="22">
                    <c:v>3.1614224379154003E-2</c:v>
                  </c:pt>
                  <c:pt idx="23">
                    <c:v>3.6804012072319099E-2</c:v>
                  </c:pt>
                  <c:pt idx="24">
                    <c:v>4.1475724532899293E-2</c:v>
                  </c:pt>
                  <c:pt idx="25">
                    <c:v>4.5303990750253015E-2</c:v>
                  </c:pt>
                  <c:pt idx="26">
                    <c:v>4.8074033811923662E-2</c:v>
                  </c:pt>
                  <c:pt idx="27">
                    <c:v>4.9648976028457151E-2</c:v>
                  </c:pt>
                  <c:pt idx="28">
                    <c:v>4.9956103446198712E-2</c:v>
                  </c:pt>
                  <c:pt idx="29">
                    <c:v>4.8981601638312729E-2</c:v>
                  </c:pt>
                  <c:pt idx="30">
                    <c:v>4.6769701430190443E-2</c:v>
                  </c:pt>
                  <c:pt idx="31">
                    <c:v>4.3425575072209302E-2</c:v>
                  </c:pt>
                  <c:pt idx="32">
                    <c:v>3.9124218188075925E-2</c:v>
                  </c:pt>
                  <c:pt idx="33">
                    <c:v>3.4132155336553782E-2</c:v>
                  </c:pt>
                  <c:pt idx="34">
                    <c:v>2.885806950488146E-2</c:v>
                  </c:pt>
                  <c:pt idx="35">
                    <c:v>2.3960947946556746E-2</c:v>
                  </c:pt>
                  <c:pt idx="36">
                    <c:v>2.0499242248758088E-2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Arkusz1!$E$78:$E$114</c:f>
              <c:numCache>
                <c:formatCode>0.0000</c:formatCode>
                <c:ptCount val="37"/>
                <c:pt idx="0">
                  <c:v>6.4304926082372621E-2</c:v>
                </c:pt>
                <c:pt idx="1">
                  <c:v>-2.2775048340971007E-2</c:v>
                </c:pt>
                <c:pt idx="2">
                  <c:v>-0.10916301444520499</c:v>
                </c:pt>
                <c:pt idx="3">
                  <c:v>-0.19223411759467185</c:v>
                </c:pt>
                <c:pt idx="4">
                  <c:v>-0.26946428435618192</c:v>
                </c:pt>
                <c:pt idx="5">
                  <c:v>-0.33850691519303638</c:v>
                </c:pt>
                <c:pt idx="6">
                  <c:v>-0.39726418470451458</c:v>
                </c:pt>
                <c:pt idx="7">
                  <c:v>-0.44395078298912333</c:v>
                </c:pt>
                <c:pt idx="8">
                  <c:v>-0.47714816138254323</c:v>
                </c:pt>
                <c:pt idx="9">
                  <c:v>-0.49584763434097434</c:v>
                </c:pt>
                <c:pt idx="10">
                  <c:v>-0.4994810278409646</c:v>
                </c:pt>
                <c:pt idx="11">
                  <c:v>-0.48793794305960259</c:v>
                </c:pt>
                <c:pt idx="12">
                  <c:v>-0.46156911078688734</c:v>
                </c:pt>
                <c:pt idx="13">
                  <c:v>-0.42117573464815222</c:v>
                </c:pt>
                <c:pt idx="14">
                  <c:v>-0.36798514693733836</c:v>
                </c:pt>
                <c:pt idx="15">
                  <c:v>-0.30361351674630238</c:v>
                </c:pt>
                <c:pt idx="16">
                  <c:v>-0.23001674348478274</c:v>
                </c:pt>
                <c:pt idx="17">
                  <c:v>-0.14943102786656609</c:v>
                </c:pt>
                <c:pt idx="18">
                  <c:v>-6.430492608237269E-2</c:v>
                </c:pt>
                <c:pt idx="19">
                  <c:v>2.2775048340971167E-2</c:v>
                </c:pt>
                <c:pt idx="20">
                  <c:v>0.10916301444520493</c:v>
                </c:pt>
                <c:pt idx="21">
                  <c:v>0.19223411759467202</c:v>
                </c:pt>
                <c:pt idx="22">
                  <c:v>0.26946428435618186</c:v>
                </c:pt>
                <c:pt idx="23">
                  <c:v>0.33850691519303633</c:v>
                </c:pt>
                <c:pt idx="24">
                  <c:v>0.39726418470451452</c:v>
                </c:pt>
                <c:pt idx="25">
                  <c:v>0.44395078298912322</c:v>
                </c:pt>
                <c:pt idx="26">
                  <c:v>0.47714816138254323</c:v>
                </c:pt>
                <c:pt idx="27">
                  <c:v>0.49584763434097434</c:v>
                </c:pt>
                <c:pt idx="28">
                  <c:v>0.4994810278409646</c:v>
                </c:pt>
                <c:pt idx="29">
                  <c:v>0.48793794305960264</c:v>
                </c:pt>
                <c:pt idx="30">
                  <c:v>0.46156911078688728</c:v>
                </c:pt>
                <c:pt idx="31">
                  <c:v>0.42117573464815228</c:v>
                </c:pt>
                <c:pt idx="32">
                  <c:v>0.36798514693733836</c:v>
                </c:pt>
                <c:pt idx="33">
                  <c:v>0.3036135167463026</c:v>
                </c:pt>
                <c:pt idx="34">
                  <c:v>0.2300167434847826</c:v>
                </c:pt>
                <c:pt idx="35">
                  <c:v>0.14943102786656659</c:v>
                </c:pt>
                <c:pt idx="36">
                  <c:v>6.4304926082372746E-2</c:v>
                </c:pt>
              </c:numCache>
            </c:numRef>
          </c:xVal>
          <c:yVal>
            <c:numRef>
              <c:f>Arkusz1!$E$6:$E$42</c:f>
              <c:numCache>
                <c:formatCode>General</c:formatCode>
                <c:ptCount val="37"/>
                <c:pt idx="0" formatCode="0.0000">
                  <c:v>3.7999999999999999E-2</c:v>
                </c:pt>
                <c:pt idx="1">
                  <c:v>-5.1499999999999997E-2</c:v>
                </c:pt>
                <c:pt idx="2">
                  <c:v>-0.1026</c:v>
                </c:pt>
                <c:pt idx="3" formatCode="0.0000">
                  <c:v>-0.155</c:v>
                </c:pt>
                <c:pt idx="4">
                  <c:v>-0.2011</c:v>
                </c:pt>
                <c:pt idx="5">
                  <c:v>-0.2402</c:v>
                </c:pt>
                <c:pt idx="6">
                  <c:v>-0.28520000000000001</c:v>
                </c:pt>
                <c:pt idx="7">
                  <c:v>-0.30890000000000001</c:v>
                </c:pt>
                <c:pt idx="8" formatCode="0.0000">
                  <c:v>-0.32500000000000001</c:v>
                </c:pt>
                <c:pt idx="9">
                  <c:v>-0.33329999999999999</c:v>
                </c:pt>
                <c:pt idx="10">
                  <c:v>-0.33229999999999998</c:v>
                </c:pt>
                <c:pt idx="11">
                  <c:v>-0.32269999999999999</c:v>
                </c:pt>
                <c:pt idx="12" formatCode="0.0000">
                  <c:v>-0.30299999999999999</c:v>
                </c:pt>
                <c:pt idx="13">
                  <c:v>-0.2757</c:v>
                </c:pt>
                <c:pt idx="14">
                  <c:v>-0.24160000000000001</c:v>
                </c:pt>
                <c:pt idx="15">
                  <c:v>-0.19359999999999999</c:v>
                </c:pt>
                <c:pt idx="16">
                  <c:v>-0.14549999999999999</c:v>
                </c:pt>
                <c:pt idx="17">
                  <c:v>-9.2399999999999996E-2</c:v>
                </c:pt>
                <c:pt idx="18">
                  <c:v>-3.9300000000000002E-2</c:v>
                </c:pt>
                <c:pt idx="19">
                  <c:v>1.3599999999999999E-2</c:v>
                </c:pt>
                <c:pt idx="20">
                  <c:v>7.0099999999999996E-2</c:v>
                </c:pt>
                <c:pt idx="21">
                  <c:v>0.1196</c:v>
                </c:pt>
                <c:pt idx="22">
                  <c:v>0.1651</c:v>
                </c:pt>
                <c:pt idx="23" formatCode="0.0000">
                  <c:v>0.21</c:v>
                </c:pt>
                <c:pt idx="24">
                  <c:v>0.2467</c:v>
                </c:pt>
                <c:pt idx="25">
                  <c:v>0.27429999999999999</c:v>
                </c:pt>
                <c:pt idx="26">
                  <c:v>0.29220000000000002</c:v>
                </c:pt>
                <c:pt idx="27">
                  <c:v>0.30049999999999999</c:v>
                </c:pt>
                <c:pt idx="28">
                  <c:v>0.2999</c:v>
                </c:pt>
                <c:pt idx="29">
                  <c:v>0.2898</c:v>
                </c:pt>
                <c:pt idx="30">
                  <c:v>0.2727</c:v>
                </c:pt>
                <c:pt idx="31">
                  <c:v>0.24349999999999999</c:v>
                </c:pt>
                <c:pt idx="32">
                  <c:v>0.2074</c:v>
                </c:pt>
                <c:pt idx="33">
                  <c:v>0.16839999999999999</c:v>
                </c:pt>
                <c:pt idx="34">
                  <c:v>0.11550000000000001</c:v>
                </c:pt>
                <c:pt idx="35">
                  <c:v>6.0900000000000003E-2</c:v>
                </c:pt>
                <c:pt idx="36">
                  <c:v>1.6000000000000001E-3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5-4D99-9A01-B38DEC54E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478608"/>
        <c:axId val="261477360"/>
      </c:scatterChart>
      <c:valAx>
        <c:axId val="26147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477360"/>
        <c:crosses val="autoZero"/>
        <c:crossBetween val="midCat"/>
      </c:valAx>
      <c:valAx>
        <c:axId val="2614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47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U od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Arkusz1!$H$78:$H$114</c:f>
                <c:numCache>
                  <c:formatCode>General</c:formatCode>
                  <c:ptCount val="37"/>
                  <c:pt idx="0">
                    <c:v>3.4902830731822973E-2</c:v>
                  </c:pt>
                  <c:pt idx="1">
                    <c:v>3.4639964975727612E-2</c:v>
                  </c:pt>
                  <c:pt idx="2">
                    <c:v>3.5494768471432202E-2</c:v>
                  </c:pt>
                  <c:pt idx="3">
                    <c:v>3.7293844178104635E-2</c:v>
                  </c:pt>
                  <c:pt idx="4">
                    <c:v>3.9711321770843647E-2</c:v>
                  </c:pt>
                  <c:pt idx="5">
                    <c:v>4.2378059706818599E-2</c:v>
                  </c:pt>
                  <c:pt idx="6">
                    <c:v>4.4957307919115154E-2</c:v>
                  </c:pt>
                  <c:pt idx="7">
                    <c:v>4.7176246333462304E-2</c:v>
                  </c:pt>
                  <c:pt idx="8">
                    <c:v>4.883193289766212E-2</c:v>
                  </c:pt>
                  <c:pt idx="9">
                    <c:v>4.9788201781155512E-2</c:v>
                  </c:pt>
                  <c:pt idx="10">
                    <c:v>4.99714464086813E-2</c:v>
                  </c:pt>
                  <c:pt idx="11">
                    <c:v>4.9367945479377257E-2</c:v>
                  </c:pt>
                  <c:pt idx="12">
                    <c:v>4.8023346573459386E-2</c:v>
                  </c:pt>
                  <c:pt idx="13">
                    <c:v>4.6044365050545127E-2</c:v>
                  </c:pt>
                  <c:pt idx="14">
                    <c:v>4.3602438982018654E-2</c:v>
                  </c:pt>
                  <c:pt idx="15">
                    <c:v>4.0937917562587474E-2</c:v>
                  </c:pt>
                  <c:pt idx="16">
                    <c:v>3.8359802027380513E-2</c:v>
                  </c:pt>
                  <c:pt idx="17">
                    <c:v>3.6228648321094813E-2</c:v>
                  </c:pt>
                  <c:pt idx="18">
                    <c:v>3.4902830731822973E-2</c:v>
                  </c:pt>
                  <c:pt idx="19">
                    <c:v>3.4639964975727612E-2</c:v>
                  </c:pt>
                  <c:pt idx="20">
                    <c:v>3.5494768471432202E-2</c:v>
                  </c:pt>
                  <c:pt idx="21">
                    <c:v>3.7293844178104635E-2</c:v>
                  </c:pt>
                  <c:pt idx="22">
                    <c:v>3.9711321770843647E-2</c:v>
                  </c:pt>
                  <c:pt idx="23">
                    <c:v>4.2378059706818599E-2</c:v>
                  </c:pt>
                  <c:pt idx="24">
                    <c:v>4.4957307919115147E-2</c:v>
                  </c:pt>
                  <c:pt idx="25">
                    <c:v>4.7176246333462304E-2</c:v>
                  </c:pt>
                  <c:pt idx="26">
                    <c:v>4.883193289766212E-2</c:v>
                  </c:pt>
                  <c:pt idx="27">
                    <c:v>4.9788201781155512E-2</c:v>
                  </c:pt>
                  <c:pt idx="28">
                    <c:v>4.99714464086813E-2</c:v>
                  </c:pt>
                  <c:pt idx="29">
                    <c:v>4.9367945479377257E-2</c:v>
                  </c:pt>
                  <c:pt idx="30">
                    <c:v>4.8023346573459386E-2</c:v>
                  </c:pt>
                  <c:pt idx="31">
                    <c:v>4.6044365050545134E-2</c:v>
                  </c:pt>
                  <c:pt idx="32">
                    <c:v>4.3602438982018661E-2</c:v>
                  </c:pt>
                  <c:pt idx="33">
                    <c:v>4.0937917562587488E-2</c:v>
                  </c:pt>
                  <c:pt idx="34">
                    <c:v>3.8359802027380506E-2</c:v>
                  </c:pt>
                  <c:pt idx="35">
                    <c:v>3.6228648321094827E-2</c:v>
                  </c:pt>
                  <c:pt idx="36">
                    <c:v>3.4902830731822966E-2</c:v>
                  </c:pt>
                </c:numCache>
              </c:numRef>
            </c:plus>
            <c:minus>
              <c:numRef>
                <c:f>Arkusz1!$H$78:$H$114</c:f>
                <c:numCache>
                  <c:formatCode>General</c:formatCode>
                  <c:ptCount val="37"/>
                  <c:pt idx="0">
                    <c:v>3.4902830731822973E-2</c:v>
                  </c:pt>
                  <c:pt idx="1">
                    <c:v>3.4639964975727612E-2</c:v>
                  </c:pt>
                  <c:pt idx="2">
                    <c:v>3.5494768471432202E-2</c:v>
                  </c:pt>
                  <c:pt idx="3">
                    <c:v>3.7293844178104635E-2</c:v>
                  </c:pt>
                  <c:pt idx="4">
                    <c:v>3.9711321770843647E-2</c:v>
                  </c:pt>
                  <c:pt idx="5">
                    <c:v>4.2378059706818599E-2</c:v>
                  </c:pt>
                  <c:pt idx="6">
                    <c:v>4.4957307919115154E-2</c:v>
                  </c:pt>
                  <c:pt idx="7">
                    <c:v>4.7176246333462304E-2</c:v>
                  </c:pt>
                  <c:pt idx="8">
                    <c:v>4.883193289766212E-2</c:v>
                  </c:pt>
                  <c:pt idx="9">
                    <c:v>4.9788201781155512E-2</c:v>
                  </c:pt>
                  <c:pt idx="10">
                    <c:v>4.99714464086813E-2</c:v>
                  </c:pt>
                  <c:pt idx="11">
                    <c:v>4.9367945479377257E-2</c:v>
                  </c:pt>
                  <c:pt idx="12">
                    <c:v>4.8023346573459386E-2</c:v>
                  </c:pt>
                  <c:pt idx="13">
                    <c:v>4.6044365050545127E-2</c:v>
                  </c:pt>
                  <c:pt idx="14">
                    <c:v>4.3602438982018654E-2</c:v>
                  </c:pt>
                  <c:pt idx="15">
                    <c:v>4.0937917562587474E-2</c:v>
                  </c:pt>
                  <c:pt idx="16">
                    <c:v>3.8359802027380513E-2</c:v>
                  </c:pt>
                  <c:pt idx="17">
                    <c:v>3.6228648321094813E-2</c:v>
                  </c:pt>
                  <c:pt idx="18">
                    <c:v>3.4902830731822973E-2</c:v>
                  </c:pt>
                  <c:pt idx="19">
                    <c:v>3.4639964975727612E-2</c:v>
                  </c:pt>
                  <c:pt idx="20">
                    <c:v>3.5494768471432202E-2</c:v>
                  </c:pt>
                  <c:pt idx="21">
                    <c:v>3.7293844178104635E-2</c:v>
                  </c:pt>
                  <c:pt idx="22">
                    <c:v>3.9711321770843647E-2</c:v>
                  </c:pt>
                  <c:pt idx="23">
                    <c:v>4.2378059706818599E-2</c:v>
                  </c:pt>
                  <c:pt idx="24">
                    <c:v>4.4957307919115147E-2</c:v>
                  </c:pt>
                  <c:pt idx="25">
                    <c:v>4.7176246333462304E-2</c:v>
                  </c:pt>
                  <c:pt idx="26">
                    <c:v>4.883193289766212E-2</c:v>
                  </c:pt>
                  <c:pt idx="27">
                    <c:v>4.9788201781155512E-2</c:v>
                  </c:pt>
                  <c:pt idx="28">
                    <c:v>4.99714464086813E-2</c:v>
                  </c:pt>
                  <c:pt idx="29">
                    <c:v>4.9367945479377257E-2</c:v>
                  </c:pt>
                  <c:pt idx="30">
                    <c:v>4.8023346573459386E-2</c:v>
                  </c:pt>
                  <c:pt idx="31">
                    <c:v>4.6044365050545134E-2</c:v>
                  </c:pt>
                  <c:pt idx="32">
                    <c:v>4.3602438982018661E-2</c:v>
                  </c:pt>
                  <c:pt idx="33">
                    <c:v>4.0937917562587488E-2</c:v>
                  </c:pt>
                  <c:pt idx="34">
                    <c:v>3.8359802027380506E-2</c:v>
                  </c:pt>
                  <c:pt idx="35">
                    <c:v>3.6228648321094827E-2</c:v>
                  </c:pt>
                  <c:pt idx="36">
                    <c:v>3.4902830731822966E-2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Arkusz1!$G$78:$G$114</c:f>
              <c:numCache>
                <c:formatCode>General</c:formatCode>
                <c:ptCount val="37"/>
                <c:pt idx="0">
                  <c:v>6.3681113798676248E-2</c:v>
                </c:pt>
                <c:pt idx="1">
                  <c:v>-2.3403362422805912E-2</c:v>
                </c:pt>
                <c:pt idx="2">
                  <c:v>-0.10977673931974415</c:v>
                </c:pt>
                <c:pt idx="3">
                  <c:v>-0.19281460554216215</c:v>
                </c:pt>
                <c:pt idx="4">
                  <c:v>-0.26999389754407993</c:v>
                </c:pt>
                <c:pt idx="5">
                  <c:v>-0.33896956159262503</c:v>
                </c:pt>
                <c:pt idx="6">
                  <c:v>-0.39764580703905289</c:v>
                </c:pt>
                <c:pt idx="7">
                  <c:v>-0.44423978585708629</c:v>
                </c:pt>
                <c:pt idx="8">
                  <c:v>-0.47733576357803048</c:v>
                </c:pt>
                <c:pt idx="9">
                  <c:v>-0.49592813566620725</c:v>
                </c:pt>
                <c:pt idx="10">
                  <c:v>-0.49945198230391158</c:v>
                </c:pt>
                <c:pt idx="11">
                  <c:v>-0.48780023319420929</c:v>
                </c:pt>
                <c:pt idx="12">
                  <c:v>-0.46132692083772914</c:v>
                </c:pt>
                <c:pt idx="13">
                  <c:v>-0.42083642343428029</c:v>
                </c:pt>
                <c:pt idx="14">
                  <c:v>-0.3675590242582864</c:v>
                </c:pt>
                <c:pt idx="15">
                  <c:v>-0.30311353012404496</c:v>
                </c:pt>
                <c:pt idx="16">
                  <c:v>-0.2294580847598317</c:v>
                </c:pt>
                <c:pt idx="17">
                  <c:v>-0.14883067160158414</c:v>
                </c:pt>
                <c:pt idx="18">
                  <c:v>-6.3681113798676317E-2</c:v>
                </c:pt>
                <c:pt idx="19">
                  <c:v>2.3403362422806072E-2</c:v>
                </c:pt>
                <c:pt idx="20">
                  <c:v>0.10977673931974408</c:v>
                </c:pt>
                <c:pt idx="21">
                  <c:v>0.19281460554216229</c:v>
                </c:pt>
                <c:pt idx="22">
                  <c:v>0.26999389754407987</c:v>
                </c:pt>
                <c:pt idx="23">
                  <c:v>0.33896956159262503</c:v>
                </c:pt>
                <c:pt idx="24">
                  <c:v>0.39764580703905272</c:v>
                </c:pt>
                <c:pt idx="25">
                  <c:v>0.44423978585708618</c:v>
                </c:pt>
                <c:pt idx="26">
                  <c:v>0.47733576357803048</c:v>
                </c:pt>
                <c:pt idx="27">
                  <c:v>0.49592813566620719</c:v>
                </c:pt>
                <c:pt idx="28">
                  <c:v>0.49945198230391158</c:v>
                </c:pt>
                <c:pt idx="29">
                  <c:v>0.48780023319420934</c:v>
                </c:pt>
                <c:pt idx="30">
                  <c:v>0.46132692083772908</c:v>
                </c:pt>
                <c:pt idx="31">
                  <c:v>0.42083642343428035</c:v>
                </c:pt>
                <c:pt idx="32">
                  <c:v>0.36755902425828646</c:v>
                </c:pt>
                <c:pt idx="33">
                  <c:v>0.30311353012404524</c:v>
                </c:pt>
                <c:pt idx="34">
                  <c:v>0.22945808475983157</c:v>
                </c:pt>
                <c:pt idx="35">
                  <c:v>0.14883067160158461</c:v>
                </c:pt>
                <c:pt idx="36">
                  <c:v>6.3681113798676373E-2</c:v>
                </c:pt>
              </c:numCache>
            </c:numRef>
          </c:xVal>
          <c:yVal>
            <c:numRef>
              <c:f>Arkusz1!$F$6:$F$42</c:f>
              <c:numCache>
                <c:formatCode>General</c:formatCode>
                <c:ptCount val="37"/>
                <c:pt idx="0" formatCode="0.0000">
                  <c:v>8.0000000000000002E-3</c:v>
                </c:pt>
                <c:pt idx="1">
                  <c:v>-3.6600000000000001E-2</c:v>
                </c:pt>
                <c:pt idx="2">
                  <c:v>-7.4200000000000002E-2</c:v>
                </c:pt>
                <c:pt idx="3">
                  <c:v>-0.1057</c:v>
                </c:pt>
                <c:pt idx="4">
                  <c:v>-0.1363</c:v>
                </c:pt>
                <c:pt idx="5">
                  <c:v>-0.16209999999999999</c:v>
                </c:pt>
                <c:pt idx="6">
                  <c:v>-0.18479999999999999</c:v>
                </c:pt>
                <c:pt idx="7">
                  <c:v>-0.20080000000000001</c:v>
                </c:pt>
                <c:pt idx="8">
                  <c:v>-0.21190000000000001</c:v>
                </c:pt>
                <c:pt idx="9">
                  <c:v>-0.21709999999999999</c:v>
                </c:pt>
                <c:pt idx="10">
                  <c:v>-0.21640000000000001</c:v>
                </c:pt>
                <c:pt idx="11">
                  <c:v>-0.2099</c:v>
                </c:pt>
                <c:pt idx="12">
                  <c:v>-0.19789999999999999</c:v>
                </c:pt>
                <c:pt idx="13">
                  <c:v>-0.18049999999999999</c:v>
                </c:pt>
                <c:pt idx="14">
                  <c:v>-0.15759999999999999</c:v>
                </c:pt>
                <c:pt idx="15">
                  <c:v>-0.12909999999999999</c:v>
                </c:pt>
                <c:pt idx="16">
                  <c:v>-9.7100000000000006E-2</c:v>
                </c:pt>
                <c:pt idx="17">
                  <c:v>-6.2399999999999997E-2</c:v>
                </c:pt>
                <c:pt idx="18">
                  <c:v>-2.76E-2</c:v>
                </c:pt>
                <c:pt idx="19">
                  <c:v>1.67E-2</c:v>
                </c:pt>
                <c:pt idx="20">
                  <c:v>4.36E-2</c:v>
                </c:pt>
                <c:pt idx="21">
                  <c:v>7.8299999999999995E-2</c:v>
                </c:pt>
                <c:pt idx="22">
                  <c:v>0.1099</c:v>
                </c:pt>
                <c:pt idx="23">
                  <c:v>0.13780000000000001</c:v>
                </c:pt>
                <c:pt idx="24">
                  <c:v>0.15939999999999999</c:v>
                </c:pt>
                <c:pt idx="25">
                  <c:v>0.17760000000000001</c:v>
                </c:pt>
                <c:pt idx="26">
                  <c:v>0.1893</c:v>
                </c:pt>
                <c:pt idx="27">
                  <c:v>0.1951</c:v>
                </c:pt>
                <c:pt idx="28">
                  <c:v>0.19470000000000001</c:v>
                </c:pt>
                <c:pt idx="29">
                  <c:v>0.18809999999999999</c:v>
                </c:pt>
                <c:pt idx="30" formatCode="0.0000">
                  <c:v>0.17599999999999999</c:v>
                </c:pt>
                <c:pt idx="31">
                  <c:v>0.1588</c:v>
                </c:pt>
                <c:pt idx="32">
                  <c:v>0.13469999999999999</c:v>
                </c:pt>
                <c:pt idx="33">
                  <c:v>0.10979999999999999</c:v>
                </c:pt>
                <c:pt idx="34">
                  <c:v>7.6499999999999999E-2</c:v>
                </c:pt>
                <c:pt idx="35">
                  <c:v>4.24E-2</c:v>
                </c:pt>
                <c:pt idx="36">
                  <c:v>2.8E-3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E-4C61-8FDF-00CEF0A8A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878704"/>
        <c:axId val="310872464"/>
      </c:scatterChart>
      <c:valAx>
        <c:axId val="31087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872464"/>
        <c:crosses val="autoZero"/>
        <c:crossBetween val="midCat"/>
      </c:valAx>
      <c:valAx>
        <c:axId val="3108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87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U od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Arkusz1!$J$78:$J$114</c:f>
                <c:numCache>
                  <c:formatCode>General</c:formatCode>
                  <c:ptCount val="37"/>
                  <c:pt idx="0">
                    <c:v>2.6745497025325273E-2</c:v>
                  </c:pt>
                  <c:pt idx="1">
                    <c:v>2.6180057632327003E-2</c:v>
                  </c:pt>
                  <c:pt idx="2">
                    <c:v>2.7653749848294641E-2</c:v>
                  </c:pt>
                  <c:pt idx="3">
                    <c:v>3.0720613489273775E-2</c:v>
                  </c:pt>
                  <c:pt idx="4">
                    <c:v>3.4653727818470266E-2</c:v>
                  </c:pt>
                  <c:pt idx="5">
                    <c:v>3.8795503807919983E-2</c:v>
                  </c:pt>
                  <c:pt idx="6">
                    <c:v>4.2657878963158917E-2</c:v>
                  </c:pt>
                  <c:pt idx="7">
                    <c:v>4.5899298357322468E-2</c:v>
                  </c:pt>
                  <c:pt idx="8">
                    <c:v>4.8286865612173741E-2</c:v>
                  </c:pt>
                  <c:pt idx="9">
                    <c:v>4.9670903958837061E-2</c:v>
                  </c:pt>
                  <c:pt idx="10">
                    <c:v>4.9971240664883787E-2</c:v>
                  </c:pt>
                  <c:pt idx="11">
                    <c:v>4.9171032433208507E-2</c:v>
                  </c:pt>
                  <c:pt idx="12">
                    <c:v>4.7315581134150179E-2</c:v>
                  </c:pt>
                  <c:pt idx="13">
                    <c:v>4.4515609166932438E-2</c:v>
                  </c:pt>
                  <c:pt idx="14">
                    <c:v>4.0956430453707331E-2</c:v>
                  </c:pt>
                  <c:pt idx="15">
                    <c:v>3.6916468866674969E-2</c:v>
                  </c:pt>
                  <c:pt idx="16">
                    <c:v>3.2799004886203381E-2</c:v>
                  </c:pt>
                  <c:pt idx="17">
                    <c:v>2.9170171761091351E-2</c:v>
                  </c:pt>
                  <c:pt idx="18">
                    <c:v>2.6745497025325273E-2</c:v>
                  </c:pt>
                  <c:pt idx="19">
                    <c:v>2.6180057632327003E-2</c:v>
                  </c:pt>
                  <c:pt idx="20">
                    <c:v>2.7653749848294638E-2</c:v>
                  </c:pt>
                  <c:pt idx="21">
                    <c:v>3.0720613489273785E-2</c:v>
                  </c:pt>
                  <c:pt idx="22">
                    <c:v>3.4653727818470259E-2</c:v>
                  </c:pt>
                  <c:pt idx="23">
                    <c:v>3.8795503807919983E-2</c:v>
                  </c:pt>
                  <c:pt idx="24">
                    <c:v>4.265787896315891E-2</c:v>
                  </c:pt>
                  <c:pt idx="25">
                    <c:v>4.5899298357322468E-2</c:v>
                  </c:pt>
                  <c:pt idx="26">
                    <c:v>4.8286865612173741E-2</c:v>
                  </c:pt>
                  <c:pt idx="27">
                    <c:v>4.9670903958837061E-2</c:v>
                  </c:pt>
                  <c:pt idx="28">
                    <c:v>4.9971240664883787E-2</c:v>
                  </c:pt>
                  <c:pt idx="29">
                    <c:v>4.9171032433208507E-2</c:v>
                  </c:pt>
                  <c:pt idx="30">
                    <c:v>4.7315581134150179E-2</c:v>
                  </c:pt>
                  <c:pt idx="31">
                    <c:v>4.4515609166932438E-2</c:v>
                  </c:pt>
                  <c:pt idx="32">
                    <c:v>4.0956430453707331E-2</c:v>
                  </c:pt>
                  <c:pt idx="33">
                    <c:v>3.6916468866674983E-2</c:v>
                  </c:pt>
                  <c:pt idx="34">
                    <c:v>3.2799004886203367E-2</c:v>
                  </c:pt>
                  <c:pt idx="35">
                    <c:v>2.9170171761091369E-2</c:v>
                  </c:pt>
                  <c:pt idx="36">
                    <c:v>2.6745497025325277E-2</c:v>
                  </c:pt>
                </c:numCache>
              </c:numRef>
            </c:plus>
            <c:minus>
              <c:numRef>
                <c:f>Arkusz1!$J$78:$J$114</c:f>
                <c:numCache>
                  <c:formatCode>General</c:formatCode>
                  <c:ptCount val="37"/>
                  <c:pt idx="0">
                    <c:v>2.6745497025325273E-2</c:v>
                  </c:pt>
                  <c:pt idx="1">
                    <c:v>2.6180057632327003E-2</c:v>
                  </c:pt>
                  <c:pt idx="2">
                    <c:v>2.7653749848294641E-2</c:v>
                  </c:pt>
                  <c:pt idx="3">
                    <c:v>3.0720613489273775E-2</c:v>
                  </c:pt>
                  <c:pt idx="4">
                    <c:v>3.4653727818470266E-2</c:v>
                  </c:pt>
                  <c:pt idx="5">
                    <c:v>3.8795503807919983E-2</c:v>
                  </c:pt>
                  <c:pt idx="6">
                    <c:v>4.2657878963158917E-2</c:v>
                  </c:pt>
                  <c:pt idx="7">
                    <c:v>4.5899298357322468E-2</c:v>
                  </c:pt>
                  <c:pt idx="8">
                    <c:v>4.8286865612173741E-2</c:v>
                  </c:pt>
                  <c:pt idx="9">
                    <c:v>4.9670903958837061E-2</c:v>
                  </c:pt>
                  <c:pt idx="10">
                    <c:v>4.9971240664883787E-2</c:v>
                  </c:pt>
                  <c:pt idx="11">
                    <c:v>4.9171032433208507E-2</c:v>
                  </c:pt>
                  <c:pt idx="12">
                    <c:v>4.7315581134150179E-2</c:v>
                  </c:pt>
                  <c:pt idx="13">
                    <c:v>4.4515609166932438E-2</c:v>
                  </c:pt>
                  <c:pt idx="14">
                    <c:v>4.0956430453707331E-2</c:v>
                  </c:pt>
                  <c:pt idx="15">
                    <c:v>3.6916468866674969E-2</c:v>
                  </c:pt>
                  <c:pt idx="16">
                    <c:v>3.2799004886203381E-2</c:v>
                  </c:pt>
                  <c:pt idx="17">
                    <c:v>2.9170171761091351E-2</c:v>
                  </c:pt>
                  <c:pt idx="18">
                    <c:v>2.6745497025325273E-2</c:v>
                  </c:pt>
                  <c:pt idx="19">
                    <c:v>2.6180057632327003E-2</c:v>
                  </c:pt>
                  <c:pt idx="20">
                    <c:v>2.7653749848294638E-2</c:v>
                  </c:pt>
                  <c:pt idx="21">
                    <c:v>3.0720613489273785E-2</c:v>
                  </c:pt>
                  <c:pt idx="22">
                    <c:v>3.4653727818470259E-2</c:v>
                  </c:pt>
                  <c:pt idx="23">
                    <c:v>3.8795503807919983E-2</c:v>
                  </c:pt>
                  <c:pt idx="24">
                    <c:v>4.265787896315891E-2</c:v>
                  </c:pt>
                  <c:pt idx="25">
                    <c:v>4.5899298357322468E-2</c:v>
                  </c:pt>
                  <c:pt idx="26">
                    <c:v>4.8286865612173741E-2</c:v>
                  </c:pt>
                  <c:pt idx="27">
                    <c:v>4.9670903958837061E-2</c:v>
                  </c:pt>
                  <c:pt idx="28">
                    <c:v>4.9971240664883787E-2</c:v>
                  </c:pt>
                  <c:pt idx="29">
                    <c:v>4.9171032433208507E-2</c:v>
                  </c:pt>
                  <c:pt idx="30">
                    <c:v>4.7315581134150179E-2</c:v>
                  </c:pt>
                  <c:pt idx="31">
                    <c:v>4.4515609166932438E-2</c:v>
                  </c:pt>
                  <c:pt idx="32">
                    <c:v>4.0956430453707331E-2</c:v>
                  </c:pt>
                  <c:pt idx="33">
                    <c:v>3.6916468866674983E-2</c:v>
                  </c:pt>
                  <c:pt idx="34">
                    <c:v>3.2799004886203367E-2</c:v>
                  </c:pt>
                  <c:pt idx="35">
                    <c:v>2.9170171761091369E-2</c:v>
                  </c:pt>
                  <c:pt idx="36">
                    <c:v>2.6745497025325277E-2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Arkusz1!$I$78:$I$114</c:f>
              <c:numCache>
                <c:formatCode>General</c:formatCode>
                <c:ptCount val="37"/>
                <c:pt idx="0">
                  <c:v>6.7170835276601351E-2</c:v>
                </c:pt>
                <c:pt idx="1">
                  <c:v>-1.9886675302948478E-2</c:v>
                </c:pt>
                <c:pt idx="2">
                  <c:v>-0.10633993931656169</c:v>
                </c:pt>
                <c:pt idx="3">
                  <c:v>-0.18956211808464665</c:v>
                </c:pt>
                <c:pt idx="4">
                  <c:v>-0.26702454781778995</c:v>
                </c:pt>
                <c:pt idx="5">
                  <c:v>-0.33637357178643046</c:v>
                </c:pt>
                <c:pt idx="6">
                  <c:v>-0.39550205498958052</c:v>
                </c:pt>
                <c:pt idx="7">
                  <c:v>-0.44261340838556873</c:v>
                </c:pt>
                <c:pt idx="8">
                  <c:v>-0.47627617734095296</c:v>
                </c:pt>
                <c:pt idx="9">
                  <c:v>-0.49546753565520685</c:v>
                </c:pt>
                <c:pt idx="10">
                  <c:v>-0.49960436361724775</c:v>
                </c:pt>
                <c:pt idx="11">
                  <c:v>-0.48856096580278491</c:v>
                </c:pt>
                <c:pt idx="12">
                  <c:v>-0.46267289026618197</c:v>
                </c:pt>
                <c:pt idx="13">
                  <c:v>-0.42272673308262021</c:v>
                </c:pt>
                <c:pt idx="14">
                  <c:v>-0.36993623802439135</c:v>
                </c:pt>
                <c:pt idx="15">
                  <c:v>-0.30590541757056011</c:v>
                </c:pt>
                <c:pt idx="16">
                  <c:v>-0.23257981579945788</c:v>
                </c:pt>
                <c:pt idx="17">
                  <c:v>-0.15218739401635439</c:v>
                </c:pt>
                <c:pt idx="18">
                  <c:v>-6.7170835276601407E-2</c:v>
                </c:pt>
                <c:pt idx="19">
                  <c:v>1.9886675302948638E-2</c:v>
                </c:pt>
                <c:pt idx="20">
                  <c:v>0.10633993931656163</c:v>
                </c:pt>
                <c:pt idx="21">
                  <c:v>0.18956211808464682</c:v>
                </c:pt>
                <c:pt idx="22">
                  <c:v>0.26702454781778989</c:v>
                </c:pt>
                <c:pt idx="23">
                  <c:v>0.3363735717864304</c:v>
                </c:pt>
                <c:pt idx="24">
                  <c:v>0.39550205498958046</c:v>
                </c:pt>
                <c:pt idx="25">
                  <c:v>0.44261340838556862</c:v>
                </c:pt>
                <c:pt idx="26">
                  <c:v>0.47627617734095296</c:v>
                </c:pt>
                <c:pt idx="27">
                  <c:v>0.49546753565520685</c:v>
                </c:pt>
                <c:pt idx="28">
                  <c:v>0.49960436361724775</c:v>
                </c:pt>
                <c:pt idx="29">
                  <c:v>0.48856096580278496</c:v>
                </c:pt>
                <c:pt idx="30">
                  <c:v>0.46267289026618191</c:v>
                </c:pt>
                <c:pt idx="31">
                  <c:v>0.42272673308262021</c:v>
                </c:pt>
                <c:pt idx="32">
                  <c:v>0.36993623802439141</c:v>
                </c:pt>
                <c:pt idx="33">
                  <c:v>0.30590541757056033</c:v>
                </c:pt>
                <c:pt idx="34">
                  <c:v>0.23257981579945772</c:v>
                </c:pt>
                <c:pt idx="35">
                  <c:v>0.15218739401635489</c:v>
                </c:pt>
                <c:pt idx="36">
                  <c:v>6.7170835276601462E-2</c:v>
                </c:pt>
              </c:numCache>
            </c:numRef>
          </c:xVal>
          <c:yVal>
            <c:numRef>
              <c:f>Arkusz1!$G$6:$G$42</c:f>
              <c:numCache>
                <c:formatCode>General</c:formatCode>
                <c:ptCount val="37"/>
                <c:pt idx="0">
                  <c:v>1.1000000000000001E-3</c:v>
                </c:pt>
                <c:pt idx="1">
                  <c:v>-1.7500000000000002E-2</c:v>
                </c:pt>
                <c:pt idx="2">
                  <c:v>-3.7199999999999997E-2</c:v>
                </c:pt>
                <c:pt idx="3">
                  <c:v>-5.4199999999999998E-2</c:v>
                </c:pt>
                <c:pt idx="4" formatCode="0.0000">
                  <c:v>-6.9000000000000006E-2</c:v>
                </c:pt>
                <c:pt idx="5" formatCode="0.0000">
                  <c:v>-8.4000000000000005E-2</c:v>
                </c:pt>
                <c:pt idx="6">
                  <c:v>-9.5699999999999993E-2</c:v>
                </c:pt>
                <c:pt idx="7" formatCode="0.0000">
                  <c:v>-0.104</c:v>
                </c:pt>
                <c:pt idx="8">
                  <c:v>-0.1069</c:v>
                </c:pt>
                <c:pt idx="9">
                  <c:v>-0.1124</c:v>
                </c:pt>
                <c:pt idx="10">
                  <c:v>-0.11219999999999999</c:v>
                </c:pt>
                <c:pt idx="11">
                  <c:v>-0.1089</c:v>
                </c:pt>
                <c:pt idx="12">
                  <c:v>-0.1028</c:v>
                </c:pt>
                <c:pt idx="13">
                  <c:v>-9.35E-2</c:v>
                </c:pt>
                <c:pt idx="14">
                  <c:v>-8.14E-2</c:v>
                </c:pt>
                <c:pt idx="15">
                  <c:v>-6.7500000000000004E-2</c:v>
                </c:pt>
                <c:pt idx="16">
                  <c:v>-5.0700000000000002E-2</c:v>
                </c:pt>
                <c:pt idx="17">
                  <c:v>-3.2599999999999997E-2</c:v>
                </c:pt>
                <c:pt idx="18">
                  <c:v>-1.4800000000000001E-2</c:v>
                </c:pt>
                <c:pt idx="19" formatCode="0.0000">
                  <c:v>4.0000000000000001E-3</c:v>
                </c:pt>
                <c:pt idx="20">
                  <c:v>2.2100000000000002E-2</c:v>
                </c:pt>
                <c:pt idx="21">
                  <c:v>3.9800000000000002E-2</c:v>
                </c:pt>
                <c:pt idx="22">
                  <c:v>5.8099999999999999E-2</c:v>
                </c:pt>
                <c:pt idx="23">
                  <c:v>7.1300000000000002E-2</c:v>
                </c:pt>
                <c:pt idx="24">
                  <c:v>8.2900000000000001E-2</c:v>
                </c:pt>
                <c:pt idx="25">
                  <c:v>9.1600000000000001E-2</c:v>
                </c:pt>
                <c:pt idx="26">
                  <c:v>9.7600000000000006E-2</c:v>
                </c:pt>
                <c:pt idx="27">
                  <c:v>0.1009</c:v>
                </c:pt>
                <c:pt idx="28">
                  <c:v>0.1007</c:v>
                </c:pt>
                <c:pt idx="29">
                  <c:v>9.7100000000000006E-2</c:v>
                </c:pt>
                <c:pt idx="30">
                  <c:v>9.0899999999999995E-2</c:v>
                </c:pt>
                <c:pt idx="31">
                  <c:v>8.1900000000000001E-2</c:v>
                </c:pt>
                <c:pt idx="32">
                  <c:v>6.93E-2</c:v>
                </c:pt>
                <c:pt idx="33">
                  <c:v>5.5899999999999998E-2</c:v>
                </c:pt>
                <c:pt idx="34">
                  <c:v>3.9399999999999998E-2</c:v>
                </c:pt>
                <c:pt idx="35">
                  <c:v>2.1600000000000001E-2</c:v>
                </c:pt>
                <c:pt idx="36">
                  <c:v>1.1000000000000001E-3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462F-846B-271962744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877872"/>
        <c:axId val="310874544"/>
      </c:scatterChart>
      <c:valAx>
        <c:axId val="3108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874544"/>
        <c:crosses val="autoZero"/>
        <c:crossBetween val="midCat"/>
      </c:valAx>
      <c:valAx>
        <c:axId val="3108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08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wykres charakterystyki kątowej hallotronu nr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1079433040593933E-2"/>
          <c:y val="8.8691323660195068E-2"/>
          <c:w val="0.91554174948588052"/>
          <c:h val="0.81542810502102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plus>
            <c:min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obliczenia!$D$8:$D$44</c:f>
                <c:numCache>
                  <c:formatCode>General</c:formatCode>
                  <c:ptCount val="37"/>
                  <c:pt idx="0">
                    <c:v>6.8704682033565473E-4</c:v>
                  </c:pt>
                  <c:pt idx="1">
                    <c:v>7.2601796350595441E-4</c:v>
                  </c:pt>
                  <c:pt idx="2">
                    <c:v>8.7353095728390381E-4</c:v>
                  </c:pt>
                  <c:pt idx="3">
                    <c:v>1.0247967278115859E-3</c:v>
                  </c:pt>
                  <c:pt idx="4">
                    <c:v>1.1578759648597948E-3</c:v>
                  </c:pt>
                  <c:pt idx="5">
                    <c:v>1.2707479424863663E-3</c:v>
                  </c:pt>
                  <c:pt idx="6">
                    <c:v>1.4006517530540323E-3</c:v>
                  </c:pt>
                  <c:pt idx="7">
                    <c:v>1.4690677599530028E-3</c:v>
                  </c:pt>
                  <c:pt idx="8">
                    <c:v>1.5155444566227678E-3</c:v>
                  </c:pt>
                  <c:pt idx="9">
                    <c:v>1.5395044927941372E-3</c:v>
                  </c:pt>
                  <c:pt idx="10">
                    <c:v>1.536617741448189E-3</c:v>
                  </c:pt>
                  <c:pt idx="11">
                    <c:v>1.508904928527087E-3</c:v>
                  </c:pt>
                  <c:pt idx="12">
                    <c:v>1.4520359270119088E-3</c:v>
                  </c:pt>
                  <c:pt idx="13">
                    <c:v>1.3732276152675249E-3</c:v>
                  </c:pt>
                  <c:pt idx="14">
                    <c:v>1.2747893943706938E-3</c:v>
                  </c:pt>
                  <c:pt idx="15">
                    <c:v>1.1362253297651837E-3</c:v>
                  </c:pt>
                  <c:pt idx="16">
                    <c:v>9.9737259002507855E-4</c:v>
                  </c:pt>
                  <c:pt idx="17">
                    <c:v>8.4408609355523286E-4</c:v>
                  </c:pt>
                  <c:pt idx="18">
                    <c:v>6.9079959708538729E-4</c:v>
                  </c:pt>
                  <c:pt idx="19">
                    <c:v>6.1661008749452028E-4</c:v>
                  </c:pt>
                  <c:pt idx="20">
                    <c:v>7.7971153854058972E-4</c:v>
                  </c:pt>
                  <c:pt idx="21">
                    <c:v>9.2260573016502204E-4</c:v>
                  </c:pt>
                  <c:pt idx="22">
                    <c:v>1.0539529164056618E-3</c:v>
                  </c:pt>
                  <c:pt idx="23">
                    <c:v>1.1835680518387328E-3</c:v>
                  </c:pt>
                  <c:pt idx="24">
                    <c:v>1.2895118262350293E-3</c:v>
                  </c:pt>
                  <c:pt idx="25">
                    <c:v>1.3691861633831975E-3</c:v>
                  </c:pt>
                  <c:pt idx="26">
                    <c:v>1.4208590124756692E-3</c:v>
                  </c:pt>
                  <c:pt idx="27">
                    <c:v>1.4448190486470386E-3</c:v>
                  </c:pt>
                  <c:pt idx="28">
                    <c:v>1.4430869978394696E-3</c:v>
                  </c:pt>
                  <c:pt idx="29">
                    <c:v>1.4139308092453934E-3</c:v>
                  </c:pt>
                  <c:pt idx="30">
                    <c:v>1.3645673612296806E-3</c:v>
                  </c:pt>
                  <c:pt idx="31">
                    <c:v>1.2802742219279952E-3</c:v>
                  </c:pt>
                  <c:pt idx="32">
                    <c:v>1.1760624983392677E-3</c:v>
                  </c:pt>
                  <c:pt idx="33">
                    <c:v>1.0634791958472906E-3</c:v>
                  </c:pt>
                  <c:pt idx="34">
                    <c:v>9.1077004964663466E-4</c:v>
                  </c:pt>
                  <c:pt idx="35">
                    <c:v>7.5315342615786692E-4</c:v>
                  </c:pt>
                  <c:pt idx="36">
                    <c:v>5.8196907134314276E-4</c:v>
                  </c:pt>
                </c:numCache>
              </c:numRef>
            </c:plus>
            <c:minus>
              <c:numRef>
                <c:f>obliczenia!$D$8:$D$44</c:f>
                <c:numCache>
                  <c:formatCode>General</c:formatCode>
                  <c:ptCount val="37"/>
                  <c:pt idx="0">
                    <c:v>6.8704682033565473E-4</c:v>
                  </c:pt>
                  <c:pt idx="1">
                    <c:v>7.2601796350595441E-4</c:v>
                  </c:pt>
                  <c:pt idx="2">
                    <c:v>8.7353095728390381E-4</c:v>
                  </c:pt>
                  <c:pt idx="3">
                    <c:v>1.0247967278115859E-3</c:v>
                  </c:pt>
                  <c:pt idx="4">
                    <c:v>1.1578759648597948E-3</c:v>
                  </c:pt>
                  <c:pt idx="5">
                    <c:v>1.2707479424863663E-3</c:v>
                  </c:pt>
                  <c:pt idx="6">
                    <c:v>1.4006517530540323E-3</c:v>
                  </c:pt>
                  <c:pt idx="7">
                    <c:v>1.4690677599530028E-3</c:v>
                  </c:pt>
                  <c:pt idx="8">
                    <c:v>1.5155444566227678E-3</c:v>
                  </c:pt>
                  <c:pt idx="9">
                    <c:v>1.5395044927941372E-3</c:v>
                  </c:pt>
                  <c:pt idx="10">
                    <c:v>1.536617741448189E-3</c:v>
                  </c:pt>
                  <c:pt idx="11">
                    <c:v>1.508904928527087E-3</c:v>
                  </c:pt>
                  <c:pt idx="12">
                    <c:v>1.4520359270119088E-3</c:v>
                  </c:pt>
                  <c:pt idx="13">
                    <c:v>1.3732276152675249E-3</c:v>
                  </c:pt>
                  <c:pt idx="14">
                    <c:v>1.2747893943706938E-3</c:v>
                  </c:pt>
                  <c:pt idx="15">
                    <c:v>1.1362253297651837E-3</c:v>
                  </c:pt>
                  <c:pt idx="16">
                    <c:v>9.9737259002507855E-4</c:v>
                  </c:pt>
                  <c:pt idx="17">
                    <c:v>8.4408609355523286E-4</c:v>
                  </c:pt>
                  <c:pt idx="18">
                    <c:v>6.9079959708538729E-4</c:v>
                  </c:pt>
                  <c:pt idx="19">
                    <c:v>6.1661008749452028E-4</c:v>
                  </c:pt>
                  <c:pt idx="20">
                    <c:v>7.7971153854058972E-4</c:v>
                  </c:pt>
                  <c:pt idx="21">
                    <c:v>9.2260573016502204E-4</c:v>
                  </c:pt>
                  <c:pt idx="22">
                    <c:v>1.0539529164056618E-3</c:v>
                  </c:pt>
                  <c:pt idx="23">
                    <c:v>1.1835680518387328E-3</c:v>
                  </c:pt>
                  <c:pt idx="24">
                    <c:v>1.2895118262350293E-3</c:v>
                  </c:pt>
                  <c:pt idx="25">
                    <c:v>1.3691861633831975E-3</c:v>
                  </c:pt>
                  <c:pt idx="26">
                    <c:v>1.4208590124756692E-3</c:v>
                  </c:pt>
                  <c:pt idx="27">
                    <c:v>1.4448190486470386E-3</c:v>
                  </c:pt>
                  <c:pt idx="28">
                    <c:v>1.4430869978394696E-3</c:v>
                  </c:pt>
                  <c:pt idx="29">
                    <c:v>1.4139308092453934E-3</c:v>
                  </c:pt>
                  <c:pt idx="30">
                    <c:v>1.3645673612296806E-3</c:v>
                  </c:pt>
                  <c:pt idx="31">
                    <c:v>1.2802742219279952E-3</c:v>
                  </c:pt>
                  <c:pt idx="32">
                    <c:v>1.1760624983392677E-3</c:v>
                  </c:pt>
                  <c:pt idx="33">
                    <c:v>1.0634791958472906E-3</c:v>
                  </c:pt>
                  <c:pt idx="34">
                    <c:v>9.1077004964663466E-4</c:v>
                  </c:pt>
                  <c:pt idx="35">
                    <c:v>7.5315342615786692E-4</c:v>
                  </c:pt>
                  <c:pt idx="36">
                    <c:v>5.8196907134314276E-4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obliczenia!$B$8:$B$44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Arkusz1!$E$6:$E$42</c:f>
              <c:numCache>
                <c:formatCode>General</c:formatCode>
                <c:ptCount val="37"/>
                <c:pt idx="0" formatCode="0.0000">
                  <c:v>3.7999999999999999E-2</c:v>
                </c:pt>
                <c:pt idx="1">
                  <c:v>-5.1499999999999997E-2</c:v>
                </c:pt>
                <c:pt idx="2">
                  <c:v>-0.1026</c:v>
                </c:pt>
                <c:pt idx="3" formatCode="0.0000">
                  <c:v>-0.155</c:v>
                </c:pt>
                <c:pt idx="4">
                  <c:v>-0.2011</c:v>
                </c:pt>
                <c:pt idx="5">
                  <c:v>-0.2402</c:v>
                </c:pt>
                <c:pt idx="6">
                  <c:v>-0.28520000000000001</c:v>
                </c:pt>
                <c:pt idx="7">
                  <c:v>-0.30890000000000001</c:v>
                </c:pt>
                <c:pt idx="8" formatCode="0.0000">
                  <c:v>-0.32500000000000001</c:v>
                </c:pt>
                <c:pt idx="9">
                  <c:v>-0.33329999999999999</c:v>
                </c:pt>
                <c:pt idx="10">
                  <c:v>-0.33229999999999998</c:v>
                </c:pt>
                <c:pt idx="11">
                  <c:v>-0.32269999999999999</c:v>
                </c:pt>
                <c:pt idx="12" formatCode="0.0000">
                  <c:v>-0.30299999999999999</c:v>
                </c:pt>
                <c:pt idx="13">
                  <c:v>-0.2757</c:v>
                </c:pt>
                <c:pt idx="14">
                  <c:v>-0.24160000000000001</c:v>
                </c:pt>
                <c:pt idx="15">
                  <c:v>-0.19359999999999999</c:v>
                </c:pt>
                <c:pt idx="16">
                  <c:v>-0.14549999999999999</c:v>
                </c:pt>
                <c:pt idx="17">
                  <c:v>-9.2399999999999996E-2</c:v>
                </c:pt>
                <c:pt idx="18">
                  <c:v>-3.9300000000000002E-2</c:v>
                </c:pt>
                <c:pt idx="19">
                  <c:v>1.3599999999999999E-2</c:v>
                </c:pt>
                <c:pt idx="20">
                  <c:v>7.0099999999999996E-2</c:v>
                </c:pt>
                <c:pt idx="21">
                  <c:v>0.1196</c:v>
                </c:pt>
                <c:pt idx="22">
                  <c:v>0.1651</c:v>
                </c:pt>
                <c:pt idx="23" formatCode="0.0000">
                  <c:v>0.21</c:v>
                </c:pt>
                <c:pt idx="24">
                  <c:v>0.2467</c:v>
                </c:pt>
                <c:pt idx="25">
                  <c:v>0.27429999999999999</c:v>
                </c:pt>
                <c:pt idx="26">
                  <c:v>0.29220000000000002</c:v>
                </c:pt>
                <c:pt idx="27">
                  <c:v>0.30049999999999999</c:v>
                </c:pt>
                <c:pt idx="28">
                  <c:v>0.2999</c:v>
                </c:pt>
                <c:pt idx="29">
                  <c:v>0.2898</c:v>
                </c:pt>
                <c:pt idx="30">
                  <c:v>0.2727</c:v>
                </c:pt>
                <c:pt idx="31">
                  <c:v>0.24349999999999999</c:v>
                </c:pt>
                <c:pt idx="32">
                  <c:v>0.2074</c:v>
                </c:pt>
                <c:pt idx="33">
                  <c:v>0.16839999999999999</c:v>
                </c:pt>
                <c:pt idx="34">
                  <c:v>0.11550000000000001</c:v>
                </c:pt>
                <c:pt idx="35">
                  <c:v>6.0900000000000003E-2</c:v>
                </c:pt>
                <c:pt idx="36">
                  <c:v>1.6000000000000001E-3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C-4313-B3D3-B0AA77516E15}"/>
            </c:ext>
          </c:extLst>
        </c:ser>
        <c:ser>
          <c:idx val="1"/>
          <c:order val="1"/>
          <c:tx>
            <c:v>seria 2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0,0052x - 0,9693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0,9995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obliczenia!$B$22:$B$30</c:f>
              <c:numCache>
                <c:formatCode>General</c:formatCode>
                <c:ptCount val="9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190</c:v>
                </c:pt>
                <c:pt idx="6">
                  <c:v>200</c:v>
                </c:pt>
                <c:pt idx="7">
                  <c:v>210</c:v>
                </c:pt>
                <c:pt idx="8">
                  <c:v>220</c:v>
                </c:pt>
              </c:numCache>
            </c:numRef>
          </c:xVal>
          <c:yVal>
            <c:numRef>
              <c:f>obliczenia!$C$22:$C$30</c:f>
              <c:numCache>
                <c:formatCode>General</c:formatCode>
                <c:ptCount val="9"/>
                <c:pt idx="0">
                  <c:v>-0.24160000000000001</c:v>
                </c:pt>
                <c:pt idx="1">
                  <c:v>-0.19359999999999999</c:v>
                </c:pt>
                <c:pt idx="2">
                  <c:v>-0.14549999999999999</c:v>
                </c:pt>
                <c:pt idx="3">
                  <c:v>-9.2399999999999996E-2</c:v>
                </c:pt>
                <c:pt idx="4">
                  <c:v>-3.9300000000000002E-2</c:v>
                </c:pt>
                <c:pt idx="5">
                  <c:v>1.3599999999999999E-2</c:v>
                </c:pt>
                <c:pt idx="6">
                  <c:v>7.0099999999999996E-2</c:v>
                </c:pt>
                <c:pt idx="7">
                  <c:v>0.1196</c:v>
                </c:pt>
                <c:pt idx="8">
                  <c:v>0.1651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F5C-4313-B3D3-B0AA7751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54600"/>
        <c:axId val="270154272"/>
      </c:scatterChart>
      <c:valAx>
        <c:axId val="27015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kąt(°)</a:t>
                </a:r>
              </a:p>
            </c:rich>
          </c:tx>
          <c:layout>
            <c:manualLayout>
              <c:xMode val="edge"/>
              <c:yMode val="edge"/>
              <c:x val="0.46727972000701939"/>
              <c:y val="0.91517344911331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272"/>
        <c:crosses val="autoZero"/>
        <c:crossBetween val="midCat"/>
      </c:valAx>
      <c:valAx>
        <c:axId val="2701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UH[V]</a:t>
                </a:r>
              </a:p>
            </c:rich>
          </c:tx>
          <c:layout>
            <c:manualLayout>
              <c:xMode val="edge"/>
              <c:yMode val="edge"/>
              <c:x val="5.0646362626006591E-3"/>
              <c:y val="0.43886114866504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wykres charakterystyki kątowej hallotronu nr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1079433040593933E-2"/>
          <c:y val="9.4218333876242413E-2"/>
          <c:w val="0.91554174948588052"/>
          <c:h val="0.81542810502102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plus>
            <c:min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obliczenia!$F$8:$F$44</c:f>
                <c:numCache>
                  <c:formatCode>General</c:formatCode>
                  <c:ptCount val="37"/>
                  <c:pt idx="0">
                    <c:v>6.0044427995721095E-4</c:v>
                  </c:pt>
                  <c:pt idx="1">
                    <c:v>6.8300536845132737E-4</c:v>
                  </c:pt>
                  <c:pt idx="2">
                    <c:v>7.9154721905897699E-4</c:v>
                  </c:pt>
                  <c:pt idx="3">
                    <c:v>8.8247988645634293E-4</c:v>
                  </c:pt>
                  <c:pt idx="4">
                    <c:v>9.7081447764235586E-4</c:v>
                  </c:pt>
                  <c:pt idx="5">
                    <c:v>1.0452926623678175E-3</c:v>
                  </c:pt>
                  <c:pt idx="6">
                    <c:v>1.1108219179208399E-3</c:v>
                  </c:pt>
                  <c:pt idx="7">
                    <c:v>1.1570099394560102E-3</c:v>
                  </c:pt>
                  <c:pt idx="8">
                    <c:v>1.1890528793960344E-3</c:v>
                  </c:pt>
                  <c:pt idx="9">
                    <c:v>1.2040639863949644E-3</c:v>
                  </c:pt>
                  <c:pt idx="10">
                    <c:v>1.2020432604528009E-3</c:v>
                  </c:pt>
                  <c:pt idx="11">
                    <c:v>1.1832793767041381E-3</c:v>
                  </c:pt>
                  <c:pt idx="12">
                    <c:v>1.1486383605527604E-3</c:v>
                  </c:pt>
                  <c:pt idx="13">
                    <c:v>1.0984088871332631E-3</c:v>
                  </c:pt>
                  <c:pt idx="14">
                    <c:v>1.032302281311051E-3</c:v>
                  </c:pt>
                  <c:pt idx="15">
                    <c:v>9.5002986795152925E-4</c:v>
                  </c:pt>
                  <c:pt idx="16">
                    <c:v>8.5765382488118917E-4</c:v>
                  </c:pt>
                  <c:pt idx="17">
                    <c:v>7.5748355317678908E-4</c:v>
                  </c:pt>
                  <c:pt idx="18">
                    <c:v>6.5702460633779419E-4</c:v>
                  </c:pt>
                  <c:pt idx="19">
                    <c:v>6.2555901666695962E-4</c:v>
                  </c:pt>
                  <c:pt idx="20">
                    <c:v>7.0321262787296428E-4</c:v>
                  </c:pt>
                  <c:pt idx="21">
                    <c:v>8.0338289957736426E-4</c:v>
                  </c:pt>
                  <c:pt idx="22">
                    <c:v>8.9460424210932523E-4</c:v>
                  </c:pt>
                  <c:pt idx="23">
                    <c:v>9.7514460466127792E-4</c:v>
                  </c:pt>
                  <c:pt idx="24">
                    <c:v>1.0374984337337577E-3</c:v>
                  </c:pt>
                  <c:pt idx="25">
                    <c:v>1.0900373082300134E-3</c:v>
                  </c:pt>
                  <c:pt idx="26">
                    <c:v>1.1238122989776066E-3</c:v>
                  </c:pt>
                  <c:pt idx="27">
                    <c:v>1.1405554567841057E-3</c:v>
                  </c:pt>
                  <c:pt idx="28">
                    <c:v>1.1394007562457265E-3</c:v>
                  </c:pt>
                  <c:pt idx="29">
                    <c:v>1.1203481973624688E-3</c:v>
                  </c:pt>
                  <c:pt idx="30">
                    <c:v>1.0854185060764966E-3</c:v>
                  </c:pt>
                  <c:pt idx="31">
                    <c:v>1.0357663829261886E-3</c:v>
                  </c:pt>
                  <c:pt idx="32">
                    <c:v>9.6619567548883879E-4</c:v>
                  </c:pt>
                  <c:pt idx="33">
                    <c:v>8.9431556697473042E-4</c:v>
                  </c:pt>
                  <c:pt idx="34">
                    <c:v>7.9818674715465769E-4</c:v>
                  </c:pt>
                  <c:pt idx="35">
                    <c:v>6.9974852625782642E-4</c:v>
                  </c:pt>
                  <c:pt idx="36">
                    <c:v>5.8543317295828051E-4</c:v>
                  </c:pt>
                </c:numCache>
              </c:numRef>
            </c:plus>
            <c:minus>
              <c:numRef>
                <c:f>obliczenia!$F$8:$F$44</c:f>
                <c:numCache>
                  <c:formatCode>General</c:formatCode>
                  <c:ptCount val="37"/>
                  <c:pt idx="0">
                    <c:v>6.0044427995721095E-4</c:v>
                  </c:pt>
                  <c:pt idx="1">
                    <c:v>6.8300536845132737E-4</c:v>
                  </c:pt>
                  <c:pt idx="2">
                    <c:v>7.9154721905897699E-4</c:v>
                  </c:pt>
                  <c:pt idx="3">
                    <c:v>8.8247988645634293E-4</c:v>
                  </c:pt>
                  <c:pt idx="4">
                    <c:v>9.7081447764235586E-4</c:v>
                  </c:pt>
                  <c:pt idx="5">
                    <c:v>1.0452926623678175E-3</c:v>
                  </c:pt>
                  <c:pt idx="6">
                    <c:v>1.1108219179208399E-3</c:v>
                  </c:pt>
                  <c:pt idx="7">
                    <c:v>1.1570099394560102E-3</c:v>
                  </c:pt>
                  <c:pt idx="8">
                    <c:v>1.1890528793960344E-3</c:v>
                  </c:pt>
                  <c:pt idx="9">
                    <c:v>1.2040639863949644E-3</c:v>
                  </c:pt>
                  <c:pt idx="10">
                    <c:v>1.2020432604528009E-3</c:v>
                  </c:pt>
                  <c:pt idx="11">
                    <c:v>1.1832793767041381E-3</c:v>
                  </c:pt>
                  <c:pt idx="12">
                    <c:v>1.1486383605527604E-3</c:v>
                  </c:pt>
                  <c:pt idx="13">
                    <c:v>1.0984088871332631E-3</c:v>
                  </c:pt>
                  <c:pt idx="14">
                    <c:v>1.032302281311051E-3</c:v>
                  </c:pt>
                  <c:pt idx="15">
                    <c:v>9.5002986795152925E-4</c:v>
                  </c:pt>
                  <c:pt idx="16">
                    <c:v>8.5765382488118917E-4</c:v>
                  </c:pt>
                  <c:pt idx="17">
                    <c:v>7.5748355317678908E-4</c:v>
                  </c:pt>
                  <c:pt idx="18">
                    <c:v>6.5702460633779419E-4</c:v>
                  </c:pt>
                  <c:pt idx="19">
                    <c:v>6.2555901666695962E-4</c:v>
                  </c:pt>
                  <c:pt idx="20">
                    <c:v>7.0321262787296428E-4</c:v>
                  </c:pt>
                  <c:pt idx="21">
                    <c:v>8.0338289957736426E-4</c:v>
                  </c:pt>
                  <c:pt idx="22">
                    <c:v>8.9460424210932523E-4</c:v>
                  </c:pt>
                  <c:pt idx="23">
                    <c:v>9.7514460466127792E-4</c:v>
                  </c:pt>
                  <c:pt idx="24">
                    <c:v>1.0374984337337577E-3</c:v>
                  </c:pt>
                  <c:pt idx="25">
                    <c:v>1.0900373082300134E-3</c:v>
                  </c:pt>
                  <c:pt idx="26">
                    <c:v>1.1238122989776066E-3</c:v>
                  </c:pt>
                  <c:pt idx="27">
                    <c:v>1.1405554567841057E-3</c:v>
                  </c:pt>
                  <c:pt idx="28">
                    <c:v>1.1394007562457265E-3</c:v>
                  </c:pt>
                  <c:pt idx="29">
                    <c:v>1.1203481973624688E-3</c:v>
                  </c:pt>
                  <c:pt idx="30">
                    <c:v>1.0854185060764966E-3</c:v>
                  </c:pt>
                  <c:pt idx="31">
                    <c:v>1.0357663829261886E-3</c:v>
                  </c:pt>
                  <c:pt idx="32">
                    <c:v>9.6619567548883879E-4</c:v>
                  </c:pt>
                  <c:pt idx="33">
                    <c:v>8.9431556697473042E-4</c:v>
                  </c:pt>
                  <c:pt idx="34">
                    <c:v>7.9818674715465769E-4</c:v>
                  </c:pt>
                  <c:pt idx="35">
                    <c:v>6.9974852625782642E-4</c:v>
                  </c:pt>
                  <c:pt idx="36">
                    <c:v>5.8543317295828051E-4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obliczenia!$B$8:$B$44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obliczenia!$E$8:$E$44</c:f>
              <c:numCache>
                <c:formatCode>General</c:formatCode>
                <c:ptCount val="37"/>
                <c:pt idx="0" formatCode="0.0000">
                  <c:v>8.0000000000000002E-3</c:v>
                </c:pt>
                <c:pt idx="1">
                  <c:v>-3.6600000000000001E-2</c:v>
                </c:pt>
                <c:pt idx="2">
                  <c:v>-7.4200000000000002E-2</c:v>
                </c:pt>
                <c:pt idx="3">
                  <c:v>-0.1057</c:v>
                </c:pt>
                <c:pt idx="4">
                  <c:v>-0.1363</c:v>
                </c:pt>
                <c:pt idx="5">
                  <c:v>-0.16209999999999999</c:v>
                </c:pt>
                <c:pt idx="6">
                  <c:v>-0.18479999999999999</c:v>
                </c:pt>
                <c:pt idx="7">
                  <c:v>-0.20080000000000001</c:v>
                </c:pt>
                <c:pt idx="8">
                  <c:v>-0.21190000000000001</c:v>
                </c:pt>
                <c:pt idx="9">
                  <c:v>-0.21709999999999999</c:v>
                </c:pt>
                <c:pt idx="10">
                  <c:v>-0.21640000000000001</c:v>
                </c:pt>
                <c:pt idx="11">
                  <c:v>-0.2099</c:v>
                </c:pt>
                <c:pt idx="12">
                  <c:v>-0.19789999999999999</c:v>
                </c:pt>
                <c:pt idx="13">
                  <c:v>-0.18049999999999999</c:v>
                </c:pt>
                <c:pt idx="14">
                  <c:v>-0.15759999999999999</c:v>
                </c:pt>
                <c:pt idx="15">
                  <c:v>-0.12909999999999999</c:v>
                </c:pt>
                <c:pt idx="16">
                  <c:v>-9.7100000000000006E-2</c:v>
                </c:pt>
                <c:pt idx="17">
                  <c:v>-6.2399999999999997E-2</c:v>
                </c:pt>
                <c:pt idx="18">
                  <c:v>-2.76E-2</c:v>
                </c:pt>
                <c:pt idx="19">
                  <c:v>1.67E-2</c:v>
                </c:pt>
                <c:pt idx="20">
                  <c:v>4.36E-2</c:v>
                </c:pt>
                <c:pt idx="21">
                  <c:v>7.8299999999999995E-2</c:v>
                </c:pt>
                <c:pt idx="22">
                  <c:v>0.1099</c:v>
                </c:pt>
                <c:pt idx="23">
                  <c:v>0.13780000000000001</c:v>
                </c:pt>
                <c:pt idx="24">
                  <c:v>0.15939999999999999</c:v>
                </c:pt>
                <c:pt idx="25">
                  <c:v>0.17760000000000001</c:v>
                </c:pt>
                <c:pt idx="26">
                  <c:v>0.1893</c:v>
                </c:pt>
                <c:pt idx="27">
                  <c:v>0.1951</c:v>
                </c:pt>
                <c:pt idx="28">
                  <c:v>0.19470000000000001</c:v>
                </c:pt>
                <c:pt idx="29">
                  <c:v>0.18809999999999999</c:v>
                </c:pt>
                <c:pt idx="30" formatCode="0.0000">
                  <c:v>0.17599999999999999</c:v>
                </c:pt>
                <c:pt idx="31">
                  <c:v>0.1588</c:v>
                </c:pt>
                <c:pt idx="32">
                  <c:v>0.13469999999999999</c:v>
                </c:pt>
                <c:pt idx="33">
                  <c:v>0.10979999999999999</c:v>
                </c:pt>
                <c:pt idx="34">
                  <c:v>7.6499999999999999E-2</c:v>
                </c:pt>
                <c:pt idx="35">
                  <c:v>4.24E-2</c:v>
                </c:pt>
                <c:pt idx="36">
                  <c:v>2.8E-3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A-42B3-B0D0-EF18D1CF1912}"/>
            </c:ext>
          </c:extLst>
        </c:ser>
        <c:ser>
          <c:idx val="1"/>
          <c:order val="1"/>
          <c:tx>
            <c:v>seria 2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layout>
                <c:manualLayout>
                  <c:x val="-2.7555429136382457E-4"/>
                  <c:y val="2.6634096474180921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0,0034x - 0,6408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0,9984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obliczenia!$B$22:$B$30</c:f>
              <c:numCache>
                <c:formatCode>General</c:formatCode>
                <c:ptCount val="9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190</c:v>
                </c:pt>
                <c:pt idx="6">
                  <c:v>200</c:v>
                </c:pt>
                <c:pt idx="7">
                  <c:v>210</c:v>
                </c:pt>
                <c:pt idx="8">
                  <c:v>220</c:v>
                </c:pt>
              </c:numCache>
            </c:numRef>
          </c:xVal>
          <c:yVal>
            <c:numRef>
              <c:f>obliczenia!$E$22:$E$30</c:f>
              <c:numCache>
                <c:formatCode>General</c:formatCode>
                <c:ptCount val="9"/>
                <c:pt idx="0">
                  <c:v>-0.15759999999999999</c:v>
                </c:pt>
                <c:pt idx="1">
                  <c:v>-0.12909999999999999</c:v>
                </c:pt>
                <c:pt idx="2">
                  <c:v>-9.7100000000000006E-2</c:v>
                </c:pt>
                <c:pt idx="3">
                  <c:v>-6.2399999999999997E-2</c:v>
                </c:pt>
                <c:pt idx="4">
                  <c:v>-2.76E-2</c:v>
                </c:pt>
                <c:pt idx="5">
                  <c:v>1.67E-2</c:v>
                </c:pt>
                <c:pt idx="6">
                  <c:v>4.36E-2</c:v>
                </c:pt>
                <c:pt idx="7">
                  <c:v>7.8299999999999995E-2</c:v>
                </c:pt>
                <c:pt idx="8">
                  <c:v>0.1099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7A-42B3-B0D0-EF18D1CF1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54600"/>
        <c:axId val="270154272"/>
      </c:scatterChart>
      <c:valAx>
        <c:axId val="27015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kąt(°)</a:t>
                </a:r>
              </a:p>
            </c:rich>
          </c:tx>
          <c:layout>
            <c:manualLayout>
              <c:xMode val="edge"/>
              <c:yMode val="edge"/>
              <c:x val="0.46727972000701939"/>
              <c:y val="0.91517344911331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272"/>
        <c:crosses val="autoZero"/>
        <c:crossBetween val="midCat"/>
      </c:valAx>
      <c:valAx>
        <c:axId val="2701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UH[V]</a:t>
                </a:r>
              </a:p>
            </c:rich>
          </c:tx>
          <c:layout>
            <c:manualLayout>
              <c:xMode val="edge"/>
              <c:yMode val="edge"/>
              <c:x val="5.0646362626006591E-3"/>
              <c:y val="0.43886114866504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wykres charakterystyki kątowej hallotronu nr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1079433040593933E-2"/>
          <c:y val="8.8691323660195068E-2"/>
          <c:w val="0.91554174948588052"/>
          <c:h val="0.8154281050210278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plus>
            <c:minus>
              <c:numRef>
                <c:f>Arkusz1!$C$59</c:f>
                <c:numCache>
                  <c:formatCode>General</c:formatCode>
                  <c:ptCount val="1"/>
                  <c:pt idx="0">
                    <c:v>0.57999999999999996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obliczenia!$H$8:$H$44</c:f>
                <c:numCache>
                  <c:formatCode>General</c:formatCode>
                  <c:ptCount val="37"/>
                  <c:pt idx="0">
                    <c:v>5.8052569567016874E-4</c:v>
                  </c:pt>
                  <c:pt idx="1">
                    <c:v>6.2786841774371805E-4</c:v>
                  </c:pt>
                  <c:pt idx="2">
                    <c:v>6.847374192588962E-4</c:v>
                  </c:pt>
                  <c:pt idx="3">
                    <c:v>7.3381219214001443E-4</c:v>
                  </c:pt>
                  <c:pt idx="4">
                    <c:v>7.7653611206004677E-4</c:v>
                  </c:pt>
                  <c:pt idx="5">
                    <c:v>8.1983738224926861E-4</c:v>
                  </c:pt>
                  <c:pt idx="6">
                    <c:v>8.5361237299686171E-4</c:v>
                  </c:pt>
                  <c:pt idx="7">
                    <c:v>8.7757240916823127E-4</c:v>
                  </c:pt>
                  <c:pt idx="8">
                    <c:v>8.8594398807148079E-4</c:v>
                  </c:pt>
                  <c:pt idx="9">
                    <c:v>9.0182112047419553E-4</c:v>
                  </c:pt>
                  <c:pt idx="10">
                    <c:v>9.0124377020500582E-4</c:v>
                  </c:pt>
                  <c:pt idx="11">
                    <c:v>8.9171749076337697E-4</c:v>
                  </c:pt>
                  <c:pt idx="12">
                    <c:v>8.7410830755309352E-4</c:v>
                  </c:pt>
                  <c:pt idx="13">
                    <c:v>8.4726152003577592E-4</c:v>
                  </c:pt>
                  <c:pt idx="14">
                    <c:v>8.123318287498035E-4</c:v>
                  </c:pt>
                  <c:pt idx="15">
                    <c:v>7.7220598504112461E-4</c:v>
                  </c:pt>
                  <c:pt idx="16">
                    <c:v>7.2370856242919598E-4</c:v>
                  </c:pt>
                  <c:pt idx="17">
                    <c:v>6.714583630675348E-4</c:v>
                  </c:pt>
                  <c:pt idx="18">
                    <c:v>6.2007418910965814E-4</c:v>
                  </c:pt>
                  <c:pt idx="19">
                    <c:v>5.8889727457341837E-4</c:v>
                  </c:pt>
                  <c:pt idx="20">
                    <c:v>6.4114747393507945E-4</c:v>
                  </c:pt>
                  <c:pt idx="21">
                    <c:v>6.9224297275836131E-4</c:v>
                  </c:pt>
                  <c:pt idx="22">
                    <c:v>7.4507052238921209E-4</c:v>
                  </c:pt>
                  <c:pt idx="23">
                    <c:v>7.8317564015572747E-4</c:v>
                  </c:pt>
                  <c:pt idx="24">
                    <c:v>8.1666195576872566E-4</c:v>
                  </c:pt>
                  <c:pt idx="25">
                    <c:v>8.4177669247847444E-4</c:v>
                  </c:pt>
                  <c:pt idx="26">
                    <c:v>8.590972005541633E-4</c:v>
                  </c:pt>
                  <c:pt idx="27">
                    <c:v>8.6862347999579214E-4</c:v>
                  </c:pt>
                  <c:pt idx="28">
                    <c:v>8.6804612972660243E-4</c:v>
                  </c:pt>
                  <c:pt idx="29">
                    <c:v>8.5765382488118917E-4</c:v>
                  </c:pt>
                  <c:pt idx="30">
                    <c:v>8.3975596653631081E-4</c:v>
                  </c:pt>
                  <c:pt idx="31">
                    <c:v>8.1377520442277762E-4</c:v>
                  </c:pt>
                  <c:pt idx="32">
                    <c:v>7.7740213746383118E-4</c:v>
                  </c:pt>
                  <c:pt idx="33">
                    <c:v>7.387196694281262E-4</c:v>
                  </c:pt>
                  <c:pt idx="34">
                    <c:v>6.9108827221998209E-4</c:v>
                  </c:pt>
                  <c:pt idx="35">
                    <c:v>6.3970409826210543E-4</c:v>
                  </c:pt>
                  <c:pt idx="36">
                    <c:v>5.8052569567016874E-4</c:v>
                  </c:pt>
                </c:numCache>
              </c:numRef>
            </c:plus>
            <c:minus>
              <c:numRef>
                <c:f>obliczenia!$H$8:$H$44</c:f>
                <c:numCache>
                  <c:formatCode>General</c:formatCode>
                  <c:ptCount val="37"/>
                  <c:pt idx="0">
                    <c:v>5.8052569567016874E-4</c:v>
                  </c:pt>
                  <c:pt idx="1">
                    <c:v>6.2786841774371805E-4</c:v>
                  </c:pt>
                  <c:pt idx="2">
                    <c:v>6.847374192588962E-4</c:v>
                  </c:pt>
                  <c:pt idx="3">
                    <c:v>7.3381219214001443E-4</c:v>
                  </c:pt>
                  <c:pt idx="4">
                    <c:v>7.7653611206004677E-4</c:v>
                  </c:pt>
                  <c:pt idx="5">
                    <c:v>8.1983738224926861E-4</c:v>
                  </c:pt>
                  <c:pt idx="6">
                    <c:v>8.5361237299686171E-4</c:v>
                  </c:pt>
                  <c:pt idx="7">
                    <c:v>8.7757240916823127E-4</c:v>
                  </c:pt>
                  <c:pt idx="8">
                    <c:v>8.8594398807148079E-4</c:v>
                  </c:pt>
                  <c:pt idx="9">
                    <c:v>9.0182112047419553E-4</c:v>
                  </c:pt>
                  <c:pt idx="10">
                    <c:v>9.0124377020500582E-4</c:v>
                  </c:pt>
                  <c:pt idx="11">
                    <c:v>8.9171749076337697E-4</c:v>
                  </c:pt>
                  <c:pt idx="12">
                    <c:v>8.7410830755309352E-4</c:v>
                  </c:pt>
                  <c:pt idx="13">
                    <c:v>8.4726152003577592E-4</c:v>
                  </c:pt>
                  <c:pt idx="14">
                    <c:v>8.123318287498035E-4</c:v>
                  </c:pt>
                  <c:pt idx="15">
                    <c:v>7.7220598504112461E-4</c:v>
                  </c:pt>
                  <c:pt idx="16">
                    <c:v>7.2370856242919598E-4</c:v>
                  </c:pt>
                  <c:pt idx="17">
                    <c:v>6.714583630675348E-4</c:v>
                  </c:pt>
                  <c:pt idx="18">
                    <c:v>6.2007418910965814E-4</c:v>
                  </c:pt>
                  <c:pt idx="19">
                    <c:v>5.8889727457341837E-4</c:v>
                  </c:pt>
                  <c:pt idx="20">
                    <c:v>6.4114747393507945E-4</c:v>
                  </c:pt>
                  <c:pt idx="21">
                    <c:v>6.9224297275836131E-4</c:v>
                  </c:pt>
                  <c:pt idx="22">
                    <c:v>7.4507052238921209E-4</c:v>
                  </c:pt>
                  <c:pt idx="23">
                    <c:v>7.8317564015572747E-4</c:v>
                  </c:pt>
                  <c:pt idx="24">
                    <c:v>8.1666195576872566E-4</c:v>
                  </c:pt>
                  <c:pt idx="25">
                    <c:v>8.4177669247847444E-4</c:v>
                  </c:pt>
                  <c:pt idx="26">
                    <c:v>8.590972005541633E-4</c:v>
                  </c:pt>
                  <c:pt idx="27">
                    <c:v>8.6862347999579214E-4</c:v>
                  </c:pt>
                  <c:pt idx="28">
                    <c:v>8.6804612972660243E-4</c:v>
                  </c:pt>
                  <c:pt idx="29">
                    <c:v>8.5765382488118917E-4</c:v>
                  </c:pt>
                  <c:pt idx="30">
                    <c:v>8.3975596653631081E-4</c:v>
                  </c:pt>
                  <c:pt idx="31">
                    <c:v>8.1377520442277762E-4</c:v>
                  </c:pt>
                  <c:pt idx="32">
                    <c:v>7.7740213746383118E-4</c:v>
                  </c:pt>
                  <c:pt idx="33">
                    <c:v>7.387196694281262E-4</c:v>
                  </c:pt>
                  <c:pt idx="34">
                    <c:v>6.9108827221998209E-4</c:v>
                  </c:pt>
                  <c:pt idx="35">
                    <c:v>6.3970409826210543E-4</c:v>
                  </c:pt>
                  <c:pt idx="36">
                    <c:v>5.8052569567016874E-4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obliczenia!$B$8:$B$44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obliczenia!$G$8:$G$44</c:f>
              <c:numCache>
                <c:formatCode>General</c:formatCode>
                <c:ptCount val="37"/>
                <c:pt idx="0">
                  <c:v>1.1000000000000001E-3</c:v>
                </c:pt>
                <c:pt idx="1">
                  <c:v>-1.7500000000000002E-2</c:v>
                </c:pt>
                <c:pt idx="2">
                  <c:v>-3.7199999999999997E-2</c:v>
                </c:pt>
                <c:pt idx="3">
                  <c:v>-5.4199999999999998E-2</c:v>
                </c:pt>
                <c:pt idx="4" formatCode="0.0000">
                  <c:v>-6.9000000000000006E-2</c:v>
                </c:pt>
                <c:pt idx="5" formatCode="0.0000">
                  <c:v>-8.4000000000000005E-2</c:v>
                </c:pt>
                <c:pt idx="6">
                  <c:v>-9.5699999999999993E-2</c:v>
                </c:pt>
                <c:pt idx="7" formatCode="0.0000">
                  <c:v>-0.104</c:v>
                </c:pt>
                <c:pt idx="8">
                  <c:v>-0.1069</c:v>
                </c:pt>
                <c:pt idx="9">
                  <c:v>-0.1124</c:v>
                </c:pt>
                <c:pt idx="10">
                  <c:v>-0.11219999999999999</c:v>
                </c:pt>
                <c:pt idx="11">
                  <c:v>-0.1089</c:v>
                </c:pt>
                <c:pt idx="12">
                  <c:v>-0.1028</c:v>
                </c:pt>
                <c:pt idx="13">
                  <c:v>-9.35E-2</c:v>
                </c:pt>
                <c:pt idx="14">
                  <c:v>-8.14E-2</c:v>
                </c:pt>
                <c:pt idx="15">
                  <c:v>-6.7500000000000004E-2</c:v>
                </c:pt>
                <c:pt idx="16">
                  <c:v>-5.0700000000000002E-2</c:v>
                </c:pt>
                <c:pt idx="17">
                  <c:v>-3.2599999999999997E-2</c:v>
                </c:pt>
                <c:pt idx="18">
                  <c:v>-1.4800000000000001E-2</c:v>
                </c:pt>
                <c:pt idx="19" formatCode="0.0000">
                  <c:v>4.0000000000000001E-3</c:v>
                </c:pt>
                <c:pt idx="20">
                  <c:v>2.2100000000000002E-2</c:v>
                </c:pt>
                <c:pt idx="21">
                  <c:v>3.9800000000000002E-2</c:v>
                </c:pt>
                <c:pt idx="22">
                  <c:v>5.8099999999999999E-2</c:v>
                </c:pt>
                <c:pt idx="23">
                  <c:v>7.1300000000000002E-2</c:v>
                </c:pt>
                <c:pt idx="24">
                  <c:v>8.2900000000000001E-2</c:v>
                </c:pt>
                <c:pt idx="25">
                  <c:v>9.1600000000000001E-2</c:v>
                </c:pt>
                <c:pt idx="26">
                  <c:v>9.7600000000000006E-2</c:v>
                </c:pt>
                <c:pt idx="27">
                  <c:v>0.1009</c:v>
                </c:pt>
                <c:pt idx="28">
                  <c:v>0.1007</c:v>
                </c:pt>
                <c:pt idx="29">
                  <c:v>9.7100000000000006E-2</c:v>
                </c:pt>
                <c:pt idx="30">
                  <c:v>9.0899999999999995E-2</c:v>
                </c:pt>
                <c:pt idx="31">
                  <c:v>8.1900000000000001E-2</c:v>
                </c:pt>
                <c:pt idx="32">
                  <c:v>6.93E-2</c:v>
                </c:pt>
                <c:pt idx="33">
                  <c:v>5.5899999999999998E-2</c:v>
                </c:pt>
                <c:pt idx="34">
                  <c:v>3.9399999999999998E-2</c:v>
                </c:pt>
                <c:pt idx="35">
                  <c:v>2.1600000000000001E-2</c:v>
                </c:pt>
                <c:pt idx="36">
                  <c:v>1.1000000000000001E-3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4-46DF-A655-2AC7DCBA966F}"/>
            </c:ext>
          </c:extLst>
        </c:ser>
        <c:ser>
          <c:idx val="1"/>
          <c:order val="1"/>
          <c:tx>
            <c:v>seria 2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0,0018x - 0,3323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0,9991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obliczenia!$B$22:$B$30</c:f>
              <c:numCache>
                <c:formatCode>General</c:formatCode>
                <c:ptCount val="9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190</c:v>
                </c:pt>
                <c:pt idx="6">
                  <c:v>200</c:v>
                </c:pt>
                <c:pt idx="7">
                  <c:v>210</c:v>
                </c:pt>
                <c:pt idx="8">
                  <c:v>220</c:v>
                </c:pt>
              </c:numCache>
            </c:numRef>
          </c:xVal>
          <c:yVal>
            <c:numRef>
              <c:f>obliczenia!$G$22:$G$30</c:f>
              <c:numCache>
                <c:formatCode>General</c:formatCode>
                <c:ptCount val="9"/>
                <c:pt idx="0">
                  <c:v>-8.14E-2</c:v>
                </c:pt>
                <c:pt idx="1">
                  <c:v>-6.7500000000000004E-2</c:v>
                </c:pt>
                <c:pt idx="2">
                  <c:v>-5.0700000000000002E-2</c:v>
                </c:pt>
                <c:pt idx="3">
                  <c:v>-3.2599999999999997E-2</c:v>
                </c:pt>
                <c:pt idx="4">
                  <c:v>-1.4800000000000001E-2</c:v>
                </c:pt>
                <c:pt idx="5" formatCode="0.0000">
                  <c:v>4.0000000000000001E-3</c:v>
                </c:pt>
                <c:pt idx="6">
                  <c:v>2.2100000000000002E-2</c:v>
                </c:pt>
                <c:pt idx="7">
                  <c:v>3.9800000000000002E-2</c:v>
                </c:pt>
                <c:pt idx="8">
                  <c:v>5.8099999999999999E-2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4-46DF-A655-2AC7DCBA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54600"/>
        <c:axId val="270154272"/>
      </c:scatterChart>
      <c:valAx>
        <c:axId val="27015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kąt(°)</a:t>
                </a:r>
              </a:p>
            </c:rich>
          </c:tx>
          <c:layout>
            <c:manualLayout>
              <c:xMode val="edge"/>
              <c:yMode val="edge"/>
              <c:x val="0.46727972000701939"/>
              <c:y val="0.91517344911331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272"/>
        <c:crosses val="autoZero"/>
        <c:crossBetween val="midCat"/>
      </c:valAx>
      <c:valAx>
        <c:axId val="2701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UH[V]</a:t>
                </a:r>
              </a:p>
            </c:rich>
          </c:tx>
          <c:layout>
            <c:manualLayout>
              <c:xMode val="edge"/>
              <c:yMode val="edge"/>
              <c:x val="5.0646362626006591E-3"/>
              <c:y val="0.43886114866504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15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2.png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182879</xdr:colOff>
      <xdr:row>3</xdr:row>
      <xdr:rowOff>11430</xdr:rowOff>
    </xdr:from>
    <xdr:to>
      <xdr:col>22</xdr:col>
      <xdr:colOff>138546</xdr:colOff>
      <xdr:row>28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29BCB20-A343-4CD8-B435-AA922483B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138546</xdr:colOff>
      <xdr:row>3</xdr:row>
      <xdr:rowOff>21772</xdr:rowOff>
    </xdr:from>
    <xdr:to>
      <xdr:col>34</xdr:col>
      <xdr:colOff>576943</xdr:colOff>
      <xdr:row>29</xdr:row>
      <xdr:rowOff>8965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0C25DC8-3959-4364-9573-5F2753631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578222</xdr:colOff>
      <xdr:row>3</xdr:row>
      <xdr:rowOff>17929</xdr:rowOff>
    </xdr:from>
    <xdr:to>
      <xdr:col>46</xdr:col>
      <xdr:colOff>360218</xdr:colOff>
      <xdr:row>29</xdr:row>
      <xdr:rowOff>13854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F611276-6910-4907-BFE5-E57514D6D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156755</xdr:colOff>
      <xdr:row>40</xdr:row>
      <xdr:rowOff>32658</xdr:rowOff>
    </xdr:from>
    <xdr:to>
      <xdr:col>19</xdr:col>
      <xdr:colOff>461555</xdr:colOff>
      <xdr:row>55</xdr:row>
      <xdr:rowOff>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34FA25A-2BC1-4AD5-8811-2B128F1B0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264458</xdr:colOff>
      <xdr:row>40</xdr:row>
      <xdr:rowOff>71718</xdr:rowOff>
    </xdr:from>
    <xdr:to>
      <xdr:col>28</xdr:col>
      <xdr:colOff>224117</xdr:colOff>
      <xdr:row>54</xdr:row>
      <xdr:rowOff>152400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653392C-5FFD-44B1-9D70-CCCD18171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578224</xdr:colOff>
      <xdr:row>40</xdr:row>
      <xdr:rowOff>53788</xdr:rowOff>
    </xdr:from>
    <xdr:to>
      <xdr:col>36</xdr:col>
      <xdr:colOff>273424</xdr:colOff>
      <xdr:row>54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DF71D93-5CB4-43CB-B6F2-25EE7CF03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156358</xdr:colOff>
      <xdr:row>74</xdr:row>
      <xdr:rowOff>174666</xdr:rowOff>
    </xdr:from>
    <xdr:to>
      <xdr:col>20</xdr:col>
      <xdr:colOff>232444</xdr:colOff>
      <xdr:row>93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C7E1E7D5-F1EA-49B8-BC09-62C61E74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123824</xdr:colOff>
      <xdr:row>74</xdr:row>
      <xdr:rowOff>85724</xdr:rowOff>
    </xdr:from>
    <xdr:to>
      <xdr:col>31</xdr:col>
      <xdr:colOff>304799</xdr:colOff>
      <xdr:row>93</xdr:row>
      <xdr:rowOff>47624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331BF298-327D-4BC1-9096-DA09D01B9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292100</xdr:colOff>
      <xdr:row>74</xdr:row>
      <xdr:rowOff>28575</xdr:rowOff>
    </xdr:from>
    <xdr:to>
      <xdr:col>41</xdr:col>
      <xdr:colOff>266700</xdr:colOff>
      <xdr:row>92</xdr:row>
      <xdr:rowOff>47625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3007CAFB-246C-4C71-AF0E-119701F4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34</xdr:col>
      <xdr:colOff>2310</xdr:colOff>
      <xdr:row>63</xdr:row>
      <xdr:rowOff>95759</xdr:rowOff>
    </xdr:from>
    <xdr:to>
      <xdr:col>47</xdr:col>
      <xdr:colOff>74707</xdr:colOff>
      <xdr:row>70</xdr:row>
      <xdr:rowOff>93285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5C5198D-8EC4-41F9-AA14-11722663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19910" y="11347959"/>
          <a:ext cx="8710705" cy="1242126"/>
        </a:xfrm>
        <a:prstGeom prst="rect">
          <a:avLst/>
        </a:prstGeom>
      </xdr:spPr>
    </xdr:pic>
    <xdr:clientData/>
  </xdr:twoCellAnchor>
  <xdr:twoCellAnchor editAs="oneCell">
    <xdr:from>
      <xdr:col>43</xdr:col>
      <xdr:colOff>483721</xdr:colOff>
      <xdr:row>121</xdr:row>
      <xdr:rowOff>158004</xdr:rowOff>
    </xdr:from>
    <xdr:to>
      <xdr:col>58</xdr:col>
      <xdr:colOff>64441</xdr:colOff>
      <xdr:row>129</xdr:row>
      <xdr:rowOff>159595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9AFDF548-90C3-4C48-B2BF-615B1755B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910121" y="21722604"/>
          <a:ext cx="8724720" cy="1423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21</xdr:col>
      <xdr:colOff>269432</xdr:colOff>
      <xdr:row>28</xdr:row>
      <xdr:rowOff>23613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7D4CA32-D1BA-42C3-AF48-99F95FA9C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3</xdr:row>
      <xdr:rowOff>0</xdr:rowOff>
    </xdr:from>
    <xdr:to>
      <xdr:col>33</xdr:col>
      <xdr:colOff>269432</xdr:colOff>
      <xdr:row>28</xdr:row>
      <xdr:rowOff>23613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A68D536-1062-4D8E-896D-4FF2B650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3</xdr:row>
      <xdr:rowOff>0</xdr:rowOff>
    </xdr:from>
    <xdr:to>
      <xdr:col>45</xdr:col>
      <xdr:colOff>269432</xdr:colOff>
      <xdr:row>28</xdr:row>
      <xdr:rowOff>23613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049C696-7ED2-4D8D-B83D-7EEABC8DE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7C5F-FE3A-4974-9CEF-018F8111743E}">
  <dimension ref="A1:BG139"/>
  <sheetViews>
    <sheetView topLeftCell="A71" zoomScale="80" zoomScaleNormal="80" workbookViewId="0">
      <selection activeCell="J78" sqref="J78:J114"/>
    </sheetView>
  </sheetViews>
  <sheetFormatPr defaultRowHeight="14.4" x14ac:dyDescent="0.3"/>
  <cols>
    <col min="1" max="1" width="11.44140625" customWidth="1"/>
    <col min="2" max="2" width="27.109375" customWidth="1"/>
    <col min="3" max="10" width="15.33203125" customWidth="1"/>
    <col min="12" max="12" width="12.44140625" bestFit="1" customWidth="1"/>
    <col min="14" max="14" width="9.44140625" bestFit="1" customWidth="1"/>
    <col min="15" max="15" width="12" bestFit="1" customWidth="1"/>
    <col min="16" max="16" width="9.6640625" bestFit="1" customWidth="1"/>
    <col min="19" max="19" width="13.33203125" bestFit="1" customWidth="1"/>
    <col min="25" max="25" width="12.44140625" bestFit="1" customWidth="1"/>
    <col min="26" max="26" width="11.44140625" bestFit="1" customWidth="1"/>
    <col min="29" max="29" width="13.33203125" bestFit="1" customWidth="1"/>
    <col min="34" max="34" width="9" bestFit="1" customWidth="1"/>
    <col min="35" max="36" width="12.44140625" bestFit="1" customWidth="1"/>
    <col min="38" max="38" width="12.109375" bestFit="1" customWidth="1"/>
  </cols>
  <sheetData>
    <row r="1" spans="1:49" x14ac:dyDescent="0.3">
      <c r="D1" s="17" t="s">
        <v>45</v>
      </c>
      <c r="E1" s="18">
        <v>4.3999999999999997E-2</v>
      </c>
      <c r="F1" s="17" t="s">
        <v>46</v>
      </c>
      <c r="G1" s="16"/>
    </row>
    <row r="2" spans="1:49" x14ac:dyDescent="0.3">
      <c r="A2" t="s">
        <v>2</v>
      </c>
      <c r="B2">
        <v>15</v>
      </c>
      <c r="D2" s="78"/>
      <c r="E2" s="79"/>
      <c r="F2" s="79"/>
      <c r="G2" s="81"/>
      <c r="L2" t="s">
        <v>3</v>
      </c>
    </row>
    <row r="3" spans="1:49" x14ac:dyDescent="0.3">
      <c r="A3" t="s">
        <v>1</v>
      </c>
      <c r="B3">
        <v>0.5</v>
      </c>
      <c r="D3" s="17" t="s">
        <v>24</v>
      </c>
      <c r="E3" s="20">
        <v>15</v>
      </c>
      <c r="F3" s="20">
        <v>10</v>
      </c>
      <c r="G3" s="20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">
      <c r="D4" s="78"/>
      <c r="E4" s="79"/>
      <c r="F4" s="79"/>
      <c r="G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">
      <c r="D5" s="5" t="s">
        <v>33</v>
      </c>
      <c r="E5" s="84" t="s">
        <v>0</v>
      </c>
      <c r="F5" s="84"/>
      <c r="G5" s="8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">
      <c r="D6" s="11">
        <v>0</v>
      </c>
      <c r="E6" s="9">
        <v>3.7999999999999999E-2</v>
      </c>
      <c r="F6" s="9">
        <v>8.0000000000000002E-3</v>
      </c>
      <c r="G6" s="7">
        <v>1.1000000000000001E-3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">
      <c r="D7" s="11">
        <v>10</v>
      </c>
      <c r="E7" s="7">
        <v>-5.1499999999999997E-2</v>
      </c>
      <c r="F7" s="7">
        <v>-3.6600000000000001E-2</v>
      </c>
      <c r="G7" s="7">
        <v>-1.7500000000000002E-2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">
      <c r="D8" s="11">
        <v>20</v>
      </c>
      <c r="E8" s="7">
        <v>-0.1026</v>
      </c>
      <c r="F8" s="7">
        <v>-7.4200000000000002E-2</v>
      </c>
      <c r="G8" s="7">
        <v>-3.7199999999999997E-2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">
      <c r="D9" s="11">
        <v>30</v>
      </c>
      <c r="E9" s="9">
        <v>-0.155</v>
      </c>
      <c r="F9" s="7">
        <v>-0.1057</v>
      </c>
      <c r="G9" s="7">
        <v>-5.4199999999999998E-2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D10" s="11">
        <v>40</v>
      </c>
      <c r="E10" s="7">
        <v>-0.2011</v>
      </c>
      <c r="F10" s="7">
        <v>-0.1363</v>
      </c>
      <c r="G10" s="9">
        <v>-6.9000000000000006E-2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">
      <c r="D11" s="11">
        <v>50</v>
      </c>
      <c r="E11" s="7">
        <v>-0.2402</v>
      </c>
      <c r="F11" s="7">
        <v>-0.16209999999999999</v>
      </c>
      <c r="G11" s="9">
        <v>-8.4000000000000005E-2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">
      <c r="D12" s="11">
        <v>60</v>
      </c>
      <c r="E12" s="7">
        <v>-0.28520000000000001</v>
      </c>
      <c r="F12" s="7">
        <v>-0.18479999999999999</v>
      </c>
      <c r="G12" s="7">
        <v>-9.5699999999999993E-2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">
      <c r="D13" s="11">
        <v>70</v>
      </c>
      <c r="E13" s="7">
        <v>-0.30890000000000001</v>
      </c>
      <c r="F13" s="7">
        <v>-0.20080000000000001</v>
      </c>
      <c r="G13" s="9">
        <v>-0.104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">
      <c r="D14" s="11">
        <v>80</v>
      </c>
      <c r="E14" s="9">
        <v>-0.32500000000000001</v>
      </c>
      <c r="F14" s="7">
        <v>-0.21190000000000001</v>
      </c>
      <c r="G14" s="7">
        <v>-0.1069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">
      <c r="D15" s="11">
        <v>90</v>
      </c>
      <c r="E15" s="7">
        <v>-0.33329999999999999</v>
      </c>
      <c r="F15" s="7">
        <v>-0.21709999999999999</v>
      </c>
      <c r="G15" s="7">
        <v>-0.1124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">
      <c r="D16" s="11">
        <v>100</v>
      </c>
      <c r="E16" s="7">
        <v>-0.33229999999999998</v>
      </c>
      <c r="F16" s="7">
        <v>-0.21640000000000001</v>
      </c>
      <c r="G16" s="7">
        <v>-0.11219999999999999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3:49" x14ac:dyDescent="0.3">
      <c r="D17" s="11">
        <v>110</v>
      </c>
      <c r="E17" s="7">
        <v>-0.32269999999999999</v>
      </c>
      <c r="F17" s="7">
        <v>-0.2099</v>
      </c>
      <c r="G17" s="7">
        <v>-0.1089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3:49" x14ac:dyDescent="0.3">
      <c r="C18">
        <v>1</v>
      </c>
      <c r="D18" s="11">
        <v>120</v>
      </c>
      <c r="E18" s="9">
        <v>-0.30299999999999999</v>
      </c>
      <c r="F18" s="7">
        <v>-0.19789999999999999</v>
      </c>
      <c r="G18" s="7">
        <v>-0.1028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3:49" x14ac:dyDescent="0.3">
      <c r="D19" s="11">
        <v>130</v>
      </c>
      <c r="E19" s="7">
        <v>-0.2757</v>
      </c>
      <c r="F19" s="7">
        <v>-0.18049999999999999</v>
      </c>
      <c r="G19" s="7">
        <v>-9.35E-2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3:49" x14ac:dyDescent="0.3">
      <c r="D20" s="11">
        <v>140</v>
      </c>
      <c r="E20" s="7">
        <v>-0.24160000000000001</v>
      </c>
      <c r="F20" s="7">
        <v>-0.15759999999999999</v>
      </c>
      <c r="G20" s="7">
        <v>-8.14E-2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3:49" x14ac:dyDescent="0.3">
      <c r="D21" s="11">
        <v>150</v>
      </c>
      <c r="E21" s="7">
        <v>-0.19359999999999999</v>
      </c>
      <c r="F21" s="7">
        <v>-0.12909999999999999</v>
      </c>
      <c r="G21" s="7">
        <v>-6.7500000000000004E-2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3:49" x14ac:dyDescent="0.3">
      <c r="C22">
        <v>2</v>
      </c>
      <c r="D22" s="11">
        <v>160</v>
      </c>
      <c r="E22" s="7">
        <v>-0.14549999999999999</v>
      </c>
      <c r="F22" s="7">
        <v>-9.7100000000000006E-2</v>
      </c>
      <c r="G22" s="7">
        <v>-5.0700000000000002E-2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3:49" x14ac:dyDescent="0.3">
      <c r="D23" s="11">
        <v>170</v>
      </c>
      <c r="E23" s="7">
        <v>-9.2399999999999996E-2</v>
      </c>
      <c r="F23" s="7">
        <v>-6.2399999999999997E-2</v>
      </c>
      <c r="G23" s="7">
        <v>-3.2599999999999997E-2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3:49" x14ac:dyDescent="0.3">
      <c r="D24" s="11">
        <v>180</v>
      </c>
      <c r="E24" s="7">
        <v>-3.9300000000000002E-2</v>
      </c>
      <c r="F24" s="7">
        <v>-2.76E-2</v>
      </c>
      <c r="G24" s="7">
        <v>-1.4800000000000001E-2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3:49" x14ac:dyDescent="0.3">
      <c r="D25" s="11">
        <v>190</v>
      </c>
      <c r="E25" s="7">
        <v>1.3599999999999999E-2</v>
      </c>
      <c r="F25" s="7">
        <v>1.67E-2</v>
      </c>
      <c r="G25" s="9">
        <v>4.0000000000000001E-3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3:49" x14ac:dyDescent="0.3">
      <c r="D26" s="11">
        <v>200</v>
      </c>
      <c r="E26" s="7">
        <v>7.0099999999999996E-2</v>
      </c>
      <c r="F26" s="7">
        <v>4.36E-2</v>
      </c>
      <c r="G26" s="7">
        <v>2.2100000000000002E-2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3:49" x14ac:dyDescent="0.3">
      <c r="D27" s="11">
        <v>210</v>
      </c>
      <c r="E27" s="7">
        <v>0.1196</v>
      </c>
      <c r="F27" s="7">
        <v>7.8299999999999995E-2</v>
      </c>
      <c r="G27" s="7">
        <v>3.9800000000000002E-2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3:49" x14ac:dyDescent="0.3">
      <c r="C28">
        <v>2</v>
      </c>
      <c r="D28" s="11">
        <v>220</v>
      </c>
      <c r="E28" s="7">
        <v>0.1651</v>
      </c>
      <c r="F28" s="7">
        <v>0.1099</v>
      </c>
      <c r="G28" s="7">
        <v>5.8099999999999999E-2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3:49" x14ac:dyDescent="0.3">
      <c r="C29">
        <v>1</v>
      </c>
      <c r="D29" s="11">
        <v>230</v>
      </c>
      <c r="E29" s="9">
        <v>0.21</v>
      </c>
      <c r="F29" s="7">
        <v>0.13780000000000001</v>
      </c>
      <c r="G29" s="7">
        <v>7.1300000000000002E-2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3:49" x14ac:dyDescent="0.3">
      <c r="D30" s="11">
        <v>240</v>
      </c>
      <c r="E30" s="7">
        <v>0.2467</v>
      </c>
      <c r="F30" s="7">
        <v>0.15939999999999999</v>
      </c>
      <c r="G30" s="7">
        <v>8.2900000000000001E-2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3:49" ht="18" x14ac:dyDescent="0.35">
      <c r="D31" s="11">
        <v>250</v>
      </c>
      <c r="E31" s="7">
        <v>0.27429999999999999</v>
      </c>
      <c r="F31" s="7">
        <v>0.17760000000000001</v>
      </c>
      <c r="G31" s="7">
        <v>9.1600000000000001E-2</v>
      </c>
      <c r="L31" s="1"/>
      <c r="M31" s="2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4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4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3:49" x14ac:dyDescent="0.3">
      <c r="D32" s="11">
        <v>260</v>
      </c>
      <c r="E32" s="7">
        <v>0.29220000000000002</v>
      </c>
      <c r="F32" s="7">
        <v>0.1893</v>
      </c>
      <c r="G32" s="7">
        <v>9.7600000000000006E-2</v>
      </c>
      <c r="L32" s="1"/>
      <c r="M32" s="2" t="s">
        <v>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 t="s">
        <v>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2" t="s">
        <v>7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4:49" x14ac:dyDescent="0.3">
      <c r="D33" s="11">
        <v>270</v>
      </c>
      <c r="E33" s="7">
        <v>0.30049999999999999</v>
      </c>
      <c r="F33" s="7">
        <v>0.1951</v>
      </c>
      <c r="G33" s="7">
        <v>0.1009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4:49" x14ac:dyDescent="0.3">
      <c r="D34" s="11">
        <v>280</v>
      </c>
      <c r="E34" s="7">
        <v>0.2999</v>
      </c>
      <c r="F34" s="7">
        <v>0.19470000000000001</v>
      </c>
      <c r="G34" s="7">
        <v>0.1007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4:49" x14ac:dyDescent="0.3">
      <c r="D35" s="11">
        <v>290</v>
      </c>
      <c r="E35" s="7">
        <v>0.2898</v>
      </c>
      <c r="F35" s="7">
        <v>0.18809999999999999</v>
      </c>
      <c r="G35" s="7">
        <v>9.7100000000000006E-2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4:49" x14ac:dyDescent="0.3">
      <c r="D36" s="11">
        <v>300</v>
      </c>
      <c r="E36" s="7">
        <v>0.2727</v>
      </c>
      <c r="F36" s="10">
        <v>0.17599999999999999</v>
      </c>
      <c r="G36" s="7">
        <v>9.0899999999999995E-2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4:49" x14ac:dyDescent="0.3">
      <c r="D37" s="11">
        <v>310</v>
      </c>
      <c r="E37" s="7">
        <v>0.24349999999999999</v>
      </c>
      <c r="F37" s="7">
        <v>0.1588</v>
      </c>
      <c r="G37" s="7">
        <v>8.1900000000000001E-2</v>
      </c>
    </row>
    <row r="38" spans="4:49" x14ac:dyDescent="0.3">
      <c r="D38" s="11">
        <v>320</v>
      </c>
      <c r="E38" s="7">
        <v>0.2074</v>
      </c>
      <c r="F38" s="7">
        <v>0.13469999999999999</v>
      </c>
      <c r="G38" s="7">
        <v>6.93E-2</v>
      </c>
    </row>
    <row r="39" spans="4:49" x14ac:dyDescent="0.3">
      <c r="D39" s="11">
        <v>330</v>
      </c>
      <c r="E39" s="7">
        <v>0.16839999999999999</v>
      </c>
      <c r="F39" s="7">
        <v>0.10979999999999999</v>
      </c>
      <c r="G39" s="7">
        <v>5.5899999999999998E-2</v>
      </c>
    </row>
    <row r="40" spans="4:49" x14ac:dyDescent="0.3">
      <c r="D40" s="11">
        <v>340</v>
      </c>
      <c r="E40" s="7">
        <v>0.11550000000000001</v>
      </c>
      <c r="F40" s="7">
        <v>7.6499999999999999E-2</v>
      </c>
      <c r="G40" s="7">
        <v>3.9399999999999998E-2</v>
      </c>
      <c r="L40" s="3"/>
      <c r="M40" s="3" t="s">
        <v>8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4:49" x14ac:dyDescent="0.3">
      <c r="D41" s="11">
        <v>350</v>
      </c>
      <c r="E41" s="7">
        <v>6.0900000000000003E-2</v>
      </c>
      <c r="F41" s="7">
        <v>4.24E-2</v>
      </c>
      <c r="G41" s="7">
        <v>2.1600000000000001E-2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4:49" x14ac:dyDescent="0.3">
      <c r="D42" s="11">
        <v>360</v>
      </c>
      <c r="E42" s="7">
        <v>1.6000000000000001E-3</v>
      </c>
      <c r="F42" s="7">
        <v>2.8E-3</v>
      </c>
      <c r="G42" s="7">
        <v>1.1000000000000001E-3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4:49" x14ac:dyDescent="0.3"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4:49" x14ac:dyDescent="0.3"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4:49" x14ac:dyDescent="0.3"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4:49" x14ac:dyDescent="0.3"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4:49" x14ac:dyDescent="0.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4:49" x14ac:dyDescent="0.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49" x14ac:dyDescent="0.3">
      <c r="B49" s="12" t="s">
        <v>13</v>
      </c>
      <c r="C49" s="12"/>
      <c r="D49" s="12"/>
      <c r="E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49" x14ac:dyDescent="0.3">
      <c r="B50" s="6" t="s">
        <v>14</v>
      </c>
      <c r="C50" s="6">
        <v>15</v>
      </c>
      <c r="D50" s="6">
        <v>10</v>
      </c>
      <c r="E50" s="6">
        <v>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49" x14ac:dyDescent="0.3">
      <c r="B51" s="7" t="s">
        <v>15</v>
      </c>
      <c r="C51" s="7">
        <v>5.1726666666666674E-3</v>
      </c>
      <c r="D51" s="7">
        <v>3.4211666666666661E-3</v>
      </c>
      <c r="E51" s="7">
        <v>1.7701666666666668E-3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49" x14ac:dyDescent="0.3">
      <c r="B52" s="7" t="s">
        <v>16</v>
      </c>
      <c r="C52" s="7">
        <v>-0.9693022222222224</v>
      </c>
      <c r="D52" s="7">
        <v>-0.64084333333333321</v>
      </c>
      <c r="E52" s="7">
        <v>-0.33229666666666668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49" x14ac:dyDescent="0.3">
      <c r="B53" s="7" t="s">
        <v>17</v>
      </c>
      <c r="C53" s="7">
        <f>C52/C51*(-1)</f>
        <v>187.38926837650899</v>
      </c>
      <c r="D53" s="7">
        <f>D52/D51*(-1)</f>
        <v>187.3171919910362</v>
      </c>
      <c r="E53" s="7">
        <f>E52/E51*(-1)</f>
        <v>187.72055362018642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49" x14ac:dyDescent="0.3">
      <c r="B54" s="15" t="s">
        <v>18</v>
      </c>
      <c r="C54" s="7">
        <v>2.1730784697241621</v>
      </c>
      <c r="D54" s="7">
        <v>3.9220696731134828</v>
      </c>
      <c r="E54" s="7">
        <v>2.9369930280366812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49" x14ac:dyDescent="0.3">
      <c r="B55" s="7" t="s">
        <v>31</v>
      </c>
      <c r="C55" s="7">
        <f>C53*2*PI()/360</f>
        <v>3.2705597160733708</v>
      </c>
      <c r="D55" s="7">
        <f t="shared" ref="D55:E55" si="0">D53*2*PI()/360</f>
        <v>3.2693017458339342</v>
      </c>
      <c r="E55" s="7">
        <f t="shared" si="0"/>
        <v>3.2763417343388141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49" x14ac:dyDescent="0.3">
      <c r="B56" s="15" t="s">
        <v>19</v>
      </c>
      <c r="C56" s="7">
        <f>C54*2*PI()/360</f>
        <v>3.7927374200886536E-2</v>
      </c>
      <c r="D56" s="7">
        <f t="shared" ref="D56:E56" si="1">D54*2*PI()/360</f>
        <v>6.8453029288448E-2</v>
      </c>
      <c r="E56" s="7">
        <f t="shared" si="1"/>
        <v>5.1260198447358213E-2</v>
      </c>
      <c r="M56" s="4"/>
      <c r="N56" s="4" t="s">
        <v>9</v>
      </c>
      <c r="O56" s="4"/>
      <c r="P56" s="4"/>
      <c r="Q56" s="4" t="s">
        <v>11</v>
      </c>
      <c r="R56" s="4"/>
      <c r="S56" s="4"/>
      <c r="T56" s="4"/>
      <c r="U56" s="4"/>
      <c r="V56" s="4" t="s">
        <v>9</v>
      </c>
      <c r="W56" s="4"/>
      <c r="X56" s="4"/>
      <c r="Y56" s="4" t="s">
        <v>11</v>
      </c>
      <c r="Z56" s="4"/>
      <c r="AA56" s="4"/>
      <c r="AB56" s="4"/>
      <c r="AC56" s="4"/>
      <c r="AD56" s="4" t="s">
        <v>9</v>
      </c>
      <c r="AE56" s="4"/>
      <c r="AF56" s="4"/>
      <c r="AG56" s="4" t="s">
        <v>11</v>
      </c>
      <c r="AH56" s="4"/>
      <c r="AI56" s="4"/>
      <c r="AJ56" s="4"/>
      <c r="AK56" s="4"/>
    </row>
    <row r="57" spans="2:49" x14ac:dyDescent="0.3">
      <c r="M57" s="4"/>
      <c r="N57" s="4">
        <f>(E29-E18)/(D29-D18)</f>
        <v>4.6636363636363637E-3</v>
      </c>
      <c r="O57" s="4"/>
      <c r="P57" s="4"/>
      <c r="Q57" s="4">
        <f>-(E23-E24)/10</f>
        <v>5.3099999999999996E-3</v>
      </c>
      <c r="R57" s="4"/>
      <c r="S57" s="4"/>
      <c r="T57" s="4"/>
      <c r="U57" s="4"/>
      <c r="V57" s="4">
        <f>(F22+F28)/(D28-D22)</f>
        <v>2.133333333333332E-4</v>
      </c>
      <c r="W57" s="4"/>
      <c r="X57" s="4"/>
      <c r="Y57" s="4">
        <f>-(F22-F23)/10</f>
        <v>3.4700000000000009E-3</v>
      </c>
      <c r="Z57" s="4"/>
      <c r="AA57" s="4"/>
      <c r="AB57" s="4"/>
      <c r="AC57" s="4"/>
      <c r="AD57" s="4">
        <f>(G28+G22)/(D28-D22)</f>
        <v>1.2333333333333329E-4</v>
      </c>
      <c r="AE57" s="4"/>
      <c r="AF57" s="4"/>
      <c r="AG57" s="4">
        <f>-(G22-G23)/10</f>
        <v>1.8100000000000004E-3</v>
      </c>
      <c r="AH57" s="4"/>
      <c r="AI57" s="4"/>
      <c r="AJ57" s="4"/>
      <c r="AK57" s="4"/>
    </row>
    <row r="58" spans="2:49" x14ac:dyDescent="0.3">
      <c r="M58" s="4"/>
      <c r="N58" s="4" t="s">
        <v>10</v>
      </c>
      <c r="O58" s="4" t="s">
        <v>12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49" x14ac:dyDescent="0.3">
      <c r="B59" s="8" t="s">
        <v>20</v>
      </c>
      <c r="C59" s="7">
        <v>0.57999999999999996</v>
      </c>
    </row>
    <row r="60" spans="2:49" x14ac:dyDescent="0.3">
      <c r="B60" s="8" t="s">
        <v>21</v>
      </c>
      <c r="C60" s="7">
        <f>C59*2*PI()/360</f>
        <v>1.0122909661567111E-2</v>
      </c>
      <c r="O60" t="s">
        <v>29</v>
      </c>
      <c r="P60" t="s">
        <v>30</v>
      </c>
      <c r="W60" t="s">
        <v>29</v>
      </c>
      <c r="X60" t="s">
        <v>30</v>
      </c>
      <c r="AF60" t="s">
        <v>29</v>
      </c>
      <c r="AG60" t="s">
        <v>30</v>
      </c>
    </row>
    <row r="61" spans="2:49" x14ac:dyDescent="0.3">
      <c r="O61" cm="1">
        <f t="array" ref="O61:P65">LINEST(E18:E29,D18:D29,TRUE,TRUE)</f>
        <v>4.8907342657342652E-3</v>
      </c>
      <c r="P61">
        <v>-0.91527016317016319</v>
      </c>
      <c r="W61" cm="1">
        <f t="array" ref="W61:X65">LINEST(F22:F28,D22:D28,TRUE,TRUE)</f>
        <v>3.477142857142857E-3</v>
      </c>
      <c r="X61">
        <v>-0.65188571428571429</v>
      </c>
      <c r="AF61" cm="1">
        <f t="array" ref="AF61:AG65">LINEST(G22:G28,D22:D28,TRUE,TRUE)</f>
        <v>1.8146428571428576E-3</v>
      </c>
      <c r="AG61">
        <v>-0.34108214285714294</v>
      </c>
    </row>
    <row r="62" spans="2:49" x14ac:dyDescent="0.3">
      <c r="O62">
        <v>9.5729859459538807E-5</v>
      </c>
      <c r="P62">
        <v>1.7075552328305071E-2</v>
      </c>
      <c r="W62">
        <v>7.5900041676738302E-5</v>
      </c>
      <c r="X62">
        <v>1.4500682601807658E-2</v>
      </c>
      <c r="AF62">
        <v>4.7782457715213576E-6</v>
      </c>
      <c r="AG62">
        <v>9.1288257286288111E-4</v>
      </c>
    </row>
    <row r="63" spans="2:49" x14ac:dyDescent="0.3">
      <c r="O63">
        <v>0.99618331801816828</v>
      </c>
      <c r="P63">
        <v>1.1447626203176169E-2</v>
      </c>
      <c r="W63">
        <v>0.99762329354193924</v>
      </c>
      <c r="X63">
        <v>4.0162526955217492E-3</v>
      </c>
      <c r="AF63">
        <v>0.99996533353247508</v>
      </c>
      <c r="AG63">
        <v>2.528410002918294E-4</v>
      </c>
    </row>
    <row r="64" spans="2:49" x14ac:dyDescent="0.3">
      <c r="O64">
        <v>2610.0768226439395</v>
      </c>
      <c r="P64">
        <v>10</v>
      </c>
      <c r="W64">
        <v>2098.7515941618249</v>
      </c>
      <c r="X64">
        <v>5</v>
      </c>
      <c r="AF64">
        <v>144226.59776535985</v>
      </c>
      <c r="AG64">
        <v>5</v>
      </c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</row>
    <row r="65" spans="2:49" x14ac:dyDescent="0.3">
      <c r="B65" s="8" t="s">
        <v>22</v>
      </c>
      <c r="C65" s="13">
        <v>0.5</v>
      </c>
      <c r="O65">
        <v>0.34204572770979019</v>
      </c>
      <c r="P65">
        <v>1.3104814568764564E-3</v>
      </c>
      <c r="W65">
        <v>3.3853462857142858E-2</v>
      </c>
      <c r="X65">
        <v>8.0651428571428574E-5</v>
      </c>
      <c r="AF65">
        <v>9.2202003571428565E-3</v>
      </c>
      <c r="AG65">
        <v>3.1964285714286435E-7</v>
      </c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</row>
    <row r="66" spans="2:49" x14ac:dyDescent="0.3">
      <c r="B66" s="8" t="s">
        <v>23</v>
      </c>
      <c r="C66" s="7">
        <v>0.05</v>
      </c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</row>
    <row r="67" spans="2:49" x14ac:dyDescent="0.3">
      <c r="O67" t="s">
        <v>28</v>
      </c>
      <c r="P67">
        <f>(1/O61^2*P62^2+(P61/O61^2)^2*O62^2)^(1/2)</f>
        <v>5.0604570305396033</v>
      </c>
      <c r="W67" t="s">
        <v>28</v>
      </c>
      <c r="X67">
        <f>(1/W61^2*X62^2+(X61/W61^2)^2*W62^2)^(1/2)</f>
        <v>5.8427975701929098</v>
      </c>
      <c r="AF67" t="s">
        <v>28</v>
      </c>
      <c r="AG67">
        <f>(1/AF61^2*AG62^2+(AG61/AF61^2)^2*AF62^2)^(1/2)</f>
        <v>0.70571327452901822</v>
      </c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</row>
    <row r="68" spans="2:49" x14ac:dyDescent="0.3"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</row>
    <row r="69" spans="2:49" x14ac:dyDescent="0.3"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</row>
    <row r="70" spans="2:49" x14ac:dyDescent="0.3"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</row>
    <row r="71" spans="2:49" x14ac:dyDescent="0.3"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</row>
    <row r="72" spans="2:49" x14ac:dyDescent="0.3"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</row>
    <row r="73" spans="2:49" x14ac:dyDescent="0.3">
      <c r="K73" s="34"/>
      <c r="L73" s="34"/>
      <c r="M73" s="34"/>
      <c r="N73" s="34"/>
      <c r="O73" s="35" t="s">
        <v>60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</row>
    <row r="74" spans="2:49" x14ac:dyDescent="0.3">
      <c r="C74" s="82" t="s">
        <v>24</v>
      </c>
      <c r="D74" s="83"/>
      <c r="E74" s="77">
        <v>15</v>
      </c>
      <c r="F74" s="77"/>
      <c r="G74" s="77">
        <v>10</v>
      </c>
      <c r="H74" s="77"/>
      <c r="I74" s="77">
        <v>5</v>
      </c>
      <c r="J74" s="78"/>
      <c r="K74" s="36"/>
      <c r="L74" s="37"/>
      <c r="M74" s="37"/>
      <c r="N74" s="37"/>
      <c r="O74" s="37"/>
      <c r="P74" s="37"/>
      <c r="Q74" s="37"/>
      <c r="R74" s="37"/>
      <c r="S74" s="37"/>
      <c r="T74" s="37"/>
      <c r="U74" s="38"/>
      <c r="V74" s="34"/>
      <c r="W74" s="36"/>
      <c r="X74" s="37"/>
      <c r="Y74" s="37"/>
      <c r="Z74" s="37"/>
      <c r="AA74" s="37"/>
      <c r="AB74" s="37"/>
      <c r="AC74" s="37"/>
      <c r="AD74" s="37"/>
      <c r="AE74" s="37"/>
      <c r="AF74" s="38"/>
      <c r="AG74" s="36"/>
      <c r="AH74" s="37"/>
      <c r="AI74" s="37"/>
      <c r="AJ74" s="37"/>
      <c r="AK74" s="37"/>
      <c r="AL74" s="37"/>
      <c r="AM74" s="37"/>
      <c r="AN74" s="37"/>
      <c r="AO74" s="37"/>
      <c r="AP74" s="38"/>
      <c r="AQ74" s="34"/>
    </row>
    <row r="75" spans="2:49" x14ac:dyDescent="0.3">
      <c r="D75" s="78"/>
      <c r="E75" s="79"/>
      <c r="F75" s="79"/>
      <c r="G75" s="79"/>
      <c r="H75" s="79"/>
      <c r="I75" s="79"/>
      <c r="J75" s="79"/>
      <c r="K75" s="39"/>
      <c r="L75" s="40"/>
      <c r="M75" s="40"/>
      <c r="N75" s="40"/>
      <c r="O75" s="40"/>
      <c r="P75" s="40"/>
      <c r="Q75" s="40"/>
      <c r="R75" s="40"/>
      <c r="S75" s="40"/>
      <c r="T75" s="40"/>
      <c r="U75" s="41"/>
      <c r="V75" s="34"/>
      <c r="W75" s="39"/>
      <c r="X75" s="40"/>
      <c r="Y75" s="40"/>
      <c r="Z75" s="40"/>
      <c r="AA75" s="40"/>
      <c r="AB75" s="40"/>
      <c r="AC75" s="40"/>
      <c r="AD75" s="40"/>
      <c r="AE75" s="40"/>
      <c r="AF75" s="41"/>
      <c r="AG75" s="39"/>
      <c r="AH75" s="40"/>
      <c r="AI75" s="40"/>
      <c r="AJ75" s="40"/>
      <c r="AK75" s="40"/>
      <c r="AL75" s="40"/>
      <c r="AM75" s="40"/>
      <c r="AN75" s="40"/>
      <c r="AO75" s="40"/>
      <c r="AP75" s="41"/>
      <c r="AQ75" s="34"/>
    </row>
    <row r="76" spans="2:49" x14ac:dyDescent="0.3">
      <c r="C76" s="80" t="s">
        <v>25</v>
      </c>
      <c r="D76" s="80"/>
      <c r="E76" s="80"/>
      <c r="F76" s="80"/>
      <c r="G76" s="80"/>
      <c r="H76" s="80"/>
      <c r="I76" s="80"/>
      <c r="J76" s="80"/>
      <c r="K76" s="39"/>
      <c r="L76" s="40"/>
      <c r="M76" s="40"/>
      <c r="N76" s="40"/>
      <c r="O76" s="40"/>
      <c r="P76" s="40"/>
      <c r="Q76" s="40"/>
      <c r="R76" s="40"/>
      <c r="S76" s="40"/>
      <c r="T76" s="40"/>
      <c r="U76" s="41"/>
      <c r="V76" s="34"/>
      <c r="W76" s="39"/>
      <c r="X76" s="40"/>
      <c r="Y76" s="40"/>
      <c r="Z76" s="40"/>
      <c r="AA76" s="40"/>
      <c r="AB76" s="40"/>
      <c r="AC76" s="40"/>
      <c r="AD76" s="40"/>
      <c r="AE76" s="40"/>
      <c r="AF76" s="41"/>
      <c r="AG76" s="39"/>
      <c r="AH76" s="40"/>
      <c r="AI76" s="40"/>
      <c r="AJ76" s="40"/>
      <c r="AK76" s="40"/>
      <c r="AL76" s="40"/>
      <c r="AM76" s="40"/>
      <c r="AN76" s="40"/>
      <c r="AO76" s="40"/>
      <c r="AP76" s="41"/>
      <c r="AQ76" s="34"/>
    </row>
    <row r="77" spans="2:49" x14ac:dyDescent="0.3">
      <c r="C77" s="14" t="s">
        <v>33</v>
      </c>
      <c r="D77" s="5" t="s">
        <v>32</v>
      </c>
      <c r="E77" s="5" t="s">
        <v>26</v>
      </c>
      <c r="F77" s="5" t="s">
        <v>27</v>
      </c>
      <c r="G77" s="5" t="s">
        <v>26</v>
      </c>
      <c r="H77" s="5" t="s">
        <v>27</v>
      </c>
      <c r="I77" s="5" t="s">
        <v>26</v>
      </c>
      <c r="J77" s="32" t="s">
        <v>27</v>
      </c>
      <c r="K77" s="39"/>
      <c r="L77" s="40"/>
      <c r="M77" s="40"/>
      <c r="N77" s="40"/>
      <c r="O77" s="40"/>
      <c r="P77" s="40"/>
      <c r="Q77" s="40"/>
      <c r="R77" s="40"/>
      <c r="S77" s="40"/>
      <c r="T77" s="40"/>
      <c r="U77" s="41"/>
      <c r="V77" s="34"/>
      <c r="W77" s="39"/>
      <c r="X77" s="40"/>
      <c r="Y77" s="40"/>
      <c r="Z77" s="40"/>
      <c r="AA77" s="40"/>
      <c r="AB77" s="40"/>
      <c r="AC77" s="40"/>
      <c r="AD77" s="40"/>
      <c r="AE77" s="40"/>
      <c r="AF77" s="41"/>
      <c r="AG77" s="39"/>
      <c r="AH77" s="40"/>
      <c r="AI77" s="40"/>
      <c r="AJ77" s="40"/>
      <c r="AK77" s="40"/>
      <c r="AL77" s="40"/>
      <c r="AM77" s="40"/>
      <c r="AN77" s="40"/>
      <c r="AO77" s="40"/>
      <c r="AP77" s="41"/>
      <c r="AQ77" s="34"/>
    </row>
    <row r="78" spans="2:49" x14ac:dyDescent="0.3">
      <c r="C78" s="11">
        <v>0</v>
      </c>
      <c r="D78" s="11">
        <f>C78*2*PI()/360</f>
        <v>0</v>
      </c>
      <c r="E78" s="9">
        <f>$C$65*SIN(D78-$C$55)</f>
        <v>6.4304926082372621E-2</v>
      </c>
      <c r="F78" s="7">
        <f>SQRT((SIN(D78-$C$55)*$C$66)^2+($C$65*COS(D78-$C$55))^2*$C$60^2+($C$65*COS(D78-$C$55))^2*$C$56^2)</f>
        <v>2.0499242248758081E-2</v>
      </c>
      <c r="G78" s="7">
        <f>$C$65*SIN(D78-$D$55)</f>
        <v>6.3681113798676248E-2</v>
      </c>
      <c r="H78" s="9">
        <f>SQRT((SIN(D78-$D$55)*$C$66)^2+($C$65*COS(D78-$D$55))^2*$C$60^2+($C$65*COS(D78-$D$55))^2*$D$56^2)</f>
        <v>3.4902830731822973E-2</v>
      </c>
      <c r="I78" s="7">
        <f>$C$65*SIN(D78-$E$55)</f>
        <v>6.7170835276601351E-2</v>
      </c>
      <c r="J78" s="33">
        <f>SQRT((SIN(D78-$E$55)*$C$66)^2+($C$65*COS(D78-$E$55))^2*$C$60^2+($C$65*COS(D78-$E$55))^2*$E$56^2)</f>
        <v>2.6745497025325273E-2</v>
      </c>
      <c r="K78" s="39"/>
      <c r="L78" s="40"/>
      <c r="M78" s="40"/>
      <c r="N78" s="40"/>
      <c r="O78" s="40"/>
      <c r="P78" s="40"/>
      <c r="Q78" s="40"/>
      <c r="R78" s="40"/>
      <c r="S78" s="40"/>
      <c r="T78" s="40"/>
      <c r="U78" s="41"/>
      <c r="V78" s="34"/>
      <c r="W78" s="39"/>
      <c r="X78" s="40"/>
      <c r="Y78" s="40"/>
      <c r="Z78" s="40"/>
      <c r="AA78" s="40"/>
      <c r="AB78" s="40"/>
      <c r="AC78" s="40"/>
      <c r="AD78" s="40"/>
      <c r="AE78" s="40"/>
      <c r="AF78" s="41"/>
      <c r="AG78" s="39"/>
      <c r="AH78" s="40"/>
      <c r="AI78" s="40"/>
      <c r="AJ78" s="40"/>
      <c r="AK78" s="40"/>
      <c r="AL78" s="40"/>
      <c r="AM78" s="40"/>
      <c r="AN78" s="40"/>
      <c r="AO78" s="40"/>
      <c r="AP78" s="41"/>
      <c r="AQ78" s="34"/>
    </row>
    <row r="79" spans="2:49" x14ac:dyDescent="0.3">
      <c r="C79" s="11">
        <v>10</v>
      </c>
      <c r="D79" s="11">
        <f t="shared" ref="D79:D114" si="2">C79*2*PI()/360</f>
        <v>0.17453292519943295</v>
      </c>
      <c r="E79" s="9">
        <f t="shared" ref="E79:E114" si="3">$C$65*SIN(D79-$C$55)</f>
        <v>-2.2775048340971007E-2</v>
      </c>
      <c r="F79" s="7">
        <f>SQRT((SIN(D79-$C$55)*$C$66)^2+($C$65*COS(D79-$C$55))^2*$C$60^2+($C$65*COS(D79-$C$55))^2*$C$56^2)</f>
        <v>1.9738983811743563E-2</v>
      </c>
      <c r="G79" s="7">
        <f t="shared" ref="G79:G114" si="4">$C$65*SIN(D79-$D$55)</f>
        <v>-2.3403362422805912E-2</v>
      </c>
      <c r="H79" s="9">
        <f t="shared" ref="H79:H114" si="5">SQRT((SIN(D79-$D$55)*$C$66)^2+($C$65*COS(D79-$D$55))^2*$C$60^2+($C$65*COS(D79-$D$55))^2*$D$56^2)</f>
        <v>3.4639964975727612E-2</v>
      </c>
      <c r="I79" s="7">
        <f t="shared" ref="I79:I114" si="6">$C$65*SIN(D79-$E$55)</f>
        <v>-1.9886675302948478E-2</v>
      </c>
      <c r="J79" s="33">
        <f t="shared" ref="J79:J80" si="7">SQRT((SIN(D79-$E$55)*$C$66)^2+($C$65*COS(D79-$E$55))^2*$C$60^2+($C$65*COS(D79-$E$55))^2*$E$56^2)</f>
        <v>2.6180057632327003E-2</v>
      </c>
      <c r="K79" s="39"/>
      <c r="L79" s="40"/>
      <c r="M79" s="40"/>
      <c r="N79" s="40"/>
      <c r="O79" s="40"/>
      <c r="P79" s="40"/>
      <c r="Q79" s="40"/>
      <c r="R79" s="40"/>
      <c r="S79" s="40"/>
      <c r="T79" s="40"/>
      <c r="U79" s="41"/>
      <c r="V79" s="34"/>
      <c r="W79" s="39"/>
      <c r="X79" s="40"/>
      <c r="Y79" s="40"/>
      <c r="Z79" s="40"/>
      <c r="AA79" s="40"/>
      <c r="AB79" s="40"/>
      <c r="AC79" s="40"/>
      <c r="AD79" s="40"/>
      <c r="AE79" s="40"/>
      <c r="AF79" s="41"/>
      <c r="AG79" s="39"/>
      <c r="AH79" s="40"/>
      <c r="AI79" s="40"/>
      <c r="AJ79" s="40"/>
      <c r="AK79" s="40"/>
      <c r="AL79" s="40"/>
      <c r="AM79" s="40"/>
      <c r="AN79" s="40"/>
      <c r="AO79" s="40"/>
      <c r="AP79" s="41"/>
      <c r="AQ79" s="34"/>
    </row>
    <row r="80" spans="2:49" x14ac:dyDescent="0.3">
      <c r="C80" s="11">
        <v>20</v>
      </c>
      <c r="D80" s="11">
        <f t="shared" si="2"/>
        <v>0.3490658503988659</v>
      </c>
      <c r="E80" s="9">
        <f t="shared" si="3"/>
        <v>-0.10916301444520499</v>
      </c>
      <c r="F80" s="7">
        <f t="shared" ref="F80:F114" si="8">SQRT((SIN(D80-$C$55)*$C$66)^2+($C$65*COS(D80-$C$55))^2*$C$60^2+($C$65*COS(D80-$C$55))^2*$C$56^2)</f>
        <v>2.2046370549213334E-2</v>
      </c>
      <c r="G80" s="7">
        <f t="shared" si="4"/>
        <v>-0.10977673931974415</v>
      </c>
      <c r="H80" s="9">
        <f t="shared" si="5"/>
        <v>3.5494768471432202E-2</v>
      </c>
      <c r="I80" s="7">
        <f t="shared" si="6"/>
        <v>-0.10633993931656169</v>
      </c>
      <c r="J80" s="33">
        <f t="shared" si="7"/>
        <v>2.7653749848294641E-2</v>
      </c>
      <c r="K80" s="39"/>
      <c r="L80" s="40"/>
      <c r="M80" s="40"/>
      <c r="N80" s="40"/>
      <c r="O80" s="40"/>
      <c r="P80" s="40"/>
      <c r="Q80" s="40"/>
      <c r="R80" s="40"/>
      <c r="S80" s="40"/>
      <c r="T80" s="40"/>
      <c r="U80" s="41"/>
      <c r="V80" s="34"/>
      <c r="W80" s="39"/>
      <c r="X80" s="40"/>
      <c r="Y80" s="40"/>
      <c r="Z80" s="40"/>
      <c r="AA80" s="40"/>
      <c r="AB80" s="40"/>
      <c r="AC80" s="40"/>
      <c r="AD80" s="40"/>
      <c r="AE80" s="40"/>
      <c r="AF80" s="41"/>
      <c r="AG80" s="39"/>
      <c r="AH80" s="40"/>
      <c r="AI80" s="40"/>
      <c r="AJ80" s="40"/>
      <c r="AK80" s="40"/>
      <c r="AL80" s="40"/>
      <c r="AM80" s="40"/>
      <c r="AN80" s="40"/>
      <c r="AO80" s="40"/>
      <c r="AP80" s="41"/>
      <c r="AQ80" s="34"/>
    </row>
    <row r="81" spans="3:43" x14ac:dyDescent="0.3">
      <c r="C81" s="11">
        <v>30</v>
      </c>
      <c r="D81" s="11">
        <f t="shared" si="2"/>
        <v>0.52359877559829882</v>
      </c>
      <c r="E81" s="9">
        <f t="shared" si="3"/>
        <v>-0.19223411759467185</v>
      </c>
      <c r="F81" s="7">
        <f t="shared" si="8"/>
        <v>2.6416562637451964E-2</v>
      </c>
      <c r="G81" s="7">
        <f t="shared" si="4"/>
        <v>-0.19281460554216215</v>
      </c>
      <c r="H81" s="9">
        <f t="shared" si="5"/>
        <v>3.7293844178104635E-2</v>
      </c>
      <c r="I81" s="7">
        <f t="shared" si="6"/>
        <v>-0.18956211808464665</v>
      </c>
      <c r="J81" s="33">
        <f t="shared" ref="J81:J114" si="9">SQRT((SIN(D81-$E$55)*$C$66)^2+($C$65*COS(D81-$E$55))^2*$C$60^2+($C$65*COS(D81-$E$55))^2*$E$56^2)</f>
        <v>3.0720613489273775E-2</v>
      </c>
      <c r="K81" s="39"/>
      <c r="L81" s="40"/>
      <c r="M81" s="40"/>
      <c r="N81" s="40"/>
      <c r="O81" s="40"/>
      <c r="P81" s="40"/>
      <c r="Q81" s="40"/>
      <c r="R81" s="40"/>
      <c r="S81" s="40"/>
      <c r="T81" s="40"/>
      <c r="U81" s="41"/>
      <c r="V81" s="34"/>
      <c r="W81" s="39"/>
      <c r="X81" s="40"/>
      <c r="Y81" s="40"/>
      <c r="Z81" s="40"/>
      <c r="AA81" s="40"/>
      <c r="AB81" s="40"/>
      <c r="AC81" s="40"/>
      <c r="AD81" s="40"/>
      <c r="AE81" s="40"/>
      <c r="AF81" s="41"/>
      <c r="AG81" s="39"/>
      <c r="AH81" s="40"/>
      <c r="AI81" s="40"/>
      <c r="AJ81" s="40"/>
      <c r="AK81" s="40"/>
      <c r="AL81" s="40"/>
      <c r="AM81" s="40"/>
      <c r="AN81" s="40"/>
      <c r="AO81" s="40"/>
      <c r="AP81" s="41"/>
      <c r="AQ81" s="34"/>
    </row>
    <row r="82" spans="3:43" x14ac:dyDescent="0.3">
      <c r="C82" s="11">
        <v>40</v>
      </c>
      <c r="D82" s="11">
        <f t="shared" si="2"/>
        <v>0.69813170079773179</v>
      </c>
      <c r="E82" s="9">
        <f t="shared" si="3"/>
        <v>-0.26946428435618192</v>
      </c>
      <c r="F82" s="7">
        <f>SQRT((SIN(D82-$C$55)*$C$66)^2+($C$65*COS(D82-$C$55))^2*$C$60^2+($C$65*COS(D82-$C$55))^2*$C$56^2)</f>
        <v>3.1614224379154003E-2</v>
      </c>
      <c r="G82" s="7">
        <f t="shared" si="4"/>
        <v>-0.26999389754407993</v>
      </c>
      <c r="H82" s="9">
        <f t="shared" si="5"/>
        <v>3.9711321770843647E-2</v>
      </c>
      <c r="I82" s="7">
        <f t="shared" si="6"/>
        <v>-0.26702454781778995</v>
      </c>
      <c r="J82" s="33">
        <f t="shared" si="9"/>
        <v>3.4653727818470266E-2</v>
      </c>
      <c r="K82" s="39"/>
      <c r="L82" s="40"/>
      <c r="M82" s="40"/>
      <c r="N82" s="40"/>
      <c r="O82" s="40"/>
      <c r="P82" s="40"/>
      <c r="Q82" s="40"/>
      <c r="R82" s="40"/>
      <c r="S82" s="40"/>
      <c r="T82" s="40"/>
      <c r="U82" s="41"/>
      <c r="V82" s="34"/>
      <c r="W82" s="39"/>
      <c r="X82" s="40"/>
      <c r="Y82" s="40"/>
      <c r="Z82" s="40"/>
      <c r="AA82" s="40"/>
      <c r="AB82" s="40"/>
      <c r="AC82" s="40"/>
      <c r="AD82" s="40"/>
      <c r="AE82" s="40"/>
      <c r="AF82" s="41"/>
      <c r="AG82" s="39"/>
      <c r="AH82" s="40"/>
      <c r="AI82" s="40"/>
      <c r="AJ82" s="40"/>
      <c r="AK82" s="40"/>
      <c r="AL82" s="40"/>
      <c r="AM82" s="40"/>
      <c r="AN82" s="40"/>
      <c r="AO82" s="40"/>
      <c r="AP82" s="41"/>
      <c r="AQ82" s="34"/>
    </row>
    <row r="83" spans="3:43" x14ac:dyDescent="0.3">
      <c r="C83" s="11">
        <v>50</v>
      </c>
      <c r="D83" s="11">
        <f t="shared" si="2"/>
        <v>0.87266462599716477</v>
      </c>
      <c r="E83" s="9">
        <f t="shared" si="3"/>
        <v>-0.33850691519303638</v>
      </c>
      <c r="F83" s="7">
        <f t="shared" si="8"/>
        <v>3.6804012072319099E-2</v>
      </c>
      <c r="G83" s="7">
        <f t="shared" si="4"/>
        <v>-0.33896956159262503</v>
      </c>
      <c r="H83" s="9">
        <f t="shared" si="5"/>
        <v>4.2378059706818599E-2</v>
      </c>
      <c r="I83" s="7">
        <f t="shared" si="6"/>
        <v>-0.33637357178643046</v>
      </c>
      <c r="J83" s="33">
        <f t="shared" si="9"/>
        <v>3.8795503807919983E-2</v>
      </c>
      <c r="K83" s="39"/>
      <c r="L83" s="40"/>
      <c r="M83" s="40"/>
      <c r="N83" s="40"/>
      <c r="O83" s="40"/>
      <c r="P83" s="40"/>
      <c r="Q83" s="40"/>
      <c r="R83" s="40"/>
      <c r="S83" s="40"/>
      <c r="T83" s="40"/>
      <c r="U83" s="41"/>
      <c r="V83" s="34"/>
      <c r="W83" s="39"/>
      <c r="X83" s="40"/>
      <c r="Y83" s="40"/>
      <c r="Z83" s="40"/>
      <c r="AA83" s="40"/>
      <c r="AB83" s="40"/>
      <c r="AC83" s="40"/>
      <c r="AD83" s="40"/>
      <c r="AE83" s="40"/>
      <c r="AF83" s="41"/>
      <c r="AG83" s="39"/>
      <c r="AH83" s="40"/>
      <c r="AI83" s="40"/>
      <c r="AJ83" s="40"/>
      <c r="AK83" s="40"/>
      <c r="AL83" s="40"/>
      <c r="AM83" s="40"/>
      <c r="AN83" s="40"/>
      <c r="AO83" s="40"/>
      <c r="AP83" s="41"/>
      <c r="AQ83" s="34"/>
    </row>
    <row r="84" spans="3:43" x14ac:dyDescent="0.3">
      <c r="C84" s="11">
        <v>60</v>
      </c>
      <c r="D84" s="11">
        <f t="shared" si="2"/>
        <v>1.0471975511965976</v>
      </c>
      <c r="E84" s="9">
        <f t="shared" si="3"/>
        <v>-0.39726418470451458</v>
      </c>
      <c r="F84" s="7">
        <f t="shared" si="8"/>
        <v>4.14757245328993E-2</v>
      </c>
      <c r="G84" s="7">
        <f t="shared" si="4"/>
        <v>-0.39764580703905289</v>
      </c>
      <c r="H84" s="9">
        <f t="shared" si="5"/>
        <v>4.4957307919115154E-2</v>
      </c>
      <c r="I84" s="7">
        <f t="shared" si="6"/>
        <v>-0.39550205498958052</v>
      </c>
      <c r="J84" s="33">
        <f t="shared" si="9"/>
        <v>4.2657878963158917E-2</v>
      </c>
      <c r="K84" s="39"/>
      <c r="L84" s="40"/>
      <c r="M84" s="40"/>
      <c r="N84" s="40"/>
      <c r="O84" s="40"/>
      <c r="P84" s="40"/>
      <c r="Q84" s="40"/>
      <c r="R84" s="40"/>
      <c r="S84" s="40"/>
      <c r="T84" s="40"/>
      <c r="U84" s="41"/>
      <c r="V84" s="34"/>
      <c r="W84" s="39"/>
      <c r="X84" s="40"/>
      <c r="Y84" s="40"/>
      <c r="Z84" s="40"/>
      <c r="AA84" s="40"/>
      <c r="AB84" s="40"/>
      <c r="AC84" s="40"/>
      <c r="AD84" s="40"/>
      <c r="AE84" s="40"/>
      <c r="AF84" s="41"/>
      <c r="AG84" s="39"/>
      <c r="AH84" s="40"/>
      <c r="AI84" s="40"/>
      <c r="AJ84" s="40"/>
      <c r="AK84" s="40"/>
      <c r="AL84" s="40"/>
      <c r="AM84" s="40"/>
      <c r="AN84" s="40"/>
      <c r="AO84" s="40"/>
      <c r="AP84" s="41"/>
      <c r="AQ84" s="34"/>
    </row>
    <row r="85" spans="3:43" x14ac:dyDescent="0.3">
      <c r="C85" s="11">
        <v>70</v>
      </c>
      <c r="D85" s="11">
        <f t="shared" si="2"/>
        <v>1.2217304763960306</v>
      </c>
      <c r="E85" s="9">
        <f t="shared" si="3"/>
        <v>-0.44395078298912333</v>
      </c>
      <c r="F85" s="7">
        <f t="shared" si="8"/>
        <v>4.5303990750253022E-2</v>
      </c>
      <c r="G85" s="7">
        <f t="shared" si="4"/>
        <v>-0.44423978585708629</v>
      </c>
      <c r="H85" s="9">
        <f t="shared" si="5"/>
        <v>4.7176246333462304E-2</v>
      </c>
      <c r="I85" s="7">
        <f t="shared" si="6"/>
        <v>-0.44261340838556873</v>
      </c>
      <c r="J85" s="33">
        <f t="shared" si="9"/>
        <v>4.5899298357322468E-2</v>
      </c>
      <c r="K85" s="39"/>
      <c r="L85" s="40"/>
      <c r="M85" s="40"/>
      <c r="N85" s="40"/>
      <c r="O85" s="40"/>
      <c r="P85" s="40"/>
      <c r="Q85" s="40"/>
      <c r="R85" s="40"/>
      <c r="S85" s="40"/>
      <c r="T85" s="40"/>
      <c r="U85" s="41"/>
      <c r="V85" s="34"/>
      <c r="W85" s="39"/>
      <c r="X85" s="40"/>
      <c r="Y85" s="40"/>
      <c r="Z85" s="40"/>
      <c r="AA85" s="40"/>
      <c r="AB85" s="40"/>
      <c r="AC85" s="40"/>
      <c r="AD85" s="40"/>
      <c r="AE85" s="40"/>
      <c r="AF85" s="41"/>
      <c r="AG85" s="39"/>
      <c r="AH85" s="40"/>
      <c r="AI85" s="40"/>
      <c r="AJ85" s="40"/>
      <c r="AK85" s="40"/>
      <c r="AL85" s="40"/>
      <c r="AM85" s="40"/>
      <c r="AN85" s="40"/>
      <c r="AO85" s="40"/>
      <c r="AP85" s="41"/>
      <c r="AQ85" s="34"/>
    </row>
    <row r="86" spans="3:43" x14ac:dyDescent="0.3">
      <c r="C86" s="11">
        <v>80</v>
      </c>
      <c r="D86" s="11">
        <f t="shared" si="2"/>
        <v>1.3962634015954636</v>
      </c>
      <c r="E86" s="9">
        <f t="shared" si="3"/>
        <v>-0.47714816138254323</v>
      </c>
      <c r="F86" s="7">
        <f t="shared" si="8"/>
        <v>4.8074033811923662E-2</v>
      </c>
      <c r="G86" s="7">
        <f t="shared" si="4"/>
        <v>-0.47733576357803048</v>
      </c>
      <c r="H86" s="9">
        <f t="shared" si="5"/>
        <v>4.883193289766212E-2</v>
      </c>
      <c r="I86" s="7">
        <f t="shared" si="6"/>
        <v>-0.47627617734095296</v>
      </c>
      <c r="J86" s="33">
        <f t="shared" si="9"/>
        <v>4.8286865612173741E-2</v>
      </c>
      <c r="K86" s="39"/>
      <c r="L86" s="40"/>
      <c r="M86" s="40"/>
      <c r="N86" s="40"/>
      <c r="O86" s="40"/>
      <c r="P86" s="40"/>
      <c r="Q86" s="40"/>
      <c r="R86" s="40"/>
      <c r="S86" s="40"/>
      <c r="T86" s="40"/>
      <c r="U86" s="41"/>
      <c r="V86" s="34"/>
      <c r="W86" s="39"/>
      <c r="X86" s="40"/>
      <c r="Y86" s="40"/>
      <c r="Z86" s="40"/>
      <c r="AA86" s="40"/>
      <c r="AB86" s="40"/>
      <c r="AC86" s="40"/>
      <c r="AD86" s="40"/>
      <c r="AE86" s="40"/>
      <c r="AF86" s="41"/>
      <c r="AG86" s="39"/>
      <c r="AH86" s="40"/>
      <c r="AI86" s="40"/>
      <c r="AJ86" s="40"/>
      <c r="AK86" s="40"/>
      <c r="AL86" s="40"/>
      <c r="AM86" s="40"/>
      <c r="AN86" s="40"/>
      <c r="AO86" s="40"/>
      <c r="AP86" s="41"/>
      <c r="AQ86" s="34"/>
    </row>
    <row r="87" spans="3:43" x14ac:dyDescent="0.3">
      <c r="C87" s="11">
        <v>90</v>
      </c>
      <c r="D87" s="11">
        <f t="shared" si="2"/>
        <v>1.5707963267948966</v>
      </c>
      <c r="E87" s="9">
        <f t="shared" si="3"/>
        <v>-0.49584763434097434</v>
      </c>
      <c r="F87" s="7">
        <f t="shared" si="8"/>
        <v>4.9648976028457151E-2</v>
      </c>
      <c r="G87" s="7">
        <f t="shared" si="4"/>
        <v>-0.49592813566620725</v>
      </c>
      <c r="H87" s="9">
        <f t="shared" si="5"/>
        <v>4.9788201781155512E-2</v>
      </c>
      <c r="I87" s="7">
        <f t="shared" si="6"/>
        <v>-0.49546753565520685</v>
      </c>
      <c r="J87" s="33">
        <f t="shared" si="9"/>
        <v>4.9670903958837061E-2</v>
      </c>
      <c r="K87" s="39"/>
      <c r="L87" s="40"/>
      <c r="M87" s="40"/>
      <c r="N87" s="40"/>
      <c r="O87" s="40"/>
      <c r="P87" s="40"/>
      <c r="Q87" s="40"/>
      <c r="R87" s="40"/>
      <c r="S87" s="40"/>
      <c r="T87" s="40"/>
      <c r="U87" s="41"/>
      <c r="V87" s="34"/>
      <c r="W87" s="39"/>
      <c r="X87" s="40"/>
      <c r="Y87" s="40"/>
      <c r="Z87" s="40"/>
      <c r="AA87" s="40"/>
      <c r="AB87" s="40"/>
      <c r="AC87" s="40"/>
      <c r="AD87" s="40"/>
      <c r="AE87" s="40"/>
      <c r="AF87" s="41"/>
      <c r="AG87" s="39"/>
      <c r="AH87" s="40"/>
      <c r="AI87" s="40"/>
      <c r="AJ87" s="40"/>
      <c r="AK87" s="40"/>
      <c r="AL87" s="40"/>
      <c r="AM87" s="40"/>
      <c r="AN87" s="40"/>
      <c r="AO87" s="40"/>
      <c r="AP87" s="41"/>
      <c r="AQ87" s="34"/>
    </row>
    <row r="88" spans="3:43" x14ac:dyDescent="0.3">
      <c r="C88" s="11">
        <v>100</v>
      </c>
      <c r="D88" s="11">
        <f t="shared" si="2"/>
        <v>1.7453292519943295</v>
      </c>
      <c r="E88" s="9">
        <f t="shared" si="3"/>
        <v>-0.4994810278409646</v>
      </c>
      <c r="F88" s="7">
        <f t="shared" si="8"/>
        <v>4.9956103446198712E-2</v>
      </c>
      <c r="G88" s="7">
        <f t="shared" si="4"/>
        <v>-0.49945198230391158</v>
      </c>
      <c r="H88" s="9">
        <f t="shared" si="5"/>
        <v>4.99714464086813E-2</v>
      </c>
      <c r="I88" s="7">
        <f t="shared" si="6"/>
        <v>-0.49960436361724775</v>
      </c>
      <c r="J88" s="33">
        <f t="shared" si="9"/>
        <v>4.9971240664883787E-2</v>
      </c>
      <c r="K88" s="39"/>
      <c r="L88" s="40"/>
      <c r="M88" s="40"/>
      <c r="N88" s="40"/>
      <c r="O88" s="40"/>
      <c r="P88" s="40"/>
      <c r="Q88" s="40"/>
      <c r="R88" s="40"/>
      <c r="S88" s="40"/>
      <c r="T88" s="40"/>
      <c r="U88" s="41"/>
      <c r="V88" s="34"/>
      <c r="W88" s="39"/>
      <c r="X88" s="40"/>
      <c r="Y88" s="40"/>
      <c r="Z88" s="40"/>
      <c r="AA88" s="40"/>
      <c r="AB88" s="40"/>
      <c r="AC88" s="40"/>
      <c r="AD88" s="40"/>
      <c r="AE88" s="40"/>
      <c r="AF88" s="41"/>
      <c r="AG88" s="39"/>
      <c r="AH88" s="40"/>
      <c r="AI88" s="40"/>
      <c r="AJ88" s="40"/>
      <c r="AK88" s="40"/>
      <c r="AL88" s="40"/>
      <c r="AM88" s="40"/>
      <c r="AN88" s="40"/>
      <c r="AO88" s="40"/>
      <c r="AP88" s="41"/>
      <c r="AQ88" s="34"/>
    </row>
    <row r="89" spans="3:43" x14ac:dyDescent="0.3">
      <c r="C89" s="11">
        <v>110</v>
      </c>
      <c r="D89" s="11">
        <f t="shared" si="2"/>
        <v>1.9198621771937625</v>
      </c>
      <c r="E89" s="9">
        <f t="shared" si="3"/>
        <v>-0.48793794305960259</v>
      </c>
      <c r="F89" s="7">
        <f t="shared" si="8"/>
        <v>4.8981601638312722E-2</v>
      </c>
      <c r="G89" s="7">
        <f t="shared" si="4"/>
        <v>-0.48780023319420929</v>
      </c>
      <c r="H89" s="9">
        <f t="shared" si="5"/>
        <v>4.9367945479377257E-2</v>
      </c>
      <c r="I89" s="7">
        <f t="shared" si="6"/>
        <v>-0.48856096580278491</v>
      </c>
      <c r="J89" s="33">
        <f t="shared" si="9"/>
        <v>4.9171032433208507E-2</v>
      </c>
      <c r="K89" s="39"/>
      <c r="L89" s="40"/>
      <c r="M89" s="40"/>
      <c r="N89" s="40"/>
      <c r="O89" s="40"/>
      <c r="P89" s="40"/>
      <c r="Q89" s="40"/>
      <c r="R89" s="40"/>
      <c r="S89" s="40"/>
      <c r="T89" s="40"/>
      <c r="U89" s="41"/>
      <c r="V89" s="34"/>
      <c r="W89" s="39"/>
      <c r="X89" s="40"/>
      <c r="Y89" s="40"/>
      <c r="Z89" s="40"/>
      <c r="AA89" s="40"/>
      <c r="AB89" s="40"/>
      <c r="AC89" s="40"/>
      <c r="AD89" s="40"/>
      <c r="AE89" s="40"/>
      <c r="AF89" s="41"/>
      <c r="AG89" s="39"/>
      <c r="AH89" s="40"/>
      <c r="AI89" s="40"/>
      <c r="AJ89" s="40"/>
      <c r="AK89" s="40"/>
      <c r="AL89" s="40"/>
      <c r="AM89" s="40"/>
      <c r="AN89" s="40"/>
      <c r="AO89" s="40"/>
      <c r="AP89" s="41"/>
      <c r="AQ89" s="34"/>
    </row>
    <row r="90" spans="3:43" x14ac:dyDescent="0.3">
      <c r="C90" s="11">
        <v>120</v>
      </c>
      <c r="D90" s="11">
        <f t="shared" si="2"/>
        <v>2.0943951023931953</v>
      </c>
      <c r="E90" s="9">
        <f t="shared" si="3"/>
        <v>-0.46156911078688734</v>
      </c>
      <c r="F90" s="7">
        <f t="shared" si="8"/>
        <v>4.6769701430190443E-2</v>
      </c>
      <c r="G90" s="7">
        <f t="shared" si="4"/>
        <v>-0.46132692083772914</v>
      </c>
      <c r="H90" s="9">
        <f t="shared" si="5"/>
        <v>4.8023346573459386E-2</v>
      </c>
      <c r="I90" s="7">
        <f t="shared" si="6"/>
        <v>-0.46267289026618197</v>
      </c>
      <c r="J90" s="33">
        <f t="shared" si="9"/>
        <v>4.7315581134150179E-2</v>
      </c>
      <c r="K90" s="39"/>
      <c r="L90" s="40"/>
      <c r="M90" s="40"/>
      <c r="N90" s="40"/>
      <c r="O90" s="40"/>
      <c r="P90" s="40"/>
      <c r="Q90" s="40"/>
      <c r="R90" s="40"/>
      <c r="S90" s="40"/>
      <c r="T90" s="40"/>
      <c r="U90" s="41"/>
      <c r="V90" s="34"/>
      <c r="W90" s="39"/>
      <c r="X90" s="40"/>
      <c r="Y90" s="40"/>
      <c r="Z90" s="40"/>
      <c r="AA90" s="40"/>
      <c r="AB90" s="40"/>
      <c r="AC90" s="40"/>
      <c r="AD90" s="40"/>
      <c r="AE90" s="40"/>
      <c r="AF90" s="41"/>
      <c r="AG90" s="39"/>
      <c r="AH90" s="40"/>
      <c r="AI90" s="40"/>
      <c r="AJ90" s="40"/>
      <c r="AK90" s="40"/>
      <c r="AL90" s="40"/>
      <c r="AM90" s="40"/>
      <c r="AN90" s="40"/>
      <c r="AO90" s="40"/>
      <c r="AP90" s="41"/>
      <c r="AQ90" s="34"/>
    </row>
    <row r="91" spans="3:43" x14ac:dyDescent="0.3">
      <c r="C91" s="11">
        <v>130</v>
      </c>
      <c r="D91" s="11">
        <f t="shared" si="2"/>
        <v>2.2689280275926285</v>
      </c>
      <c r="E91" s="9">
        <f t="shared" si="3"/>
        <v>-0.42117573464815222</v>
      </c>
      <c r="F91" s="7">
        <f t="shared" si="8"/>
        <v>4.3425575072209295E-2</v>
      </c>
      <c r="G91" s="7">
        <f t="shared" si="4"/>
        <v>-0.42083642343428029</v>
      </c>
      <c r="H91" s="9">
        <f t="shared" si="5"/>
        <v>4.6044365050545127E-2</v>
      </c>
      <c r="I91" s="7">
        <f t="shared" si="6"/>
        <v>-0.42272673308262021</v>
      </c>
      <c r="J91" s="33">
        <f t="shared" si="9"/>
        <v>4.4515609166932438E-2</v>
      </c>
      <c r="K91" s="39"/>
      <c r="L91" s="40"/>
      <c r="M91" s="40"/>
      <c r="N91" s="40"/>
      <c r="O91" s="40"/>
      <c r="P91" s="40"/>
      <c r="Q91" s="40"/>
      <c r="R91" s="40"/>
      <c r="S91" s="40"/>
      <c r="T91" s="40"/>
      <c r="U91" s="41"/>
      <c r="V91" s="34"/>
      <c r="W91" s="39"/>
      <c r="X91" s="40"/>
      <c r="Y91" s="40"/>
      <c r="Z91" s="40"/>
      <c r="AA91" s="40"/>
      <c r="AB91" s="40"/>
      <c r="AC91" s="40"/>
      <c r="AD91" s="40"/>
      <c r="AE91" s="40"/>
      <c r="AF91" s="41"/>
      <c r="AG91" s="39"/>
      <c r="AH91" s="40"/>
      <c r="AI91" s="40"/>
      <c r="AJ91" s="40"/>
      <c r="AK91" s="40"/>
      <c r="AL91" s="40"/>
      <c r="AM91" s="40"/>
      <c r="AN91" s="40"/>
      <c r="AO91" s="40"/>
      <c r="AP91" s="41"/>
      <c r="AQ91" s="34"/>
    </row>
    <row r="92" spans="3:43" x14ac:dyDescent="0.3">
      <c r="C92" s="11">
        <v>140</v>
      </c>
      <c r="D92" s="11">
        <f t="shared" si="2"/>
        <v>2.4434609527920612</v>
      </c>
      <c r="E92" s="9">
        <f t="shared" si="3"/>
        <v>-0.36798514693733836</v>
      </c>
      <c r="F92" s="7">
        <f t="shared" si="8"/>
        <v>3.9124218188075925E-2</v>
      </c>
      <c r="G92" s="7">
        <f t="shared" si="4"/>
        <v>-0.3675590242582864</v>
      </c>
      <c r="H92" s="9">
        <f t="shared" si="5"/>
        <v>4.3602438982018654E-2</v>
      </c>
      <c r="I92" s="7">
        <f t="shared" si="6"/>
        <v>-0.36993623802439135</v>
      </c>
      <c r="J92" s="33">
        <f t="shared" si="9"/>
        <v>4.0956430453707331E-2</v>
      </c>
      <c r="K92" s="39"/>
      <c r="L92" s="40"/>
      <c r="M92" s="40"/>
      <c r="N92" s="40"/>
      <c r="O92" s="40"/>
      <c r="P92" s="40"/>
      <c r="Q92" s="40"/>
      <c r="R92" s="40"/>
      <c r="S92" s="40"/>
      <c r="T92" s="40"/>
      <c r="U92" s="41"/>
      <c r="V92" s="34"/>
      <c r="W92" s="39"/>
      <c r="X92" s="40"/>
      <c r="Y92" s="40"/>
      <c r="Z92" s="40"/>
      <c r="AA92" s="40"/>
      <c r="AB92" s="40"/>
      <c r="AC92" s="40"/>
      <c r="AD92" s="40"/>
      <c r="AE92" s="40"/>
      <c r="AF92" s="41"/>
      <c r="AG92" s="39"/>
      <c r="AH92" s="40"/>
      <c r="AI92" s="40"/>
      <c r="AJ92" s="40"/>
      <c r="AK92" s="40"/>
      <c r="AL92" s="40"/>
      <c r="AM92" s="40"/>
      <c r="AN92" s="40"/>
      <c r="AO92" s="40"/>
      <c r="AP92" s="41"/>
      <c r="AQ92" s="34"/>
    </row>
    <row r="93" spans="3:43" x14ac:dyDescent="0.3">
      <c r="C93" s="11">
        <v>150</v>
      </c>
      <c r="D93" s="11">
        <f t="shared" si="2"/>
        <v>2.6179938779914944</v>
      </c>
      <c r="E93" s="9">
        <f t="shared" si="3"/>
        <v>-0.30361351674630238</v>
      </c>
      <c r="F93" s="7">
        <f t="shared" si="8"/>
        <v>3.4132155336553761E-2</v>
      </c>
      <c r="G93" s="7">
        <f t="shared" si="4"/>
        <v>-0.30311353012404496</v>
      </c>
      <c r="H93" s="9">
        <f t="shared" si="5"/>
        <v>4.0937917562587474E-2</v>
      </c>
      <c r="I93" s="7">
        <f t="shared" si="6"/>
        <v>-0.30590541757056011</v>
      </c>
      <c r="J93" s="33">
        <f t="shared" si="9"/>
        <v>3.6916468866674969E-2</v>
      </c>
      <c r="K93" s="39"/>
      <c r="L93" s="40"/>
      <c r="M93" s="40"/>
      <c r="N93" s="40"/>
      <c r="O93" s="40"/>
      <c r="P93" s="40"/>
      <c r="Q93" s="40"/>
      <c r="R93" s="40"/>
      <c r="S93" s="40"/>
      <c r="T93" s="40"/>
      <c r="U93" s="41"/>
      <c r="V93" s="34"/>
      <c r="W93" s="39"/>
      <c r="X93" s="40"/>
      <c r="Y93" s="40"/>
      <c r="Z93" s="40"/>
      <c r="AA93" s="40"/>
      <c r="AB93" s="40"/>
      <c r="AC93" s="40"/>
      <c r="AD93" s="40"/>
      <c r="AE93" s="40"/>
      <c r="AF93" s="41"/>
      <c r="AG93" s="39"/>
      <c r="AH93" s="40"/>
      <c r="AI93" s="40"/>
      <c r="AJ93" s="40"/>
      <c r="AK93" s="40"/>
      <c r="AL93" s="40"/>
      <c r="AM93" s="40"/>
      <c r="AN93" s="40"/>
      <c r="AO93" s="40"/>
      <c r="AP93" s="41"/>
      <c r="AQ93" s="34"/>
    </row>
    <row r="94" spans="3:43" x14ac:dyDescent="0.3">
      <c r="C94" s="11">
        <v>160</v>
      </c>
      <c r="D94" s="11">
        <f t="shared" si="2"/>
        <v>2.7925268031909272</v>
      </c>
      <c r="E94" s="9">
        <f t="shared" si="3"/>
        <v>-0.23001674348478274</v>
      </c>
      <c r="F94" s="7">
        <f t="shared" si="8"/>
        <v>2.8858069504881467E-2</v>
      </c>
      <c r="G94" s="7">
        <f t="shared" si="4"/>
        <v>-0.2294580847598317</v>
      </c>
      <c r="H94" s="9">
        <f t="shared" si="5"/>
        <v>3.8359802027380513E-2</v>
      </c>
      <c r="I94" s="7">
        <f t="shared" si="6"/>
        <v>-0.23257981579945788</v>
      </c>
      <c r="J94" s="33">
        <f t="shared" si="9"/>
        <v>3.2799004886203381E-2</v>
      </c>
      <c r="K94" s="39"/>
      <c r="L94" s="40"/>
      <c r="M94" s="40"/>
      <c r="N94" s="40"/>
      <c r="O94" s="40"/>
      <c r="P94" s="40"/>
      <c r="Q94" s="40"/>
      <c r="R94" s="40"/>
      <c r="S94" s="40"/>
      <c r="T94" s="40"/>
      <c r="U94" s="41"/>
      <c r="V94" s="40"/>
      <c r="W94" s="39"/>
      <c r="X94" s="40"/>
      <c r="Y94" s="40"/>
      <c r="Z94" s="40"/>
      <c r="AA94" s="40"/>
      <c r="AB94" s="40"/>
      <c r="AC94" s="40"/>
      <c r="AD94" s="40"/>
      <c r="AE94" s="40"/>
      <c r="AF94" s="41"/>
      <c r="AG94" s="39"/>
      <c r="AH94" s="40"/>
      <c r="AI94" s="40"/>
      <c r="AJ94" s="40"/>
      <c r="AK94" s="40"/>
      <c r="AL94" s="40"/>
      <c r="AM94" s="40"/>
      <c r="AN94" s="40"/>
      <c r="AO94" s="40"/>
      <c r="AP94" s="41"/>
      <c r="AQ94" s="34"/>
    </row>
    <row r="95" spans="3:43" x14ac:dyDescent="0.3">
      <c r="C95" s="11">
        <v>170</v>
      </c>
      <c r="D95" s="11">
        <f t="shared" si="2"/>
        <v>2.9670597283903604</v>
      </c>
      <c r="E95" s="9">
        <f t="shared" si="3"/>
        <v>-0.14943102786656609</v>
      </c>
      <c r="F95" s="7">
        <f t="shared" si="8"/>
        <v>2.3960947946556718E-2</v>
      </c>
      <c r="G95" s="7">
        <f t="shared" si="4"/>
        <v>-0.14883067160158414</v>
      </c>
      <c r="H95" s="9">
        <f t="shared" si="5"/>
        <v>3.6228648321094813E-2</v>
      </c>
      <c r="I95" s="7">
        <f t="shared" si="6"/>
        <v>-0.15218739401635439</v>
      </c>
      <c r="J95" s="33">
        <f t="shared" si="9"/>
        <v>2.9170171761091351E-2</v>
      </c>
      <c r="K95" s="39"/>
      <c r="L95" s="40"/>
      <c r="M95" s="40"/>
      <c r="N95" s="40"/>
      <c r="O95" s="40"/>
      <c r="P95" s="42" t="s">
        <v>29</v>
      </c>
      <c r="Q95" s="42" t="s">
        <v>30</v>
      </c>
      <c r="R95" s="40"/>
      <c r="S95" s="71" t="s">
        <v>37</v>
      </c>
      <c r="T95" s="72"/>
      <c r="U95" s="73"/>
      <c r="V95" s="43"/>
      <c r="W95" s="44"/>
      <c r="X95" s="45"/>
      <c r="Y95" s="46" t="s">
        <v>29</v>
      </c>
      <c r="Z95" s="46" t="s">
        <v>30</v>
      </c>
      <c r="AA95" s="45"/>
      <c r="AB95" s="45"/>
      <c r="AC95" s="71" t="s">
        <v>37</v>
      </c>
      <c r="AD95" s="72"/>
      <c r="AE95" s="73"/>
      <c r="AF95" s="47"/>
      <c r="AG95" s="44"/>
      <c r="AH95" s="46" t="s">
        <v>29</v>
      </c>
      <c r="AI95" s="46" t="s">
        <v>30</v>
      </c>
      <c r="AJ95" s="45"/>
      <c r="AK95" s="45"/>
      <c r="AL95" s="71" t="s">
        <v>37</v>
      </c>
      <c r="AM95" s="72"/>
      <c r="AN95" s="73"/>
      <c r="AO95" s="40"/>
      <c r="AP95" s="41"/>
      <c r="AQ95" s="34"/>
    </row>
    <row r="96" spans="3:43" x14ac:dyDescent="0.3">
      <c r="C96" s="11">
        <v>180</v>
      </c>
      <c r="D96" s="11">
        <f t="shared" si="2"/>
        <v>3.1415926535897931</v>
      </c>
      <c r="E96" s="9">
        <f t="shared" si="3"/>
        <v>-6.430492608237269E-2</v>
      </c>
      <c r="F96" s="7">
        <f t="shared" si="8"/>
        <v>2.0499242248758084E-2</v>
      </c>
      <c r="G96" s="7">
        <f t="shared" si="4"/>
        <v>-6.3681113798676317E-2</v>
      </c>
      <c r="H96" s="9">
        <f t="shared" si="5"/>
        <v>3.4902830731822973E-2</v>
      </c>
      <c r="I96" s="7">
        <f t="shared" si="6"/>
        <v>-6.7170835276601407E-2</v>
      </c>
      <c r="J96" s="33">
        <f t="shared" si="9"/>
        <v>2.6745497025325273E-2</v>
      </c>
      <c r="K96" s="39"/>
      <c r="L96" s="40"/>
      <c r="M96" s="40"/>
      <c r="N96" s="40"/>
      <c r="O96" s="40"/>
      <c r="P96" s="48" cm="1">
        <f t="array" ref="P96:Q100">LINEST(E6:E42,E78:E114,TRUE,TRUE)</f>
        <v>0.636393640856459</v>
      </c>
      <c r="Q96" s="48">
        <v>-1.6216844487420716E-2</v>
      </c>
      <c r="R96" s="40"/>
      <c r="S96" s="44">
        <v>0.99780000000000002</v>
      </c>
      <c r="T96" s="64">
        <v>1</v>
      </c>
      <c r="U96" s="47"/>
      <c r="V96" s="43"/>
      <c r="W96" s="44"/>
      <c r="X96" s="45"/>
      <c r="Y96" s="46" cm="1">
        <f t="array" ref="Y96:Z100">LINEST(F6:F42,G78:G114,TRUE,TRUE)</f>
        <v>0.41560568533699349</v>
      </c>
      <c r="Z96" s="46">
        <v>-1.175584413360331E-2</v>
      </c>
      <c r="AA96" s="45"/>
      <c r="AB96" s="45"/>
      <c r="AC96" s="44">
        <v>0.99829999999999997</v>
      </c>
      <c r="AD96" s="64">
        <v>1</v>
      </c>
      <c r="AE96" s="47"/>
      <c r="AF96" s="47"/>
      <c r="AG96" s="44"/>
      <c r="AH96" s="46" cm="1">
        <f t="array" ref="AH96:AI100">LINEST(G6:G42,I78:I114,TRUE,TRUE)</f>
        <v>0.21446603779691684</v>
      </c>
      <c r="AI96" s="46">
        <v>-6.2812395377643687E-3</v>
      </c>
      <c r="AJ96" s="45"/>
      <c r="AK96" s="45"/>
      <c r="AL96" s="44">
        <v>0.99119999999999997</v>
      </c>
      <c r="AM96" s="64">
        <v>1</v>
      </c>
      <c r="AN96" s="47"/>
      <c r="AO96" s="40"/>
      <c r="AP96" s="41"/>
      <c r="AQ96" s="34"/>
    </row>
    <row r="97" spans="3:43" x14ac:dyDescent="0.3">
      <c r="C97" s="11">
        <v>190</v>
      </c>
      <c r="D97" s="11">
        <f t="shared" si="2"/>
        <v>3.3161255787892263</v>
      </c>
      <c r="E97" s="9">
        <f t="shared" si="3"/>
        <v>2.2775048340971167E-2</v>
      </c>
      <c r="F97" s="7">
        <f t="shared" si="8"/>
        <v>1.9738983811743566E-2</v>
      </c>
      <c r="G97" s="7">
        <f t="shared" si="4"/>
        <v>2.3403362422806072E-2</v>
      </c>
      <c r="H97" s="9">
        <f t="shared" si="5"/>
        <v>3.4639964975727612E-2</v>
      </c>
      <c r="I97" s="7">
        <f t="shared" si="6"/>
        <v>1.9886675302948638E-2</v>
      </c>
      <c r="J97" s="33">
        <f t="shared" si="9"/>
        <v>2.6180057632327003E-2</v>
      </c>
      <c r="K97" s="39"/>
      <c r="L97" s="40"/>
      <c r="M97" s="40"/>
      <c r="N97" s="40"/>
      <c r="O97" s="40"/>
      <c r="P97" s="48">
        <v>6.0267729480691203E-3</v>
      </c>
      <c r="Q97" s="48">
        <v>2.1027598382238714E-3</v>
      </c>
      <c r="R97" s="40"/>
      <c r="S97" s="74" t="s">
        <v>35</v>
      </c>
      <c r="T97" s="75"/>
      <c r="U97" s="76"/>
      <c r="V97" s="43"/>
      <c r="W97" s="44"/>
      <c r="X97" s="45"/>
      <c r="Y97" s="46">
        <v>4.1850487952888584E-3</v>
      </c>
      <c r="Z97" s="46">
        <v>1.4601636080340441E-3</v>
      </c>
      <c r="AA97" s="45"/>
      <c r="AB97" s="45"/>
      <c r="AC97" s="74" t="s">
        <v>35</v>
      </c>
      <c r="AD97" s="75"/>
      <c r="AE97" s="76"/>
      <c r="AF97" s="47"/>
      <c r="AG97" s="44"/>
      <c r="AH97" s="46">
        <v>2.2688651322000483E-3</v>
      </c>
      <c r="AI97" s="46">
        <v>7.9164721674470555E-4</v>
      </c>
      <c r="AJ97" s="45"/>
      <c r="AK97" s="45"/>
      <c r="AL97" s="74" t="s">
        <v>35</v>
      </c>
      <c r="AM97" s="75"/>
      <c r="AN97" s="76"/>
      <c r="AO97" s="40"/>
      <c r="AP97" s="41"/>
      <c r="AQ97" s="34"/>
    </row>
    <row r="98" spans="3:43" x14ac:dyDescent="0.3">
      <c r="C98" s="11">
        <v>200</v>
      </c>
      <c r="D98" s="11">
        <f t="shared" si="2"/>
        <v>3.4906585039886591</v>
      </c>
      <c r="E98" s="9">
        <f t="shared" si="3"/>
        <v>0.10916301444520493</v>
      </c>
      <c r="F98" s="7">
        <f t="shared" si="8"/>
        <v>2.204637054921333E-2</v>
      </c>
      <c r="G98" s="7">
        <f t="shared" si="4"/>
        <v>0.10977673931974408</v>
      </c>
      <c r="H98" s="9">
        <f t="shared" si="5"/>
        <v>3.5494768471432202E-2</v>
      </c>
      <c r="I98" s="7">
        <f t="shared" si="6"/>
        <v>0.10633993931656163</v>
      </c>
      <c r="J98" s="33">
        <f t="shared" si="9"/>
        <v>2.7653749848294638E-2</v>
      </c>
      <c r="K98" s="39"/>
      <c r="L98" s="40"/>
      <c r="M98" s="40"/>
      <c r="N98" s="40"/>
      <c r="O98" s="40"/>
      <c r="P98" s="48">
        <v>0.99687086036612138</v>
      </c>
      <c r="Q98" s="48">
        <v>1.2790430068174046E-2</v>
      </c>
      <c r="R98" s="40"/>
      <c r="S98" s="44">
        <f>(0.6367*1000)/15</f>
        <v>42.446666666666673</v>
      </c>
      <c r="T98" s="45" t="s">
        <v>85</v>
      </c>
      <c r="U98" s="45" t="s">
        <v>34</v>
      </c>
      <c r="V98" s="43"/>
      <c r="W98" s="44"/>
      <c r="X98" s="45"/>
      <c r="Y98" s="46">
        <v>0.99646354974525886</v>
      </c>
      <c r="Z98" s="46">
        <v>8.8817204166024444E-3</v>
      </c>
      <c r="AA98" s="45"/>
      <c r="AB98" s="45"/>
      <c r="AC98" s="49">
        <f>(0.416*1000)/10</f>
        <v>41.6</v>
      </c>
      <c r="AD98" s="45" t="s">
        <v>94</v>
      </c>
      <c r="AE98" s="45" t="s">
        <v>34</v>
      </c>
      <c r="AF98" s="47"/>
      <c r="AG98" s="44"/>
      <c r="AH98" s="46">
        <v>0.99609815077565655</v>
      </c>
      <c r="AI98" s="46">
        <v>4.8153368467535457E-3</v>
      </c>
      <c r="AJ98" s="45"/>
      <c r="AK98" s="45"/>
      <c r="AL98" s="44">
        <f>(0.2139*1000)/5</f>
        <v>42.78</v>
      </c>
      <c r="AM98" s="45" t="s">
        <v>100</v>
      </c>
      <c r="AN98" s="45" t="s">
        <v>34</v>
      </c>
      <c r="AO98" s="40"/>
      <c r="AP98" s="41"/>
      <c r="AQ98" s="34"/>
    </row>
    <row r="99" spans="3:43" x14ac:dyDescent="0.3">
      <c r="C99" s="11">
        <v>210</v>
      </c>
      <c r="D99" s="11">
        <f t="shared" si="2"/>
        <v>3.6651914291880923</v>
      </c>
      <c r="E99" s="9">
        <f t="shared" si="3"/>
        <v>0.19223411759467202</v>
      </c>
      <c r="F99" s="7">
        <f t="shared" si="8"/>
        <v>2.6416562637451974E-2</v>
      </c>
      <c r="G99" s="7">
        <f t="shared" si="4"/>
        <v>0.19281460554216229</v>
      </c>
      <c r="H99" s="9">
        <f t="shared" si="5"/>
        <v>3.7293844178104635E-2</v>
      </c>
      <c r="I99" s="7">
        <f t="shared" si="6"/>
        <v>0.18956211808464682</v>
      </c>
      <c r="J99" s="33">
        <f t="shared" si="9"/>
        <v>3.0720613489273785E-2</v>
      </c>
      <c r="K99" s="39"/>
      <c r="L99" s="40"/>
      <c r="M99" s="40"/>
      <c r="N99" s="40"/>
      <c r="O99" s="40"/>
      <c r="P99" s="48">
        <v>11150.183179766611</v>
      </c>
      <c r="Q99" s="48">
        <v>35</v>
      </c>
      <c r="R99" s="40"/>
      <c r="S99" s="74" t="s">
        <v>36</v>
      </c>
      <c r="T99" s="75"/>
      <c r="U99" s="76"/>
      <c r="V99" s="43"/>
      <c r="W99" s="44"/>
      <c r="X99" s="45"/>
      <c r="Y99" s="46">
        <v>9861.9298247807474</v>
      </c>
      <c r="Z99" s="46">
        <v>35</v>
      </c>
      <c r="AA99" s="45"/>
      <c r="AB99" s="45"/>
      <c r="AC99" s="74" t="s">
        <v>36</v>
      </c>
      <c r="AD99" s="75"/>
      <c r="AE99" s="76"/>
      <c r="AF99" s="47"/>
      <c r="AG99" s="44"/>
      <c r="AH99" s="46">
        <v>8935.105708246243</v>
      </c>
      <c r="AI99" s="46">
        <v>35</v>
      </c>
      <c r="AJ99" s="45"/>
      <c r="AK99" s="45"/>
      <c r="AL99" s="74" t="s">
        <v>36</v>
      </c>
      <c r="AM99" s="75"/>
      <c r="AN99" s="76"/>
      <c r="AO99" s="40"/>
      <c r="AP99" s="41"/>
      <c r="AQ99" s="34"/>
    </row>
    <row r="100" spans="3:43" x14ac:dyDescent="0.3">
      <c r="C100" s="11">
        <v>220</v>
      </c>
      <c r="D100" s="11">
        <f t="shared" si="2"/>
        <v>3.839724354387525</v>
      </c>
      <c r="E100" s="9">
        <f t="shared" si="3"/>
        <v>0.26946428435618186</v>
      </c>
      <c r="F100" s="7">
        <f t="shared" si="8"/>
        <v>3.1614224379154003E-2</v>
      </c>
      <c r="G100" s="7">
        <f t="shared" si="4"/>
        <v>0.26999389754407987</v>
      </c>
      <c r="H100" s="9">
        <f t="shared" si="5"/>
        <v>3.9711321770843647E-2</v>
      </c>
      <c r="I100" s="7">
        <f t="shared" si="6"/>
        <v>0.26702454781778989</v>
      </c>
      <c r="J100" s="33">
        <f t="shared" si="9"/>
        <v>3.4653727818470259E-2</v>
      </c>
      <c r="K100" s="39"/>
      <c r="L100" s="40"/>
      <c r="M100" s="40"/>
      <c r="N100" s="40"/>
      <c r="O100" s="40"/>
      <c r="P100" s="48">
        <v>1.824115347129166</v>
      </c>
      <c r="Q100" s="48">
        <v>5.7258285465097763E-3</v>
      </c>
      <c r="R100" s="40"/>
      <c r="S100" s="44">
        <f>(F80*1000)/(E80*15)</f>
        <v>-13.463882836910626</v>
      </c>
      <c r="T100" s="62" t="s">
        <v>86</v>
      </c>
      <c r="U100" s="45" t="s">
        <v>34</v>
      </c>
      <c r="V100" s="43"/>
      <c r="W100" s="44"/>
      <c r="X100" s="45"/>
      <c r="Y100" s="46">
        <v>0.77795791567463513</v>
      </c>
      <c r="Z100" s="46">
        <v>2.760973514554245E-3</v>
      </c>
      <c r="AA100" s="45"/>
      <c r="AB100" s="45"/>
      <c r="AC100" s="49">
        <f>(H80*1000)/(G80*10)</f>
        <v>-32.333596981822737</v>
      </c>
      <c r="AD100" s="62" t="s">
        <v>95</v>
      </c>
      <c r="AE100" s="45" t="s">
        <v>34</v>
      </c>
      <c r="AF100" s="47"/>
      <c r="AG100" s="44"/>
      <c r="AH100" s="46">
        <v>0.20718248615439799</v>
      </c>
      <c r="AI100" s="46">
        <v>8.1156141316958321E-4</v>
      </c>
      <c r="AJ100" s="45"/>
      <c r="AK100" s="45"/>
      <c r="AL100" s="49">
        <f>(J80*1000)/(I80*5)</f>
        <v>-52.010091459564649</v>
      </c>
      <c r="AM100" s="62" t="s">
        <v>110</v>
      </c>
      <c r="AN100" s="45"/>
      <c r="AO100" s="45" t="s">
        <v>34</v>
      </c>
      <c r="AP100" s="41"/>
      <c r="AQ100" s="34"/>
    </row>
    <row r="101" spans="3:43" x14ac:dyDescent="0.3">
      <c r="C101" s="11">
        <v>230</v>
      </c>
      <c r="D101" s="11">
        <f t="shared" si="2"/>
        <v>4.0142572795869578</v>
      </c>
      <c r="E101" s="9">
        <f t="shared" si="3"/>
        <v>0.33850691519303633</v>
      </c>
      <c r="F101" s="7">
        <f t="shared" si="8"/>
        <v>3.6804012072319099E-2</v>
      </c>
      <c r="G101" s="7">
        <f t="shared" si="4"/>
        <v>0.33896956159262503</v>
      </c>
      <c r="H101" s="9">
        <f t="shared" si="5"/>
        <v>4.2378059706818599E-2</v>
      </c>
      <c r="I101" s="7">
        <f t="shared" si="6"/>
        <v>0.3363735717864304</v>
      </c>
      <c r="J101" s="33">
        <f t="shared" si="9"/>
        <v>3.8795503807919983E-2</v>
      </c>
      <c r="K101" s="39"/>
      <c r="L101" s="40"/>
      <c r="M101" s="40"/>
      <c r="N101" s="40"/>
      <c r="O101" s="40"/>
      <c r="P101" s="40"/>
      <c r="Q101" s="40"/>
      <c r="R101" s="40"/>
      <c r="S101" s="74" t="s">
        <v>38</v>
      </c>
      <c r="T101" s="75"/>
      <c r="U101" s="76"/>
      <c r="V101" s="43"/>
      <c r="W101" s="44"/>
      <c r="X101" s="45"/>
      <c r="Y101" s="45"/>
      <c r="Z101" s="45"/>
      <c r="AA101" s="45"/>
      <c r="AB101" s="45"/>
      <c r="AC101" s="74" t="s">
        <v>38</v>
      </c>
      <c r="AD101" s="75"/>
      <c r="AE101" s="76"/>
      <c r="AF101" s="47"/>
      <c r="AG101" s="44"/>
      <c r="AH101" s="45"/>
      <c r="AI101" s="45"/>
      <c r="AJ101" s="45"/>
      <c r="AK101" s="45"/>
      <c r="AL101" s="74" t="s">
        <v>38</v>
      </c>
      <c r="AM101" s="75"/>
      <c r="AN101" s="76"/>
      <c r="AO101" s="40"/>
      <c r="AP101" s="41"/>
      <c r="AQ101" s="34"/>
    </row>
    <row r="102" spans="3:43" x14ac:dyDescent="0.3">
      <c r="C102" s="11">
        <v>240</v>
      </c>
      <c r="D102" s="11">
        <f t="shared" si="2"/>
        <v>4.1887902047863905</v>
      </c>
      <c r="E102" s="9">
        <f t="shared" si="3"/>
        <v>0.39726418470451452</v>
      </c>
      <c r="F102" s="7">
        <f t="shared" si="8"/>
        <v>4.1475724532899293E-2</v>
      </c>
      <c r="G102" s="7">
        <f t="shared" si="4"/>
        <v>0.39764580703905272</v>
      </c>
      <c r="H102" s="9">
        <f t="shared" si="5"/>
        <v>4.4957307919115147E-2</v>
      </c>
      <c r="I102" s="7">
        <f t="shared" si="6"/>
        <v>0.39550205498958046</v>
      </c>
      <c r="J102" s="33">
        <f t="shared" si="9"/>
        <v>4.265787896315891E-2</v>
      </c>
      <c r="K102" s="39"/>
      <c r="L102" s="40"/>
      <c r="M102" s="40"/>
      <c r="N102" s="40"/>
      <c r="O102" s="40"/>
      <c r="P102" s="50" t="s">
        <v>61</v>
      </c>
      <c r="Q102" s="51">
        <f>(1/P96^2*Q97^2+(Q96/P96^2)^2*P97^2)^(1/2)</f>
        <v>3.3129819990791128E-3</v>
      </c>
      <c r="R102" s="40" t="s">
        <v>102</v>
      </c>
      <c r="S102" s="52">
        <f>1/(S98*1.602*2*10^(-25))</f>
        <v>7.3529887546331164E+22</v>
      </c>
      <c r="T102" s="63" t="s">
        <v>87</v>
      </c>
      <c r="U102" s="53"/>
      <c r="V102" s="53" t="s">
        <v>39</v>
      </c>
      <c r="W102" s="44"/>
      <c r="X102" s="45"/>
      <c r="Y102" s="54" t="s">
        <v>61</v>
      </c>
      <c r="Z102" s="55">
        <f>(1/Y96^2*Z97^2+(Z96/Y96^2)^2*Y97^2)^(1/2)</f>
        <v>3.5248659893565241E-3</v>
      </c>
      <c r="AA102" s="45" t="s">
        <v>103</v>
      </c>
      <c r="AB102" s="45"/>
      <c r="AC102" s="52">
        <f>1/(AC98*1.602*2*10^(-25))</f>
        <v>7.5026409296072226E+22</v>
      </c>
      <c r="AD102" s="63" t="s">
        <v>96</v>
      </c>
      <c r="AE102" s="53"/>
      <c r="AF102" s="53" t="s">
        <v>39</v>
      </c>
      <c r="AG102" s="44"/>
      <c r="AH102" s="54" t="s">
        <v>61</v>
      </c>
      <c r="AI102" s="55">
        <f>(1/AH96^2*AI97^2+(AI96/AH96^2)^2*AH97^2)^(1/2)</f>
        <v>3.7042284480689742E-3</v>
      </c>
      <c r="AJ102" s="45" t="s">
        <v>104</v>
      </c>
      <c r="AK102" s="45"/>
      <c r="AL102" s="52">
        <f>1/(AL98*1.602*2*10^(-25))</f>
        <v>7.2956957146250675E+22</v>
      </c>
      <c r="AM102" s="63" t="s">
        <v>101</v>
      </c>
      <c r="AN102" s="53"/>
      <c r="AO102" s="53" t="s">
        <v>39</v>
      </c>
      <c r="AP102" s="41"/>
      <c r="AQ102" s="34"/>
    </row>
    <row r="103" spans="3:43" x14ac:dyDescent="0.3">
      <c r="C103" s="11">
        <v>250</v>
      </c>
      <c r="D103" s="11">
        <f t="shared" si="2"/>
        <v>4.3633231299858233</v>
      </c>
      <c r="E103" s="9">
        <f t="shared" si="3"/>
        <v>0.44395078298912322</v>
      </c>
      <c r="F103" s="7">
        <f t="shared" si="8"/>
        <v>4.5303990750253015E-2</v>
      </c>
      <c r="G103" s="7">
        <f t="shared" si="4"/>
        <v>0.44423978585708618</v>
      </c>
      <c r="H103" s="9">
        <f t="shared" si="5"/>
        <v>4.7176246333462304E-2</v>
      </c>
      <c r="I103" s="7">
        <f t="shared" si="6"/>
        <v>0.44261340838556862</v>
      </c>
      <c r="J103" s="33">
        <f t="shared" si="9"/>
        <v>4.5899298357322468E-2</v>
      </c>
      <c r="K103" s="39"/>
      <c r="L103" s="40"/>
      <c r="M103" s="40"/>
      <c r="N103" s="40"/>
      <c r="O103" s="40"/>
      <c r="P103" s="40"/>
      <c r="Q103" s="40"/>
      <c r="R103" s="40"/>
      <c r="S103" s="45"/>
      <c r="T103" s="45"/>
      <c r="U103" s="47"/>
      <c r="V103" s="43"/>
      <c r="W103" s="44"/>
      <c r="X103" s="45"/>
      <c r="Y103" s="45"/>
      <c r="Z103" s="45"/>
      <c r="AA103" s="45"/>
      <c r="AB103" s="45"/>
      <c r="AC103" s="45"/>
      <c r="AD103" s="45"/>
      <c r="AE103" s="45"/>
      <c r="AF103" s="47"/>
      <c r="AG103" s="44"/>
      <c r="AH103" s="45"/>
      <c r="AI103" s="45"/>
      <c r="AJ103" s="45"/>
      <c r="AK103" s="45"/>
      <c r="AL103" s="45"/>
      <c r="AM103" s="45"/>
      <c r="AN103" s="45"/>
      <c r="AO103" s="40"/>
      <c r="AP103" s="41"/>
      <c r="AQ103" s="34"/>
    </row>
    <row r="104" spans="3:43" x14ac:dyDescent="0.3">
      <c r="C104" s="11">
        <v>260</v>
      </c>
      <c r="D104" s="11">
        <f t="shared" si="2"/>
        <v>4.5378560551852569</v>
      </c>
      <c r="E104" s="9">
        <f t="shared" si="3"/>
        <v>0.47714816138254323</v>
      </c>
      <c r="F104" s="7">
        <f t="shared" si="8"/>
        <v>4.8074033811923662E-2</v>
      </c>
      <c r="G104" s="7">
        <f t="shared" si="4"/>
        <v>0.47733576357803048</v>
      </c>
      <c r="H104" s="9">
        <f t="shared" si="5"/>
        <v>4.883193289766212E-2</v>
      </c>
      <c r="I104" s="7">
        <f t="shared" si="6"/>
        <v>0.47627617734095296</v>
      </c>
      <c r="J104" s="33">
        <f t="shared" si="9"/>
        <v>4.8286865612173741E-2</v>
      </c>
      <c r="K104" s="39"/>
      <c r="L104" s="40"/>
      <c r="M104" s="40"/>
      <c r="N104" s="68"/>
      <c r="O104" s="68"/>
      <c r="P104" s="40"/>
      <c r="Q104" s="40"/>
      <c r="R104" s="40"/>
      <c r="S104" s="40"/>
      <c r="T104" s="40"/>
      <c r="U104" s="41"/>
      <c r="V104" s="34"/>
      <c r="W104" s="39"/>
      <c r="X104" s="40"/>
      <c r="Y104" s="40"/>
      <c r="Z104" s="40"/>
      <c r="AA104" s="40"/>
      <c r="AB104" s="40"/>
      <c r="AC104" s="40"/>
      <c r="AD104" s="40"/>
      <c r="AE104" s="40"/>
      <c r="AF104" s="41"/>
      <c r="AG104" s="39"/>
      <c r="AH104" s="40"/>
      <c r="AI104" s="40"/>
      <c r="AJ104" s="40"/>
      <c r="AK104" s="40"/>
      <c r="AL104" s="40"/>
      <c r="AM104" s="40"/>
      <c r="AN104" s="40"/>
      <c r="AO104" s="40"/>
      <c r="AP104" s="41"/>
      <c r="AQ104" s="34"/>
    </row>
    <row r="105" spans="3:43" x14ac:dyDescent="0.3">
      <c r="C105" s="11">
        <v>270</v>
      </c>
      <c r="D105" s="11">
        <f t="shared" si="2"/>
        <v>4.7123889803846897</v>
      </c>
      <c r="E105" s="9">
        <f t="shared" si="3"/>
        <v>0.49584763434097434</v>
      </c>
      <c r="F105" s="7">
        <f t="shared" si="8"/>
        <v>4.9648976028457151E-2</v>
      </c>
      <c r="G105" s="7">
        <f t="shared" si="4"/>
        <v>0.49592813566620719</v>
      </c>
      <c r="H105" s="9">
        <f t="shared" si="5"/>
        <v>4.9788201781155512E-2</v>
      </c>
      <c r="I105" s="7">
        <f t="shared" si="6"/>
        <v>0.49546753565520685</v>
      </c>
      <c r="J105" s="33">
        <f t="shared" si="9"/>
        <v>4.9670903958837061E-2</v>
      </c>
      <c r="K105" s="39"/>
      <c r="L105" s="40"/>
      <c r="M105" s="40"/>
      <c r="N105" s="68" t="s">
        <v>41</v>
      </c>
      <c r="O105" s="68"/>
      <c r="P105" s="68"/>
      <c r="Q105" s="68"/>
      <c r="R105" s="40"/>
      <c r="S105" s="40"/>
      <c r="T105" s="40"/>
      <c r="U105" s="41"/>
      <c r="V105" s="34"/>
      <c r="W105" s="39"/>
      <c r="X105" s="40"/>
      <c r="Y105" s="40"/>
      <c r="Z105" s="40"/>
      <c r="AA105" s="40"/>
      <c r="AB105" s="40"/>
      <c r="AC105" s="40"/>
      <c r="AD105" s="40"/>
      <c r="AE105" s="40"/>
      <c r="AF105" s="41"/>
      <c r="AG105" s="39"/>
      <c r="AH105" s="40"/>
      <c r="AI105" s="40"/>
      <c r="AJ105" s="40"/>
      <c r="AK105" s="40"/>
      <c r="AL105" s="40"/>
      <c r="AM105" s="40"/>
      <c r="AN105" s="40"/>
      <c r="AO105" s="40"/>
      <c r="AP105" s="41"/>
      <c r="AQ105" s="34"/>
    </row>
    <row r="106" spans="3:43" x14ac:dyDescent="0.3">
      <c r="C106" s="11">
        <v>280</v>
      </c>
      <c r="D106" s="11">
        <f t="shared" si="2"/>
        <v>4.8869219055841224</v>
      </c>
      <c r="E106" s="9">
        <f t="shared" si="3"/>
        <v>0.4994810278409646</v>
      </c>
      <c r="F106" s="7">
        <f t="shared" si="8"/>
        <v>4.9956103446198712E-2</v>
      </c>
      <c r="G106" s="7">
        <f t="shared" si="4"/>
        <v>0.49945198230391158</v>
      </c>
      <c r="H106" s="9">
        <f t="shared" si="5"/>
        <v>4.99714464086813E-2</v>
      </c>
      <c r="I106" s="7">
        <f t="shared" si="6"/>
        <v>0.49960436361724775</v>
      </c>
      <c r="J106" s="33">
        <f t="shared" si="9"/>
        <v>4.9971240664883787E-2</v>
      </c>
      <c r="K106" s="39"/>
      <c r="L106" s="40"/>
      <c r="M106" s="40"/>
      <c r="N106" s="40"/>
      <c r="O106" s="40"/>
      <c r="P106" s="40"/>
      <c r="Q106" s="40"/>
      <c r="R106" s="40"/>
      <c r="S106" s="40"/>
      <c r="T106" s="40"/>
      <c r="U106" s="41"/>
      <c r="V106" s="34"/>
      <c r="W106" s="39"/>
      <c r="X106" s="40"/>
      <c r="Y106" s="40"/>
      <c r="Z106" s="40"/>
      <c r="AA106" s="40"/>
      <c r="AB106" s="40"/>
      <c r="AC106" s="40"/>
      <c r="AD106" s="40"/>
      <c r="AE106" s="40"/>
      <c r="AF106" s="41"/>
      <c r="AG106" s="39"/>
      <c r="AH106" s="40"/>
      <c r="AI106" s="40"/>
      <c r="AJ106" s="40"/>
      <c r="AK106" s="40"/>
      <c r="AL106" s="40"/>
      <c r="AM106" s="40"/>
      <c r="AN106" s="40"/>
      <c r="AO106" s="40"/>
      <c r="AP106" s="41"/>
      <c r="AQ106" s="34"/>
    </row>
    <row r="107" spans="3:43" x14ac:dyDescent="0.3">
      <c r="C107" s="11">
        <v>290</v>
      </c>
      <c r="D107" s="11">
        <f t="shared" si="2"/>
        <v>5.0614548307835552</v>
      </c>
      <c r="E107" s="9">
        <f t="shared" si="3"/>
        <v>0.48793794305960264</v>
      </c>
      <c r="F107" s="7">
        <f t="shared" si="8"/>
        <v>4.8981601638312729E-2</v>
      </c>
      <c r="G107" s="7">
        <f t="shared" si="4"/>
        <v>0.48780023319420934</v>
      </c>
      <c r="H107" s="9">
        <f t="shared" si="5"/>
        <v>4.9367945479377257E-2</v>
      </c>
      <c r="I107" s="7">
        <f t="shared" si="6"/>
        <v>0.48856096580278496</v>
      </c>
      <c r="J107" s="33">
        <f t="shared" si="9"/>
        <v>4.9171032433208507E-2</v>
      </c>
      <c r="K107" s="39"/>
      <c r="L107" s="40"/>
      <c r="M107" s="40"/>
      <c r="N107" s="50" t="s">
        <v>42</v>
      </c>
      <c r="O107" s="56">
        <f>(SQRT((1000/(15*E80))^2*0.001^2+(-1000000*E8/(15*15*E80))^2)*0.001+(E8*1000/(15*E80^2)^2)*F80^2)</f>
        <v>2.6164760054200875</v>
      </c>
      <c r="P107" s="56" t="s">
        <v>106</v>
      </c>
      <c r="Q107" s="56"/>
      <c r="R107" s="56"/>
      <c r="S107" s="56"/>
      <c r="T107" s="56" t="s">
        <v>40</v>
      </c>
      <c r="U107" s="51"/>
      <c r="V107" s="56"/>
      <c r="W107" s="50"/>
      <c r="X107" s="56"/>
      <c r="Y107" s="56">
        <f>(SQRT((1000/(10*G80))^2*0.001^2+(-1000000*G8/(10*10*G80))^2)*0.001+(G8*1000/(10*G80^2)^2)*H80^2)</f>
        <v>0.16146310125060381</v>
      </c>
      <c r="Z107" s="56" t="s">
        <v>88</v>
      </c>
      <c r="AA107" s="56"/>
      <c r="AB107" s="56"/>
      <c r="AC107" s="56"/>
      <c r="AD107" s="56"/>
      <c r="AE107" s="56"/>
      <c r="AF107" s="51"/>
      <c r="AG107" s="50"/>
      <c r="AH107" s="56"/>
      <c r="AI107" s="56">
        <f>(SQRT((1000/(5*I80))^2*0.001^2+(-1000000*I8/(5*5*I80))^2)*0.001+(I8*1000/(5*I80^2)^2)*J80^2)</f>
        <v>1.8807609002354528E-3</v>
      </c>
      <c r="AJ107" s="56" t="s">
        <v>107</v>
      </c>
      <c r="AK107" s="56"/>
      <c r="AL107" s="56"/>
      <c r="AM107" s="56"/>
      <c r="AN107" s="56"/>
      <c r="AO107" s="56"/>
      <c r="AP107" s="51"/>
      <c r="AQ107" s="34"/>
    </row>
    <row r="108" spans="3:43" x14ac:dyDescent="0.3">
      <c r="C108" s="11">
        <v>300</v>
      </c>
      <c r="D108" s="11">
        <f t="shared" si="2"/>
        <v>5.2359877559829888</v>
      </c>
      <c r="E108" s="9">
        <f t="shared" si="3"/>
        <v>0.46156911078688728</v>
      </c>
      <c r="F108" s="7">
        <f t="shared" si="8"/>
        <v>4.6769701430190443E-2</v>
      </c>
      <c r="G108" s="7">
        <f t="shared" si="4"/>
        <v>0.46132692083772908</v>
      </c>
      <c r="H108" s="9">
        <f t="shared" si="5"/>
        <v>4.8023346573459386E-2</v>
      </c>
      <c r="I108" s="7">
        <f t="shared" si="6"/>
        <v>0.46267289026618191</v>
      </c>
      <c r="J108" s="33">
        <f t="shared" si="9"/>
        <v>4.7315581134150179E-2</v>
      </c>
      <c r="K108" s="69" t="s">
        <v>44</v>
      </c>
      <c r="L108" s="70"/>
      <c r="M108" s="70"/>
      <c r="N108" s="56" t="s">
        <v>43</v>
      </c>
      <c r="O108" s="56">
        <f>O107*2</f>
        <v>5.232952010840175</v>
      </c>
      <c r="P108" s="56" t="s">
        <v>34</v>
      </c>
      <c r="Q108" s="56" t="s">
        <v>105</v>
      </c>
      <c r="R108" s="56"/>
      <c r="S108" s="56"/>
      <c r="T108" s="56"/>
      <c r="U108" s="51"/>
      <c r="V108" s="56"/>
      <c r="W108" s="50"/>
      <c r="X108" s="56"/>
      <c r="Y108" s="56">
        <f>2*Y107</f>
        <v>0.32292620250120763</v>
      </c>
      <c r="Z108" s="56" t="s">
        <v>89</v>
      </c>
      <c r="AA108" s="56" t="s">
        <v>34</v>
      </c>
      <c r="AB108" s="56"/>
      <c r="AC108" s="56"/>
      <c r="AD108" s="56"/>
      <c r="AE108" s="56"/>
      <c r="AF108" s="51"/>
      <c r="AG108" s="50"/>
      <c r="AH108" s="56"/>
      <c r="AI108" s="56">
        <f>2*AI107</f>
        <v>3.7615218004709056E-3</v>
      </c>
      <c r="AJ108" s="56" t="s">
        <v>108</v>
      </c>
      <c r="AK108" s="56" t="s">
        <v>34</v>
      </c>
      <c r="AL108" s="56"/>
      <c r="AM108" s="56"/>
      <c r="AN108" s="56"/>
      <c r="AO108" s="56"/>
      <c r="AP108" s="51"/>
      <c r="AQ108" s="34"/>
    </row>
    <row r="109" spans="3:43" x14ac:dyDescent="0.3">
      <c r="C109" s="11">
        <v>310</v>
      </c>
      <c r="D109" s="11">
        <f t="shared" si="2"/>
        <v>5.4105206811824216</v>
      </c>
      <c r="E109" s="9">
        <f t="shared" si="3"/>
        <v>0.42117573464815228</v>
      </c>
      <c r="F109" s="7">
        <f t="shared" si="8"/>
        <v>4.3425575072209302E-2</v>
      </c>
      <c r="G109" s="7">
        <f t="shared" si="4"/>
        <v>0.42083642343428035</v>
      </c>
      <c r="H109" s="9">
        <f t="shared" si="5"/>
        <v>4.6044365050545134E-2</v>
      </c>
      <c r="I109" s="7">
        <f t="shared" si="6"/>
        <v>0.42272673308262021</v>
      </c>
      <c r="J109" s="33">
        <f t="shared" si="9"/>
        <v>4.4515609166932438E-2</v>
      </c>
      <c r="K109" s="39"/>
      <c r="L109" s="40"/>
      <c r="M109" s="40"/>
      <c r="N109" s="40"/>
      <c r="O109" s="40"/>
      <c r="P109" s="40"/>
      <c r="Q109" s="40"/>
      <c r="R109" s="40"/>
      <c r="S109" s="40"/>
      <c r="T109" s="40"/>
      <c r="U109" s="41"/>
      <c r="V109" s="34"/>
      <c r="W109" s="39"/>
      <c r="X109" s="40"/>
      <c r="Y109" s="40"/>
      <c r="Z109" s="40"/>
      <c r="AA109" s="40"/>
      <c r="AB109" s="40"/>
      <c r="AC109" s="40"/>
      <c r="AD109" s="40"/>
      <c r="AE109" s="40"/>
      <c r="AF109" s="41"/>
      <c r="AG109" s="39"/>
      <c r="AH109" s="40"/>
      <c r="AI109" s="40"/>
      <c r="AJ109" s="40"/>
      <c r="AK109" s="40"/>
      <c r="AL109" s="40"/>
      <c r="AM109" s="40"/>
      <c r="AN109" s="40"/>
      <c r="AO109" s="40"/>
      <c r="AP109" s="41"/>
      <c r="AQ109" s="34"/>
    </row>
    <row r="110" spans="3:43" x14ac:dyDescent="0.3">
      <c r="C110" s="11">
        <v>320</v>
      </c>
      <c r="D110" s="11">
        <f t="shared" si="2"/>
        <v>5.5850536063818543</v>
      </c>
      <c r="E110" s="9">
        <f t="shared" si="3"/>
        <v>0.36798514693733836</v>
      </c>
      <c r="F110" s="7">
        <f t="shared" si="8"/>
        <v>3.9124218188075925E-2</v>
      </c>
      <c r="G110" s="7">
        <f t="shared" si="4"/>
        <v>0.36755902425828646</v>
      </c>
      <c r="H110" s="9">
        <f t="shared" si="5"/>
        <v>4.3602438982018661E-2</v>
      </c>
      <c r="I110" s="7">
        <f t="shared" si="6"/>
        <v>0.36993623802439141</v>
      </c>
      <c r="J110" s="33">
        <f t="shared" si="9"/>
        <v>4.0956430453707331E-2</v>
      </c>
      <c r="K110" s="39"/>
      <c r="L110" s="40"/>
      <c r="M110" s="40"/>
      <c r="N110" s="40"/>
      <c r="O110" s="40"/>
      <c r="P110" s="40"/>
      <c r="Q110" s="40"/>
      <c r="R110" s="40"/>
      <c r="S110" s="40"/>
      <c r="T110" s="40"/>
      <c r="U110" s="41"/>
      <c r="V110" s="34"/>
      <c r="W110" s="39"/>
      <c r="X110" s="40"/>
      <c r="Y110" s="40"/>
      <c r="Z110" s="40"/>
      <c r="AA110" s="40"/>
      <c r="AB110" s="40"/>
      <c r="AC110" s="40"/>
      <c r="AD110" s="40"/>
      <c r="AE110" s="40"/>
      <c r="AF110" s="41"/>
      <c r="AG110" s="39"/>
      <c r="AH110" s="40"/>
      <c r="AI110" s="40"/>
      <c r="AJ110" s="40"/>
      <c r="AK110" s="40"/>
      <c r="AL110" s="40"/>
      <c r="AM110" s="40"/>
      <c r="AN110" s="40"/>
      <c r="AO110" s="40"/>
      <c r="AP110" s="41"/>
      <c r="AQ110" s="34"/>
    </row>
    <row r="111" spans="3:43" x14ac:dyDescent="0.3">
      <c r="C111" s="11">
        <v>330</v>
      </c>
      <c r="D111" s="11">
        <f t="shared" si="2"/>
        <v>5.7595865315812871</v>
      </c>
      <c r="E111" s="9">
        <f t="shared" si="3"/>
        <v>0.3036135167463026</v>
      </c>
      <c r="F111" s="7">
        <f t="shared" si="8"/>
        <v>3.4132155336553782E-2</v>
      </c>
      <c r="G111" s="7">
        <f t="shared" si="4"/>
        <v>0.30311353012404524</v>
      </c>
      <c r="H111" s="9">
        <f t="shared" si="5"/>
        <v>4.0937917562587488E-2</v>
      </c>
      <c r="I111" s="7">
        <f t="shared" si="6"/>
        <v>0.30590541757056033</v>
      </c>
      <c r="J111" s="33">
        <f t="shared" si="9"/>
        <v>3.6916468866674983E-2</v>
      </c>
      <c r="K111" s="39"/>
      <c r="L111" s="40"/>
      <c r="M111" s="40"/>
      <c r="N111" s="57" t="s">
        <v>69</v>
      </c>
      <c r="O111" s="57"/>
      <c r="P111" s="57"/>
      <c r="Q111" s="57"/>
      <c r="R111" s="40"/>
      <c r="S111" s="40"/>
      <c r="T111" s="40"/>
      <c r="U111" s="41"/>
      <c r="V111" s="34"/>
      <c r="W111" s="39"/>
      <c r="X111" s="40"/>
      <c r="Y111" s="40"/>
      <c r="Z111" s="40"/>
      <c r="AA111" s="40"/>
      <c r="AB111" s="40"/>
      <c r="AC111" s="40"/>
      <c r="AD111" s="40"/>
      <c r="AE111" s="40"/>
      <c r="AF111" s="41"/>
      <c r="AG111" s="39"/>
      <c r="AH111" s="40"/>
      <c r="AI111" s="40"/>
      <c r="AJ111" s="40"/>
      <c r="AK111" s="40"/>
      <c r="AL111" s="40"/>
      <c r="AM111" s="40"/>
      <c r="AN111" s="40"/>
      <c r="AO111" s="40"/>
      <c r="AP111" s="41"/>
      <c r="AQ111" s="34"/>
    </row>
    <row r="112" spans="3:43" x14ac:dyDescent="0.3">
      <c r="C112" s="11">
        <v>340</v>
      </c>
      <c r="D112" s="11">
        <f t="shared" si="2"/>
        <v>5.9341194567807207</v>
      </c>
      <c r="E112" s="9">
        <f t="shared" si="3"/>
        <v>0.2300167434847826</v>
      </c>
      <c r="F112" s="7">
        <f t="shared" si="8"/>
        <v>2.885806950488146E-2</v>
      </c>
      <c r="G112" s="7">
        <f t="shared" si="4"/>
        <v>0.22945808475983157</v>
      </c>
      <c r="H112" s="9">
        <f t="shared" si="5"/>
        <v>3.8359802027380506E-2</v>
      </c>
      <c r="I112" s="7">
        <f t="shared" si="6"/>
        <v>0.23257981579945772</v>
      </c>
      <c r="J112" s="33">
        <f t="shared" si="9"/>
        <v>3.2799004886203367E-2</v>
      </c>
      <c r="K112" s="39"/>
      <c r="L112" s="40"/>
      <c r="M112" s="40"/>
      <c r="N112" s="40"/>
      <c r="O112" s="40"/>
      <c r="P112" s="40"/>
      <c r="Q112" s="40"/>
      <c r="R112" s="40"/>
      <c r="S112" s="40"/>
      <c r="T112" s="40"/>
      <c r="U112" s="41"/>
      <c r="V112" s="34"/>
      <c r="W112" s="39"/>
      <c r="X112" s="40"/>
      <c r="Y112" s="40"/>
      <c r="Z112" s="40"/>
      <c r="AA112" s="40"/>
      <c r="AB112" s="40"/>
      <c r="AC112" s="40"/>
      <c r="AD112" s="40"/>
      <c r="AE112" s="40"/>
      <c r="AF112" s="41"/>
      <c r="AG112" s="39"/>
      <c r="AH112" s="40"/>
      <c r="AI112" s="40"/>
      <c r="AJ112" s="40"/>
      <c r="AK112" s="40"/>
      <c r="AL112" s="40"/>
      <c r="AM112" s="40"/>
      <c r="AN112" s="40"/>
      <c r="AO112" s="40"/>
      <c r="AP112" s="41"/>
      <c r="AQ112" s="34"/>
    </row>
    <row r="113" spans="3:59" x14ac:dyDescent="0.3">
      <c r="C113" s="11">
        <v>350</v>
      </c>
      <c r="D113" s="11">
        <f t="shared" si="2"/>
        <v>6.1086523819801526</v>
      </c>
      <c r="E113" s="9">
        <f t="shared" si="3"/>
        <v>0.14943102786656659</v>
      </c>
      <c r="F113" s="7">
        <f t="shared" si="8"/>
        <v>2.3960947946556746E-2</v>
      </c>
      <c r="G113" s="7">
        <f t="shared" si="4"/>
        <v>0.14883067160158461</v>
      </c>
      <c r="H113" s="9">
        <f t="shared" si="5"/>
        <v>3.6228648321094827E-2</v>
      </c>
      <c r="I113" s="7">
        <f t="shared" si="6"/>
        <v>0.15218739401635489</v>
      </c>
      <c r="J113" s="33">
        <f t="shared" si="9"/>
        <v>2.9170171761091369E-2</v>
      </c>
      <c r="K113" s="39"/>
      <c r="L113" s="40"/>
      <c r="M113" s="40"/>
      <c r="N113" s="50" t="s">
        <v>70</v>
      </c>
      <c r="O113" s="56">
        <f>SQRT((1/0.015)^2 * Q102^2 + (-1*((0.6367*1000000)/(15*15)))^2*(0.044*0.001)^2)</f>
        <v>0.25354358555599993</v>
      </c>
      <c r="P113" s="56" t="s">
        <v>34</v>
      </c>
      <c r="Q113" s="56" t="s">
        <v>81</v>
      </c>
      <c r="R113" s="58"/>
      <c r="S113" s="56"/>
      <c r="T113" s="56"/>
      <c r="U113" s="51"/>
      <c r="V113" s="56"/>
      <c r="W113" s="50"/>
      <c r="X113" s="56"/>
      <c r="Y113" s="56">
        <f>SQRT((1/0.01)^2 * Z102^2 + (-1*((0.416*1000000)/(10*10)))^2*(0.044*0.001)^2)</f>
        <v>0.39717810114509522</v>
      </c>
      <c r="Z113" s="56" t="s">
        <v>90</v>
      </c>
      <c r="AA113" s="56" t="s">
        <v>34</v>
      </c>
      <c r="AB113" s="56"/>
      <c r="AC113" s="56"/>
      <c r="AD113" s="56"/>
      <c r="AE113" s="56"/>
      <c r="AF113" s="51"/>
      <c r="AG113" s="50"/>
      <c r="AH113" s="56"/>
      <c r="AI113" s="56">
        <f>SQRT((1/0.005)^2 * AI102^2 + (-1*((0.2138*1000000)/(5*5)))^2*(0.044*0.001)^2)</f>
        <v>0.83093019849042626</v>
      </c>
      <c r="AJ113" s="56" t="s">
        <v>97</v>
      </c>
      <c r="AK113" s="56" t="s">
        <v>34</v>
      </c>
      <c r="AL113" s="56"/>
      <c r="AM113" s="56"/>
      <c r="AN113" s="56"/>
      <c r="AO113" s="56"/>
      <c r="AP113" s="51"/>
      <c r="AQ113" s="34"/>
    </row>
    <row r="114" spans="3:59" x14ac:dyDescent="0.3">
      <c r="C114" s="11">
        <v>360</v>
      </c>
      <c r="D114" s="11">
        <f t="shared" si="2"/>
        <v>6.2831853071795862</v>
      </c>
      <c r="E114" s="9">
        <f t="shared" si="3"/>
        <v>6.4304926082372746E-2</v>
      </c>
      <c r="F114" s="7">
        <f t="shared" si="8"/>
        <v>2.0499242248758088E-2</v>
      </c>
      <c r="G114" s="7">
        <f t="shared" si="4"/>
        <v>6.3681113798676373E-2</v>
      </c>
      <c r="H114" s="9">
        <f t="shared" si="5"/>
        <v>3.4902830731822966E-2</v>
      </c>
      <c r="I114" s="7">
        <f t="shared" si="6"/>
        <v>6.7170835276601462E-2</v>
      </c>
      <c r="J114" s="33">
        <f t="shared" si="9"/>
        <v>2.6745497025325277E-2</v>
      </c>
      <c r="K114" s="39"/>
      <c r="L114" s="40"/>
      <c r="M114" s="40"/>
      <c r="N114" s="40"/>
      <c r="O114" s="40"/>
      <c r="P114" s="40"/>
      <c r="Q114" s="40"/>
      <c r="R114" s="40"/>
      <c r="S114" s="40"/>
      <c r="T114" s="40"/>
      <c r="U114" s="41"/>
      <c r="V114" s="34"/>
      <c r="W114" s="39"/>
      <c r="X114" s="40"/>
      <c r="Y114" s="40"/>
      <c r="Z114" s="40"/>
      <c r="AA114" s="40"/>
      <c r="AB114" s="40"/>
      <c r="AC114" s="40"/>
      <c r="AD114" s="40"/>
      <c r="AE114" s="40"/>
      <c r="AF114" s="41"/>
      <c r="AG114" s="39"/>
      <c r="AH114" s="40"/>
      <c r="AI114" s="40"/>
      <c r="AJ114" s="40"/>
      <c r="AK114" s="40"/>
      <c r="AL114" s="40"/>
      <c r="AM114" s="40"/>
      <c r="AN114" s="40"/>
      <c r="AO114" s="40"/>
      <c r="AP114" s="41"/>
      <c r="AQ114" s="34"/>
    </row>
    <row r="115" spans="3:59" x14ac:dyDescent="0.3">
      <c r="K115" s="39"/>
      <c r="L115" s="40"/>
      <c r="M115" s="40"/>
      <c r="N115" s="57" t="s">
        <v>71</v>
      </c>
      <c r="O115" s="40"/>
      <c r="P115" s="40"/>
      <c r="Q115" s="40"/>
      <c r="R115" s="40"/>
      <c r="S115" s="40"/>
      <c r="T115" s="40"/>
      <c r="U115" s="41"/>
      <c r="V115" s="34"/>
      <c r="W115" s="39"/>
      <c r="X115" s="40"/>
      <c r="Y115" s="40"/>
      <c r="Z115" s="40"/>
      <c r="AA115" s="40"/>
      <c r="AB115" s="40"/>
      <c r="AC115" s="40"/>
      <c r="AD115" s="40"/>
      <c r="AE115" s="40"/>
      <c r="AF115" s="41"/>
      <c r="AG115" s="39"/>
      <c r="AH115" s="40"/>
      <c r="AI115" s="40"/>
      <c r="AJ115" s="40"/>
      <c r="AK115" s="40"/>
      <c r="AL115" s="40"/>
      <c r="AM115" s="40"/>
      <c r="AN115" s="40"/>
      <c r="AO115" s="40"/>
      <c r="AP115" s="41"/>
      <c r="AQ115" s="34"/>
    </row>
    <row r="116" spans="3:59" x14ac:dyDescent="0.3">
      <c r="K116" s="39"/>
      <c r="L116" s="40"/>
      <c r="M116" s="40"/>
      <c r="N116" s="50" t="s">
        <v>72</v>
      </c>
      <c r="O116" s="56">
        <f>2*O113</f>
        <v>0.50708717111199986</v>
      </c>
      <c r="P116" s="56" t="s">
        <v>34</v>
      </c>
      <c r="Q116" s="56" t="s">
        <v>82</v>
      </c>
      <c r="R116" s="56"/>
      <c r="S116" s="56"/>
      <c r="T116" s="56"/>
      <c r="U116" s="51"/>
      <c r="V116" s="56"/>
      <c r="W116" s="50"/>
      <c r="X116" s="56"/>
      <c r="Y116" s="56">
        <f>2*Y113</f>
        <v>0.79435620229019044</v>
      </c>
      <c r="Z116" s="56" t="s">
        <v>91</v>
      </c>
      <c r="AA116" s="56" t="s">
        <v>34</v>
      </c>
      <c r="AB116" s="56"/>
      <c r="AC116" s="56"/>
      <c r="AD116" s="56"/>
      <c r="AE116" s="56"/>
      <c r="AF116" s="51"/>
      <c r="AG116" s="50"/>
      <c r="AH116" s="56"/>
      <c r="AI116" s="56">
        <f>2*AI113</f>
        <v>1.6618603969808525</v>
      </c>
      <c r="AJ116" s="56" t="s">
        <v>109</v>
      </c>
      <c r="AK116" s="56" t="s">
        <v>34</v>
      </c>
      <c r="AL116" s="56"/>
      <c r="AM116" s="56"/>
      <c r="AN116" s="56"/>
      <c r="AO116" s="56"/>
      <c r="AP116" s="51"/>
      <c r="AQ116" s="34"/>
    </row>
    <row r="117" spans="3:59" x14ac:dyDescent="0.3">
      <c r="K117" s="59"/>
      <c r="L117" s="60"/>
      <c r="M117" s="60"/>
      <c r="N117" s="60"/>
      <c r="O117" s="60"/>
      <c r="P117" s="60"/>
      <c r="Q117" s="60"/>
      <c r="R117" s="60"/>
      <c r="S117" s="60"/>
      <c r="T117" s="60"/>
      <c r="U117" s="61"/>
      <c r="V117" s="34"/>
      <c r="W117" s="59"/>
      <c r="X117" s="60"/>
      <c r="Y117" s="60"/>
      <c r="Z117" s="60"/>
      <c r="AA117" s="60"/>
      <c r="AB117" s="60"/>
      <c r="AC117" s="60"/>
      <c r="AD117" s="60"/>
      <c r="AE117" s="60"/>
      <c r="AF117" s="61"/>
      <c r="AG117" s="59"/>
      <c r="AH117" s="60"/>
      <c r="AI117" s="60"/>
      <c r="AJ117" s="60"/>
      <c r="AK117" s="60"/>
      <c r="AL117" s="60"/>
      <c r="AM117" s="60"/>
      <c r="AN117" s="60"/>
      <c r="AO117" s="60"/>
      <c r="AP117" s="61"/>
      <c r="AQ117" s="34"/>
    </row>
    <row r="118" spans="3:59" x14ac:dyDescent="0.3"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</row>
    <row r="120" spans="3:59" x14ac:dyDescent="0.3"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</row>
    <row r="121" spans="3:59" x14ac:dyDescent="0.3">
      <c r="K121" s="34" t="s">
        <v>73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</row>
    <row r="122" spans="3:59" x14ac:dyDescent="0.3"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</row>
    <row r="123" spans="3:59" x14ac:dyDescent="0.3"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</row>
    <row r="124" spans="3:59" x14ac:dyDescent="0.3">
      <c r="K124" s="50" t="s">
        <v>74</v>
      </c>
      <c r="L124" s="56">
        <f>SQRT((-1/(1.602*10^(-19)*S98*(2*10^(-6))^2))^2*(5%*2*10^(-6))^2 + (-1/(1.602*10^(-19)*S98^2*(2*10^(-6))))^2*(O113)^2)</f>
        <v>3.7026364889536209E+21</v>
      </c>
      <c r="M124" s="56" t="s">
        <v>84</v>
      </c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>
        <f>SQRT((-1/(1.602*10^(-19)*AC98*(2*10^(-6))^2))^2*(5%*2*10^(-6))^2 + (-1/(1.602*10^(-19)*AC98^2*(2*10^(-6))))^2*(Y113)^2)</f>
        <v>3.819099020185076E+21</v>
      </c>
      <c r="Z124" s="56" t="s">
        <v>92</v>
      </c>
      <c r="AA124" s="56"/>
      <c r="AB124" s="56"/>
      <c r="AC124" s="56"/>
      <c r="AD124" s="56"/>
      <c r="AE124" s="56"/>
      <c r="AF124" s="56"/>
      <c r="AG124" s="56"/>
      <c r="AH124" s="56"/>
      <c r="AI124" s="56">
        <f>SQRT((-1/(1.602*10^(-19)*AL98*(2*10^(-6))^2))^2*(5%*2*10^(-6))^2 + (-1/(1.602*10^(-19)*AL98^2*(2*10^(-6))))^2*(AI113)^2)</f>
        <v>3.9134222502608351E+21</v>
      </c>
      <c r="AJ124" s="56" t="s">
        <v>98</v>
      </c>
      <c r="AK124" s="56"/>
      <c r="AL124" s="56"/>
      <c r="AM124" s="56"/>
      <c r="AN124" s="56"/>
      <c r="AO124" s="56"/>
      <c r="AP124" s="56"/>
      <c r="AQ124" s="51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</row>
    <row r="125" spans="3:59" x14ac:dyDescent="0.3"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</row>
    <row r="126" spans="3:59" x14ac:dyDescent="0.3"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</row>
    <row r="127" spans="3:59" x14ac:dyDescent="0.3"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</row>
    <row r="128" spans="3:59" x14ac:dyDescent="0.3">
      <c r="K128" s="34" t="s">
        <v>75</v>
      </c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</row>
    <row r="129" spans="11:59" x14ac:dyDescent="0.3"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</row>
    <row r="130" spans="11:59" x14ac:dyDescent="0.3">
      <c r="K130" s="50" t="s">
        <v>76</v>
      </c>
      <c r="L130" s="56">
        <f xml:space="preserve"> 2*L124</f>
        <v>7.4052729779072417E+21</v>
      </c>
      <c r="M130" s="56" t="s">
        <v>83</v>
      </c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 t="s">
        <v>76</v>
      </c>
      <c r="Z130" s="56">
        <f>2*Y124</f>
        <v>7.6381980403701519E+21</v>
      </c>
      <c r="AA130" s="56" t="s">
        <v>93</v>
      </c>
      <c r="AB130" s="56"/>
      <c r="AC130" s="56"/>
      <c r="AD130" s="56"/>
      <c r="AE130" s="56"/>
      <c r="AF130" s="56"/>
      <c r="AG130" s="56"/>
      <c r="AH130" s="56"/>
      <c r="AI130" s="56" t="s">
        <v>76</v>
      </c>
      <c r="AJ130" s="56">
        <f>2*AI124</f>
        <v>7.8268445005216701E+21</v>
      </c>
      <c r="AK130" s="56" t="s">
        <v>99</v>
      </c>
      <c r="AL130" s="56"/>
      <c r="AM130" s="56"/>
      <c r="AN130" s="56"/>
      <c r="AO130" s="56"/>
      <c r="AP130" s="56"/>
      <c r="AQ130" s="51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</row>
    <row r="131" spans="11:59" x14ac:dyDescent="0.3"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</row>
    <row r="132" spans="11:59" x14ac:dyDescent="0.3"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</row>
    <row r="134" spans="11:59" x14ac:dyDescent="0.3"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</row>
    <row r="135" spans="11:59" x14ac:dyDescent="0.3"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</row>
    <row r="136" spans="11:59" x14ac:dyDescent="0.3">
      <c r="K136" s="34" t="s">
        <v>77</v>
      </c>
      <c r="L136" s="34" t="s">
        <v>78</v>
      </c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</row>
    <row r="137" spans="11:59" x14ac:dyDescent="0.3">
      <c r="K137" s="34"/>
      <c r="L137" s="34" t="s">
        <v>79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</row>
    <row r="138" spans="11:59" x14ac:dyDescent="0.3">
      <c r="K138" s="34"/>
      <c r="L138" s="34" t="s">
        <v>80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</row>
    <row r="139" spans="11:59" x14ac:dyDescent="0.3"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</row>
  </sheetData>
  <mergeCells count="24">
    <mergeCell ref="D2:G2"/>
    <mergeCell ref="D4:G4"/>
    <mergeCell ref="C74:D74"/>
    <mergeCell ref="E5:G5"/>
    <mergeCell ref="E74:F74"/>
    <mergeCell ref="G74:H74"/>
    <mergeCell ref="I74:J74"/>
    <mergeCell ref="AC95:AE95"/>
    <mergeCell ref="AC97:AE97"/>
    <mergeCell ref="AC99:AE99"/>
    <mergeCell ref="AC101:AE101"/>
    <mergeCell ref="S97:U97"/>
    <mergeCell ref="S95:U95"/>
    <mergeCell ref="S99:U99"/>
    <mergeCell ref="S101:U101"/>
    <mergeCell ref="D75:J75"/>
    <mergeCell ref="C76:J76"/>
    <mergeCell ref="N105:Q105"/>
    <mergeCell ref="K108:M108"/>
    <mergeCell ref="AL95:AN95"/>
    <mergeCell ref="AL97:AN97"/>
    <mergeCell ref="AL99:AN99"/>
    <mergeCell ref="AL101:AN101"/>
    <mergeCell ref="N104:O10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9693-B8E9-417B-86CF-97CFAEB011A3}">
  <dimension ref="B4:AP44"/>
  <sheetViews>
    <sheetView topLeftCell="H1" zoomScale="70" zoomScaleNormal="70" workbookViewId="0">
      <selection activeCell="AO40" sqref="AO40"/>
    </sheetView>
  </sheetViews>
  <sheetFormatPr defaultRowHeight="14.4" x14ac:dyDescent="0.3"/>
  <cols>
    <col min="15" max="15" width="12" bestFit="1" customWidth="1"/>
    <col min="28" max="28" width="13" bestFit="1" customWidth="1"/>
    <col min="39" max="39" width="13" bestFit="1" customWidth="1"/>
  </cols>
  <sheetData>
    <row r="4" spans="2:8" x14ac:dyDescent="0.3">
      <c r="B4" s="17" t="s">
        <v>45</v>
      </c>
      <c r="C4" s="77">
        <v>4.3999999999999997E-2</v>
      </c>
      <c r="D4" s="77"/>
      <c r="E4" s="77"/>
      <c r="F4" s="77"/>
      <c r="G4" s="77"/>
      <c r="H4" s="77"/>
    </row>
    <row r="5" spans="2:8" x14ac:dyDescent="0.3">
      <c r="B5" s="17" t="s">
        <v>24</v>
      </c>
      <c r="C5" s="87">
        <v>15</v>
      </c>
      <c r="D5" s="87"/>
      <c r="E5" s="87">
        <v>10</v>
      </c>
      <c r="F5" s="87"/>
      <c r="G5" s="87">
        <v>5</v>
      </c>
      <c r="H5" s="87"/>
    </row>
    <row r="6" spans="2:8" x14ac:dyDescent="0.3">
      <c r="B6" s="19"/>
      <c r="C6" s="77" t="s">
        <v>47</v>
      </c>
      <c r="D6" s="77"/>
      <c r="E6" s="77" t="s">
        <v>48</v>
      </c>
      <c r="F6" s="77"/>
      <c r="G6" s="77" t="s">
        <v>49</v>
      </c>
      <c r="H6" s="77"/>
    </row>
    <row r="7" spans="2:8" x14ac:dyDescent="0.3">
      <c r="B7" s="17" t="s">
        <v>33</v>
      </c>
      <c r="C7" s="12" t="s">
        <v>51</v>
      </c>
      <c r="D7" s="12" t="s">
        <v>50</v>
      </c>
      <c r="E7" s="12" t="s">
        <v>51</v>
      </c>
      <c r="F7" s="12" t="s">
        <v>50</v>
      </c>
      <c r="G7" s="12" t="s">
        <v>51</v>
      </c>
      <c r="H7" s="12" t="s">
        <v>50</v>
      </c>
    </row>
    <row r="8" spans="2:8" x14ac:dyDescent="0.3">
      <c r="B8" s="11">
        <v>0</v>
      </c>
      <c r="C8" s="9">
        <v>3.7999999999999999E-2</v>
      </c>
      <c r="D8" s="7">
        <f>(0.005*ABS(C8)+0.001)/3^(0.5)</f>
        <v>6.8704682033565473E-4</v>
      </c>
      <c r="E8" s="9">
        <v>8.0000000000000002E-3</v>
      </c>
      <c r="F8" s="7">
        <f>(0.005*ABS(E8)+0.001)/3^(0.5)</f>
        <v>6.0044427995721095E-4</v>
      </c>
      <c r="G8" s="7">
        <v>1.1000000000000001E-3</v>
      </c>
      <c r="H8" s="7">
        <f>(0.005*ABS(G8)+0.001)/3^(0.5)</f>
        <v>5.8052569567016874E-4</v>
      </c>
    </row>
    <row r="9" spans="2:8" x14ac:dyDescent="0.3">
      <c r="B9" s="11">
        <v>10</v>
      </c>
      <c r="C9" s="7">
        <v>-5.1499999999999997E-2</v>
      </c>
      <c r="D9" s="7">
        <f t="shared" ref="D9:D44" si="0">(0.005*ABS(C9)+0.001)/3^(0.5)</f>
        <v>7.2601796350595441E-4</v>
      </c>
      <c r="E9" s="7">
        <v>-3.6600000000000001E-2</v>
      </c>
      <c r="F9" s="7">
        <f t="shared" ref="F9:F44" si="1">(0.005*ABS(E9)+0.001)/3^(0.5)</f>
        <v>6.8300536845132737E-4</v>
      </c>
      <c r="G9" s="7">
        <v>-1.7500000000000002E-2</v>
      </c>
      <c r="H9" s="7">
        <f t="shared" ref="H9:H44" si="2">(0.005*ABS(G9)+0.001)/3^(0.5)</f>
        <v>6.2786841774371805E-4</v>
      </c>
    </row>
    <row r="10" spans="2:8" x14ac:dyDescent="0.3">
      <c r="B10" s="11">
        <v>20</v>
      </c>
      <c r="C10" s="7">
        <v>-0.1026</v>
      </c>
      <c r="D10" s="7">
        <f t="shared" si="0"/>
        <v>8.7353095728390381E-4</v>
      </c>
      <c r="E10" s="7">
        <v>-7.4200000000000002E-2</v>
      </c>
      <c r="F10" s="7">
        <f t="shared" si="1"/>
        <v>7.9154721905897699E-4</v>
      </c>
      <c r="G10" s="7">
        <v>-3.7199999999999997E-2</v>
      </c>
      <c r="H10" s="7">
        <f t="shared" si="2"/>
        <v>6.847374192588962E-4</v>
      </c>
    </row>
    <row r="11" spans="2:8" x14ac:dyDescent="0.3">
      <c r="B11" s="11">
        <v>30</v>
      </c>
      <c r="C11" s="9">
        <v>-0.155</v>
      </c>
      <c r="D11" s="7">
        <f t="shared" si="0"/>
        <v>1.0247967278115859E-3</v>
      </c>
      <c r="E11" s="7">
        <v>-0.1057</v>
      </c>
      <c r="F11" s="7">
        <f t="shared" si="1"/>
        <v>8.8247988645634293E-4</v>
      </c>
      <c r="G11" s="7">
        <v>-5.4199999999999998E-2</v>
      </c>
      <c r="H11" s="7">
        <f t="shared" si="2"/>
        <v>7.3381219214001443E-4</v>
      </c>
    </row>
    <row r="12" spans="2:8" x14ac:dyDescent="0.3">
      <c r="B12" s="11">
        <v>40</v>
      </c>
      <c r="C12" s="7">
        <v>-0.2011</v>
      </c>
      <c r="D12" s="7">
        <f t="shared" si="0"/>
        <v>1.1578759648597948E-3</v>
      </c>
      <c r="E12" s="7">
        <v>-0.1363</v>
      </c>
      <c r="F12" s="7">
        <f t="shared" si="1"/>
        <v>9.7081447764235586E-4</v>
      </c>
      <c r="G12" s="9">
        <v>-6.9000000000000006E-2</v>
      </c>
      <c r="H12" s="7">
        <f t="shared" si="2"/>
        <v>7.7653611206004677E-4</v>
      </c>
    </row>
    <row r="13" spans="2:8" x14ac:dyDescent="0.3">
      <c r="B13" s="11">
        <v>50</v>
      </c>
      <c r="C13" s="7">
        <v>-0.2402</v>
      </c>
      <c r="D13" s="7">
        <f t="shared" si="0"/>
        <v>1.2707479424863663E-3</v>
      </c>
      <c r="E13" s="7">
        <v>-0.16209999999999999</v>
      </c>
      <c r="F13" s="7">
        <f t="shared" si="1"/>
        <v>1.0452926623678175E-3</v>
      </c>
      <c r="G13" s="9">
        <v>-8.4000000000000005E-2</v>
      </c>
      <c r="H13" s="7">
        <f t="shared" si="2"/>
        <v>8.1983738224926861E-4</v>
      </c>
    </row>
    <row r="14" spans="2:8" x14ac:dyDescent="0.3">
      <c r="B14" s="11">
        <v>60</v>
      </c>
      <c r="C14" s="7">
        <v>-0.28520000000000001</v>
      </c>
      <c r="D14" s="7">
        <f t="shared" si="0"/>
        <v>1.4006517530540323E-3</v>
      </c>
      <c r="E14" s="7">
        <v>-0.18479999999999999</v>
      </c>
      <c r="F14" s="7">
        <f t="shared" si="1"/>
        <v>1.1108219179208399E-3</v>
      </c>
      <c r="G14" s="7">
        <v>-9.5699999999999993E-2</v>
      </c>
      <c r="H14" s="7">
        <f t="shared" si="2"/>
        <v>8.5361237299686171E-4</v>
      </c>
    </row>
    <row r="15" spans="2:8" x14ac:dyDescent="0.3">
      <c r="B15" s="11">
        <v>70</v>
      </c>
      <c r="C15" s="7">
        <v>-0.30890000000000001</v>
      </c>
      <c r="D15" s="7">
        <f t="shared" si="0"/>
        <v>1.4690677599530028E-3</v>
      </c>
      <c r="E15" s="7">
        <v>-0.20080000000000001</v>
      </c>
      <c r="F15" s="7">
        <f t="shared" si="1"/>
        <v>1.1570099394560102E-3</v>
      </c>
      <c r="G15" s="9">
        <v>-0.104</v>
      </c>
      <c r="H15" s="7">
        <f t="shared" si="2"/>
        <v>8.7757240916823127E-4</v>
      </c>
    </row>
    <row r="16" spans="2:8" x14ac:dyDescent="0.3">
      <c r="B16" s="11">
        <v>80</v>
      </c>
      <c r="C16" s="9">
        <v>-0.32500000000000001</v>
      </c>
      <c r="D16" s="7">
        <f t="shared" si="0"/>
        <v>1.5155444566227678E-3</v>
      </c>
      <c r="E16" s="7">
        <v>-0.21190000000000001</v>
      </c>
      <c r="F16" s="7">
        <f t="shared" si="1"/>
        <v>1.1890528793960344E-3</v>
      </c>
      <c r="G16" s="7">
        <v>-0.1069</v>
      </c>
      <c r="H16" s="7">
        <f t="shared" si="2"/>
        <v>8.8594398807148079E-4</v>
      </c>
    </row>
    <row r="17" spans="2:42" x14ac:dyDescent="0.3">
      <c r="B17" s="11">
        <v>90</v>
      </c>
      <c r="C17" s="7">
        <v>-0.33329999999999999</v>
      </c>
      <c r="D17" s="7">
        <f t="shared" si="0"/>
        <v>1.5395044927941372E-3</v>
      </c>
      <c r="E17" s="7">
        <v>-0.21709999999999999</v>
      </c>
      <c r="F17" s="7">
        <f t="shared" si="1"/>
        <v>1.2040639863949644E-3</v>
      </c>
      <c r="G17" s="7">
        <v>-0.1124</v>
      </c>
      <c r="H17" s="7">
        <f t="shared" si="2"/>
        <v>9.0182112047419553E-4</v>
      </c>
    </row>
    <row r="18" spans="2:42" x14ac:dyDescent="0.3">
      <c r="B18" s="11">
        <v>100</v>
      </c>
      <c r="C18" s="7">
        <v>-0.33229999999999998</v>
      </c>
      <c r="D18" s="7">
        <f t="shared" si="0"/>
        <v>1.536617741448189E-3</v>
      </c>
      <c r="E18" s="7">
        <v>-0.21640000000000001</v>
      </c>
      <c r="F18" s="7">
        <f t="shared" si="1"/>
        <v>1.2020432604528009E-3</v>
      </c>
      <c r="G18" s="7">
        <v>-0.11219999999999999</v>
      </c>
      <c r="H18" s="7">
        <f t="shared" si="2"/>
        <v>9.0124377020500582E-4</v>
      </c>
    </row>
    <row r="19" spans="2:42" x14ac:dyDescent="0.3">
      <c r="B19" s="11">
        <v>110</v>
      </c>
      <c r="C19" s="7">
        <v>-0.32269999999999999</v>
      </c>
      <c r="D19" s="7">
        <f t="shared" si="0"/>
        <v>1.508904928527087E-3</v>
      </c>
      <c r="E19" s="7">
        <v>-0.2099</v>
      </c>
      <c r="F19" s="7">
        <f t="shared" si="1"/>
        <v>1.1832793767041381E-3</v>
      </c>
      <c r="G19" s="7">
        <v>-0.1089</v>
      </c>
      <c r="H19" s="7">
        <f t="shared" si="2"/>
        <v>8.9171749076337697E-4</v>
      </c>
    </row>
    <row r="20" spans="2:42" x14ac:dyDescent="0.3">
      <c r="B20" s="11">
        <v>120</v>
      </c>
      <c r="C20" s="9">
        <v>-0.30299999999999999</v>
      </c>
      <c r="D20" s="7">
        <f t="shared" si="0"/>
        <v>1.4520359270119088E-3</v>
      </c>
      <c r="E20" s="7">
        <v>-0.19789999999999999</v>
      </c>
      <c r="F20" s="7">
        <f t="shared" si="1"/>
        <v>1.1486383605527604E-3</v>
      </c>
      <c r="G20" s="7">
        <v>-0.1028</v>
      </c>
      <c r="H20" s="7">
        <f t="shared" si="2"/>
        <v>8.7410830755309352E-4</v>
      </c>
    </row>
    <row r="21" spans="2:42" x14ac:dyDescent="0.3">
      <c r="B21" s="11">
        <v>130</v>
      </c>
      <c r="C21" s="7">
        <v>-0.2757</v>
      </c>
      <c r="D21" s="7">
        <f t="shared" si="0"/>
        <v>1.3732276152675249E-3</v>
      </c>
      <c r="E21" s="7">
        <v>-0.18049999999999999</v>
      </c>
      <c r="F21" s="7">
        <f t="shared" si="1"/>
        <v>1.0984088871332631E-3</v>
      </c>
      <c r="G21" s="7">
        <v>-9.35E-2</v>
      </c>
      <c r="H21" s="7">
        <f t="shared" si="2"/>
        <v>8.4726152003577592E-4</v>
      </c>
    </row>
    <row r="22" spans="2:42" x14ac:dyDescent="0.3">
      <c r="B22" s="11">
        <v>140</v>
      </c>
      <c r="C22" s="7">
        <v>-0.24160000000000001</v>
      </c>
      <c r="D22" s="7">
        <f t="shared" si="0"/>
        <v>1.2747893943706938E-3</v>
      </c>
      <c r="E22" s="7">
        <v>-0.15759999999999999</v>
      </c>
      <c r="F22" s="7">
        <f t="shared" si="1"/>
        <v>1.032302281311051E-3</v>
      </c>
      <c r="G22" s="7">
        <v>-8.14E-2</v>
      </c>
      <c r="H22" s="7">
        <f t="shared" si="2"/>
        <v>8.123318287498035E-4</v>
      </c>
    </row>
    <row r="23" spans="2:42" x14ac:dyDescent="0.3">
      <c r="B23" s="11">
        <v>150</v>
      </c>
      <c r="C23" s="7">
        <v>-0.19359999999999999</v>
      </c>
      <c r="D23" s="7">
        <f t="shared" si="0"/>
        <v>1.1362253297651837E-3</v>
      </c>
      <c r="E23" s="7">
        <v>-0.12909999999999999</v>
      </c>
      <c r="F23" s="7">
        <f t="shared" si="1"/>
        <v>9.5002986795152925E-4</v>
      </c>
      <c r="G23" s="7">
        <v>-6.7500000000000004E-2</v>
      </c>
      <c r="H23" s="7">
        <f t="shared" si="2"/>
        <v>7.7220598504112461E-4</v>
      </c>
    </row>
    <row r="24" spans="2:42" x14ac:dyDescent="0.3">
      <c r="B24" s="11">
        <v>160</v>
      </c>
      <c r="C24" s="7">
        <v>-0.14549999999999999</v>
      </c>
      <c r="D24" s="7">
        <f t="shared" si="0"/>
        <v>9.9737259002507855E-4</v>
      </c>
      <c r="E24" s="7">
        <v>-9.7100000000000006E-2</v>
      </c>
      <c r="F24" s="7">
        <f t="shared" si="1"/>
        <v>8.5765382488118917E-4</v>
      </c>
      <c r="G24" s="7">
        <v>-5.0700000000000002E-2</v>
      </c>
      <c r="H24" s="7">
        <f t="shared" si="2"/>
        <v>7.2370856242919598E-4</v>
      </c>
    </row>
    <row r="25" spans="2:42" x14ac:dyDescent="0.3">
      <c r="B25" s="11">
        <v>170</v>
      </c>
      <c r="C25" s="7">
        <v>-9.2399999999999996E-2</v>
      </c>
      <c r="D25" s="7">
        <f t="shared" si="0"/>
        <v>8.4408609355523286E-4</v>
      </c>
      <c r="E25" s="7">
        <v>-6.2399999999999997E-2</v>
      </c>
      <c r="F25" s="7">
        <f t="shared" si="1"/>
        <v>7.5748355317678908E-4</v>
      </c>
      <c r="G25" s="7">
        <v>-3.2599999999999997E-2</v>
      </c>
      <c r="H25" s="7">
        <f t="shared" si="2"/>
        <v>6.714583630675348E-4</v>
      </c>
    </row>
    <row r="26" spans="2:42" x14ac:dyDescent="0.3">
      <c r="B26" s="11">
        <v>180</v>
      </c>
      <c r="C26" s="7">
        <v>-3.9300000000000002E-2</v>
      </c>
      <c r="D26" s="7">
        <f t="shared" si="0"/>
        <v>6.9079959708538729E-4</v>
      </c>
      <c r="E26" s="7">
        <v>-2.76E-2</v>
      </c>
      <c r="F26" s="7">
        <f t="shared" si="1"/>
        <v>6.5702460633779419E-4</v>
      </c>
      <c r="G26" s="7">
        <v>-1.4800000000000001E-2</v>
      </c>
      <c r="H26" s="7">
        <f t="shared" si="2"/>
        <v>6.2007418910965814E-4</v>
      </c>
    </row>
    <row r="27" spans="2:42" x14ac:dyDescent="0.3">
      <c r="B27" s="11">
        <v>190</v>
      </c>
      <c r="C27" s="7">
        <v>1.3599999999999999E-2</v>
      </c>
      <c r="D27" s="7">
        <f t="shared" si="0"/>
        <v>6.1661008749452028E-4</v>
      </c>
      <c r="E27" s="7">
        <v>1.67E-2</v>
      </c>
      <c r="F27" s="7">
        <f t="shared" si="1"/>
        <v>6.2555901666695962E-4</v>
      </c>
      <c r="G27" s="9">
        <v>4.0000000000000001E-3</v>
      </c>
      <c r="H27" s="7">
        <f t="shared" si="2"/>
        <v>5.8889727457341837E-4</v>
      </c>
    </row>
    <row r="28" spans="2:42" x14ac:dyDescent="0.3">
      <c r="B28" s="11">
        <v>200</v>
      </c>
      <c r="C28" s="7">
        <v>7.0099999999999996E-2</v>
      </c>
      <c r="D28" s="7">
        <f t="shared" si="0"/>
        <v>7.7971153854058972E-4</v>
      </c>
      <c r="E28" s="7">
        <v>4.36E-2</v>
      </c>
      <c r="F28" s="7">
        <f t="shared" si="1"/>
        <v>7.0321262787296428E-4</v>
      </c>
      <c r="G28" s="7">
        <v>2.2100000000000002E-2</v>
      </c>
      <c r="H28" s="7">
        <f t="shared" si="2"/>
        <v>6.4114747393507945E-4</v>
      </c>
    </row>
    <row r="29" spans="2:42" x14ac:dyDescent="0.3">
      <c r="B29" s="11">
        <v>210</v>
      </c>
      <c r="C29" s="7">
        <v>0.1196</v>
      </c>
      <c r="D29" s="7">
        <f t="shared" si="0"/>
        <v>9.2260573016502204E-4</v>
      </c>
      <c r="E29" s="7">
        <v>7.8299999999999995E-2</v>
      </c>
      <c r="F29" s="7">
        <f t="shared" si="1"/>
        <v>8.0338289957736426E-4</v>
      </c>
      <c r="G29" s="7">
        <v>3.9800000000000002E-2</v>
      </c>
      <c r="H29" s="7">
        <f t="shared" si="2"/>
        <v>6.9224297275836131E-4</v>
      </c>
    </row>
    <row r="30" spans="2:42" x14ac:dyDescent="0.3">
      <c r="B30" s="11">
        <v>220</v>
      </c>
      <c r="C30" s="7">
        <v>0.1651</v>
      </c>
      <c r="D30" s="7">
        <f t="shared" si="0"/>
        <v>1.0539529164056618E-3</v>
      </c>
      <c r="E30" s="7">
        <v>0.1099</v>
      </c>
      <c r="F30" s="7">
        <f t="shared" si="1"/>
        <v>8.9460424210932523E-4</v>
      </c>
      <c r="G30" s="7">
        <v>5.8099999999999999E-2</v>
      </c>
      <c r="H30" s="7">
        <f t="shared" si="2"/>
        <v>7.4507052238921209E-4</v>
      </c>
    </row>
    <row r="31" spans="2:42" x14ac:dyDescent="0.3">
      <c r="B31" s="11">
        <v>230</v>
      </c>
      <c r="C31" s="9">
        <v>0.21</v>
      </c>
      <c r="D31" s="7">
        <f t="shared" si="0"/>
        <v>1.1835680518387328E-3</v>
      </c>
      <c r="E31" s="7">
        <v>0.13780000000000001</v>
      </c>
      <c r="F31" s="7">
        <f t="shared" si="1"/>
        <v>9.7514460466127792E-4</v>
      </c>
      <c r="G31" s="7">
        <v>7.1300000000000002E-2</v>
      </c>
      <c r="H31" s="7">
        <f t="shared" si="2"/>
        <v>7.8317564015572747E-4</v>
      </c>
      <c r="L31" s="84" t="s">
        <v>59</v>
      </c>
      <c r="M31" s="84"/>
      <c r="N31" s="84"/>
      <c r="O31" s="7">
        <f>(C30-C22)/(B30-B22)</f>
        <v>5.0837499999999997E-3</v>
      </c>
      <c r="Y31" s="86" t="s">
        <v>53</v>
      </c>
      <c r="Z31" s="86"/>
      <c r="AA31" s="86"/>
      <c r="AB31">
        <f>(E30-E22)/80</f>
        <v>3.3437499999999995E-3</v>
      </c>
      <c r="AJ31" s="86" t="s">
        <v>53</v>
      </c>
      <c r="AK31" s="86"/>
      <c r="AL31" s="86"/>
      <c r="AM31">
        <f>(G30-G22)/80</f>
        <v>1.7437500000000001E-3</v>
      </c>
    </row>
    <row r="32" spans="2:42" x14ac:dyDescent="0.3">
      <c r="B32" s="11">
        <v>240</v>
      </c>
      <c r="C32" s="7">
        <v>0.2467</v>
      </c>
      <c r="D32" s="7">
        <f t="shared" si="0"/>
        <v>1.2895118262350293E-3</v>
      </c>
      <c r="E32" s="7">
        <v>0.15939999999999999</v>
      </c>
      <c r="F32" s="7">
        <f t="shared" si="1"/>
        <v>1.0374984337337577E-3</v>
      </c>
      <c r="G32" s="7">
        <v>8.2900000000000001E-2</v>
      </c>
      <c r="H32" s="7">
        <f t="shared" si="2"/>
        <v>8.1666195576872566E-4</v>
      </c>
      <c r="L32" s="84" t="s">
        <v>58</v>
      </c>
      <c r="M32" s="84"/>
      <c r="N32" s="84"/>
      <c r="O32" s="7">
        <f>(D30^2/O35^2+D22^2/O35^2+((C30-C22)/O35^2)^2*O36^2)^(0.5)</f>
        <v>5.5853576418148173E-5</v>
      </c>
      <c r="Q32" s="7" cm="1">
        <f t="array" ref="Q32:R36">LINEST(C22:C30,B22:B30,TRUE,TRUE)</f>
        <v>5.1726666666666674E-3</v>
      </c>
      <c r="R32" s="7">
        <v>-0.9693022222222224</v>
      </c>
      <c r="Y32" s="84" t="s">
        <v>54</v>
      </c>
      <c r="Z32" s="84"/>
      <c r="AA32" s="84"/>
      <c r="AB32" s="7">
        <f>(F30^2/O35^2+F22^2/O35^2+((E30-E22)/O35^2)^2*O36^2)^(0.5)</f>
        <v>3.8160313136790641E-5</v>
      </c>
      <c r="AD32" s="7" cm="1">
        <f t="array" ref="AD32:AE36">LINEST(E22:E30,B22:B30,TRUE,TRUE)</f>
        <v>3.4211666666666661E-3</v>
      </c>
      <c r="AE32" s="7">
        <v>-0.64084333333333321</v>
      </c>
      <c r="AJ32" s="84" t="s">
        <v>54</v>
      </c>
      <c r="AK32" s="84"/>
      <c r="AL32" s="84"/>
      <c r="AM32" s="7">
        <f>(H30^2/O35^2+H22^2/O35^2+((G30-G22)/O35^2)^2*O36^2)^(0.5)</f>
        <v>2.2507368440459304E-5</v>
      </c>
      <c r="AO32" s="7" cm="1">
        <f t="array" ref="AO32:AP36">LINEST(G22:G30,B22:B30,TRUE,TRUE)</f>
        <v>1.7701666666666668E-3</v>
      </c>
      <c r="AP32" s="7">
        <v>-0.33229666666666668</v>
      </c>
    </row>
    <row r="33" spans="2:42" x14ac:dyDescent="0.3">
      <c r="B33" s="11">
        <v>250</v>
      </c>
      <c r="C33" s="7">
        <v>0.27429999999999999</v>
      </c>
      <c r="D33" s="7">
        <f t="shared" si="0"/>
        <v>1.3691861633831975E-3</v>
      </c>
      <c r="E33" s="7">
        <v>0.17760000000000001</v>
      </c>
      <c r="F33" s="7">
        <f t="shared" si="1"/>
        <v>1.0900373082300134E-3</v>
      </c>
      <c r="G33" s="7">
        <v>9.1600000000000001E-2</v>
      </c>
      <c r="H33" s="7">
        <f t="shared" si="2"/>
        <v>8.4177669247847444E-4</v>
      </c>
      <c r="Q33" s="7">
        <v>4.3048391621104989E-5</v>
      </c>
      <c r="R33" s="7">
        <v>7.8280238225551108E-3</v>
      </c>
      <c r="AD33" s="7">
        <v>5.1397571124133157E-5</v>
      </c>
      <c r="AE33" s="7">
        <v>9.346258850329088E-3</v>
      </c>
      <c r="AO33" s="7">
        <v>1.9892468862871615E-5</v>
      </c>
      <c r="AP33" s="7">
        <v>3.6172947300463559E-3</v>
      </c>
    </row>
    <row r="34" spans="2:42" x14ac:dyDescent="0.3">
      <c r="B34" s="11">
        <v>260</v>
      </c>
      <c r="C34" s="7">
        <v>0.29220000000000002</v>
      </c>
      <c r="D34" s="7">
        <f t="shared" si="0"/>
        <v>1.4208590124756692E-3</v>
      </c>
      <c r="E34" s="7">
        <v>0.1893</v>
      </c>
      <c r="F34" s="7">
        <f t="shared" si="1"/>
        <v>1.1238122989776066E-3</v>
      </c>
      <c r="G34" s="7">
        <v>9.7600000000000006E-2</v>
      </c>
      <c r="H34" s="7">
        <f t="shared" si="2"/>
        <v>8.590972005541633E-4</v>
      </c>
      <c r="L34" s="85" t="s">
        <v>57</v>
      </c>
      <c r="M34" s="85"/>
      <c r="N34" s="85"/>
      <c r="O34">
        <f>1/3^(0.5)</f>
        <v>0.57735026918962584</v>
      </c>
      <c r="Q34" s="7">
        <v>0.99951541227437213</v>
      </c>
      <c r="R34" s="7">
        <v>3.33451407659109E-3</v>
      </c>
      <c r="AD34" s="7">
        <v>0.99842257340018847</v>
      </c>
      <c r="AE34" s="7">
        <v>3.9812387399855787E-3</v>
      </c>
      <c r="AO34" s="7">
        <v>0.99911679126659714</v>
      </c>
      <c r="AP34" s="7">
        <v>1.5408640124170269E-3</v>
      </c>
    </row>
    <row r="35" spans="2:42" x14ac:dyDescent="0.3">
      <c r="B35" s="11">
        <v>270</v>
      </c>
      <c r="C35" s="7">
        <v>0.30049999999999999</v>
      </c>
      <c r="D35" s="7">
        <f t="shared" si="0"/>
        <v>1.4448190486470386E-3</v>
      </c>
      <c r="E35" s="7">
        <v>0.1951</v>
      </c>
      <c r="F35" s="7">
        <f t="shared" si="1"/>
        <v>1.1405554567841057E-3</v>
      </c>
      <c r="G35" s="7">
        <v>0.1009</v>
      </c>
      <c r="H35" s="7">
        <f t="shared" si="2"/>
        <v>8.6862347999579214E-4</v>
      </c>
      <c r="L35" s="85" t="s">
        <v>55</v>
      </c>
      <c r="M35" s="85"/>
      <c r="N35" s="85"/>
      <c r="O35">
        <v>80</v>
      </c>
      <c r="Q35" s="7">
        <v>14438.268895182839</v>
      </c>
      <c r="R35" s="7">
        <v>7</v>
      </c>
      <c r="AD35" s="7">
        <v>4430.6074302512507</v>
      </c>
      <c r="AE35" s="7">
        <v>7</v>
      </c>
      <c r="AO35" s="7">
        <v>7918.6462660074976</v>
      </c>
      <c r="AP35" s="7">
        <v>7</v>
      </c>
    </row>
    <row r="36" spans="2:42" x14ac:dyDescent="0.3">
      <c r="B36" s="11">
        <v>280</v>
      </c>
      <c r="C36" s="7">
        <v>0.2999</v>
      </c>
      <c r="D36" s="7">
        <f t="shared" si="0"/>
        <v>1.4430869978394696E-3</v>
      </c>
      <c r="E36" s="7">
        <v>0.19470000000000001</v>
      </c>
      <c r="F36" s="7">
        <f t="shared" si="1"/>
        <v>1.1394007562457265E-3</v>
      </c>
      <c r="G36" s="7">
        <v>0.1007</v>
      </c>
      <c r="H36" s="7">
        <f t="shared" si="2"/>
        <v>8.6804612972660243E-4</v>
      </c>
      <c r="L36" s="85" t="s">
        <v>56</v>
      </c>
      <c r="M36" s="85"/>
      <c r="N36" s="85"/>
      <c r="O36">
        <f>(O34^2+O34^2)^(0.5)</f>
        <v>0.81649658092772615</v>
      </c>
      <c r="Q36" s="7">
        <v>0.16053888266666669</v>
      </c>
      <c r="R36" s="7">
        <v>7.7832888888888923E-5</v>
      </c>
      <c r="AD36" s="7">
        <v>7.0226288166666678E-2</v>
      </c>
      <c r="AE36" s="7">
        <v>1.1095183333333371E-4</v>
      </c>
      <c r="AO36" s="7">
        <v>1.8800940166666669E-2</v>
      </c>
      <c r="AP36" s="7">
        <v>1.6619833333333299E-5</v>
      </c>
    </row>
    <row r="37" spans="2:42" x14ac:dyDescent="0.3">
      <c r="B37" s="11">
        <v>290</v>
      </c>
      <c r="C37" s="7">
        <v>0.2898</v>
      </c>
      <c r="D37" s="7">
        <f t="shared" si="0"/>
        <v>1.4139308092453934E-3</v>
      </c>
      <c r="E37" s="7">
        <v>0.18809999999999999</v>
      </c>
      <c r="F37" s="7">
        <f t="shared" si="1"/>
        <v>1.1203481973624688E-3</v>
      </c>
      <c r="G37" s="7">
        <v>9.7100000000000006E-2</v>
      </c>
      <c r="H37" s="7">
        <f t="shared" si="2"/>
        <v>8.5765382488118917E-4</v>
      </c>
      <c r="L37" s="85" t="s">
        <v>67</v>
      </c>
      <c r="M37" s="85"/>
      <c r="N37" s="85"/>
      <c r="O37">
        <f>(D22^2+D30^2)^(0.5)</f>
        <v>1.6540570576615548E-3</v>
      </c>
    </row>
    <row r="38" spans="2:42" x14ac:dyDescent="0.3">
      <c r="B38" s="11">
        <v>300</v>
      </c>
      <c r="C38" s="7">
        <v>0.2727</v>
      </c>
      <c r="D38" s="7">
        <f t="shared" si="0"/>
        <v>1.3645673612296806E-3</v>
      </c>
      <c r="E38" s="10">
        <v>0.17599999999999999</v>
      </c>
      <c r="F38" s="7">
        <f t="shared" si="1"/>
        <v>1.0854185060764966E-3</v>
      </c>
      <c r="G38" s="7">
        <v>9.0899999999999995E-2</v>
      </c>
      <c r="H38" s="7">
        <f t="shared" si="2"/>
        <v>8.3975596653631081E-4</v>
      </c>
    </row>
    <row r="39" spans="2:42" x14ac:dyDescent="0.3">
      <c r="B39" s="11">
        <v>310</v>
      </c>
      <c r="C39" s="7">
        <v>0.24349999999999999</v>
      </c>
      <c r="D39" s="7">
        <f t="shared" si="0"/>
        <v>1.2802742219279952E-3</v>
      </c>
      <c r="E39" s="7">
        <v>0.1588</v>
      </c>
      <c r="F39" s="7">
        <f t="shared" si="1"/>
        <v>1.0357663829261886E-3</v>
      </c>
      <c r="G39" s="7">
        <v>8.1900000000000001E-2</v>
      </c>
      <c r="H39" s="7">
        <f t="shared" si="2"/>
        <v>8.1377520442277762E-4</v>
      </c>
      <c r="S39">
        <v>17</v>
      </c>
    </row>
    <row r="40" spans="2:42" x14ac:dyDescent="0.3">
      <c r="B40" s="11">
        <v>320</v>
      </c>
      <c r="C40" s="7">
        <v>0.2074</v>
      </c>
      <c r="D40" s="7">
        <f t="shared" si="0"/>
        <v>1.1760624983392677E-3</v>
      </c>
      <c r="E40" s="7">
        <v>0.13469999999999999</v>
      </c>
      <c r="F40" s="7">
        <f t="shared" si="1"/>
        <v>9.6619567548883879E-4</v>
      </c>
      <c r="G40" s="7">
        <v>6.93E-2</v>
      </c>
      <c r="H40" s="7">
        <f t="shared" si="2"/>
        <v>7.7740213746383118E-4</v>
      </c>
      <c r="O40">
        <f>(O37^2/O35^2+(C30-C22)^2/O35^4*O36^2)^(0.5)</f>
        <v>5.5853576418148166E-5</v>
      </c>
      <c r="Q40" s="7">
        <f>(1/Q32^2*R33^2+(R32/Q32^2)^2*Q33^2)^(1/2)</f>
        <v>2.1730784697241621</v>
      </c>
      <c r="R40" s="7">
        <f t="shared" ref="R40:AO40" si="3">(1/R32^2*S33^2+(S32/R32^2)^2*R33^2)^(1/2)</f>
        <v>0</v>
      </c>
      <c r="S40" s="7" t="e">
        <f t="shared" si="3"/>
        <v>#DIV/0!</v>
      </c>
      <c r="T40" s="7" t="e">
        <f t="shared" si="3"/>
        <v>#DIV/0!</v>
      </c>
      <c r="U40" s="7" t="e">
        <f t="shared" si="3"/>
        <v>#DIV/0!</v>
      </c>
      <c r="V40" s="7" t="e">
        <f t="shared" si="3"/>
        <v>#DIV/0!</v>
      </c>
      <c r="W40" s="7" t="e">
        <f t="shared" si="3"/>
        <v>#DIV/0!</v>
      </c>
      <c r="X40" s="7" t="e">
        <f t="shared" si="3"/>
        <v>#DIV/0!</v>
      </c>
      <c r="Y40" s="7" t="e">
        <f t="shared" si="3"/>
        <v>#VALUE!</v>
      </c>
      <c r="Z40" s="7" t="e">
        <f t="shared" si="3"/>
        <v>#DIV/0!</v>
      </c>
      <c r="AA40" s="7" t="e">
        <f t="shared" si="3"/>
        <v>#DIV/0!</v>
      </c>
      <c r="AB40" s="7">
        <f t="shared" si="3"/>
        <v>0</v>
      </c>
      <c r="AC40" s="7" t="e">
        <f t="shared" si="3"/>
        <v>#DIV/0!</v>
      </c>
      <c r="AD40" s="7">
        <f t="shared" si="3"/>
        <v>3.9220696731134828</v>
      </c>
      <c r="AE40" s="7">
        <f t="shared" si="3"/>
        <v>0</v>
      </c>
      <c r="AF40" s="7" t="e">
        <f t="shared" si="3"/>
        <v>#DIV/0!</v>
      </c>
      <c r="AG40" s="7" t="e">
        <f t="shared" si="3"/>
        <v>#DIV/0!</v>
      </c>
      <c r="AH40" s="7" t="e">
        <f t="shared" si="3"/>
        <v>#DIV/0!</v>
      </c>
      <c r="AI40" s="7" t="e">
        <f t="shared" si="3"/>
        <v>#DIV/0!</v>
      </c>
      <c r="AJ40" s="7" t="e">
        <f t="shared" si="3"/>
        <v>#VALUE!</v>
      </c>
      <c r="AK40" s="7" t="e">
        <f t="shared" si="3"/>
        <v>#DIV/0!</v>
      </c>
      <c r="AL40" s="7" t="e">
        <f t="shared" si="3"/>
        <v>#DIV/0!</v>
      </c>
      <c r="AM40" s="7">
        <f t="shared" si="3"/>
        <v>0</v>
      </c>
      <c r="AN40" s="7" t="e">
        <f t="shared" si="3"/>
        <v>#DIV/0!</v>
      </c>
      <c r="AO40" s="7">
        <f t="shared" si="3"/>
        <v>2.9369930280366812</v>
      </c>
    </row>
    <row r="41" spans="2:42" x14ac:dyDescent="0.3">
      <c r="B41" s="11">
        <v>330</v>
      </c>
      <c r="C41" s="7">
        <v>0.16839999999999999</v>
      </c>
      <c r="D41" s="7">
        <f t="shared" si="0"/>
        <v>1.0634791958472906E-3</v>
      </c>
      <c r="E41" s="7">
        <v>0.10979999999999999</v>
      </c>
      <c r="F41" s="7">
        <f t="shared" si="1"/>
        <v>8.9431556697473042E-4</v>
      </c>
      <c r="G41" s="7">
        <v>5.5899999999999998E-2</v>
      </c>
      <c r="H41" s="7">
        <f t="shared" si="2"/>
        <v>7.387196694281262E-4</v>
      </c>
    </row>
    <row r="42" spans="2:42" x14ac:dyDescent="0.3">
      <c r="B42" s="11">
        <v>340</v>
      </c>
      <c r="C42" s="7">
        <v>0.11550000000000001</v>
      </c>
      <c r="D42" s="7">
        <f t="shared" si="0"/>
        <v>9.1077004964663466E-4</v>
      </c>
      <c r="E42" s="7">
        <v>7.6499999999999999E-2</v>
      </c>
      <c r="F42" s="7">
        <f t="shared" si="1"/>
        <v>7.9818674715465769E-4</v>
      </c>
      <c r="G42" s="7">
        <v>3.9399999999999998E-2</v>
      </c>
      <c r="H42" s="7">
        <f t="shared" si="2"/>
        <v>6.9108827221998209E-4</v>
      </c>
    </row>
    <row r="43" spans="2:42" x14ac:dyDescent="0.3">
      <c r="B43" s="11">
        <v>350</v>
      </c>
      <c r="C43" s="7">
        <v>6.0900000000000003E-2</v>
      </c>
      <c r="D43" s="7">
        <f t="shared" si="0"/>
        <v>7.5315342615786692E-4</v>
      </c>
      <c r="E43" s="7">
        <v>4.24E-2</v>
      </c>
      <c r="F43" s="7">
        <f t="shared" si="1"/>
        <v>6.9974852625782642E-4</v>
      </c>
      <c r="G43" s="7">
        <v>2.1600000000000001E-2</v>
      </c>
      <c r="H43" s="7">
        <f t="shared" si="2"/>
        <v>6.3970409826210543E-4</v>
      </c>
    </row>
    <row r="44" spans="2:42" x14ac:dyDescent="0.3">
      <c r="B44" s="11">
        <v>360</v>
      </c>
      <c r="C44" s="7">
        <v>1.6000000000000001E-3</v>
      </c>
      <c r="D44" s="7">
        <f t="shared" si="0"/>
        <v>5.8196907134314276E-4</v>
      </c>
      <c r="E44" s="7">
        <v>2.8E-3</v>
      </c>
      <c r="F44" s="7">
        <f t="shared" si="1"/>
        <v>5.8543317295828051E-4</v>
      </c>
      <c r="G44" s="7">
        <v>1.1000000000000001E-3</v>
      </c>
      <c r="H44" s="7">
        <f t="shared" si="2"/>
        <v>5.8052569567016874E-4</v>
      </c>
    </row>
  </sheetData>
  <mergeCells count="17">
    <mergeCell ref="AJ31:AL31"/>
    <mergeCell ref="AJ32:AL32"/>
    <mergeCell ref="C5:D5"/>
    <mergeCell ref="G5:H5"/>
    <mergeCell ref="E5:F5"/>
    <mergeCell ref="C6:D6"/>
    <mergeCell ref="E6:F6"/>
    <mergeCell ref="G6:H6"/>
    <mergeCell ref="L32:N32"/>
    <mergeCell ref="Y32:AA32"/>
    <mergeCell ref="L37:N37"/>
    <mergeCell ref="C4:H4"/>
    <mergeCell ref="L31:N31"/>
    <mergeCell ref="Y31:AA31"/>
    <mergeCell ref="L34:N34"/>
    <mergeCell ref="L35:N35"/>
    <mergeCell ref="L36:N3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009F-2A92-4395-BFB5-F3D01E3A1679}">
  <dimension ref="B1:X86"/>
  <sheetViews>
    <sheetView tabSelected="1" topLeftCell="A61" zoomScale="85" zoomScaleNormal="85" workbookViewId="0">
      <selection activeCell="X82" sqref="X82"/>
    </sheetView>
  </sheetViews>
  <sheetFormatPr defaultRowHeight="14.4" x14ac:dyDescent="0.3"/>
  <cols>
    <col min="2" max="2" width="9.6640625" bestFit="1" customWidth="1"/>
    <col min="3" max="3" width="8.33203125" bestFit="1" customWidth="1"/>
    <col min="4" max="4" width="9.109375" bestFit="1" customWidth="1"/>
    <col min="5" max="5" width="8.33203125" bestFit="1" customWidth="1"/>
    <col min="6" max="6" width="9.109375" bestFit="1" customWidth="1"/>
    <col min="7" max="7" width="8.33203125" bestFit="1" customWidth="1"/>
    <col min="8" max="8" width="9.109375" bestFit="1" customWidth="1"/>
    <col min="10" max="10" width="10.33203125" customWidth="1"/>
    <col min="11" max="11" width="15.6640625" customWidth="1"/>
    <col min="13" max="13" width="9.44140625" bestFit="1" customWidth="1"/>
    <col min="18" max="18" width="12.5546875" customWidth="1"/>
    <col min="21" max="21" width="12" customWidth="1"/>
    <col min="24" max="24" width="11.6640625" customWidth="1"/>
  </cols>
  <sheetData>
    <row r="1" spans="2:24" x14ac:dyDescent="0.3">
      <c r="C1" s="88" t="s">
        <v>52</v>
      </c>
      <c r="D1" s="88"/>
      <c r="E1" s="88"/>
      <c r="F1" s="88"/>
      <c r="G1" s="88"/>
      <c r="H1" s="27"/>
    </row>
    <row r="2" spans="2:24" x14ac:dyDescent="0.3">
      <c r="B2" s="22" t="s">
        <v>45</v>
      </c>
      <c r="C2" s="77">
        <v>4.3999999999999997E-2</v>
      </c>
      <c r="D2" s="77"/>
      <c r="E2" s="77"/>
      <c r="F2" s="77"/>
      <c r="G2" s="77"/>
      <c r="H2" s="77"/>
      <c r="I2" s="77"/>
      <c r="J2" s="77"/>
      <c r="K2" s="77"/>
      <c r="N2" s="89" t="s">
        <v>24</v>
      </c>
      <c r="O2" s="91"/>
      <c r="P2" s="78">
        <v>15</v>
      </c>
      <c r="Q2" s="79"/>
      <c r="R2" s="81"/>
      <c r="S2" s="78">
        <v>10</v>
      </c>
      <c r="T2" s="79"/>
      <c r="U2" s="81"/>
      <c r="V2" s="78">
        <v>5</v>
      </c>
      <c r="W2" s="79"/>
      <c r="X2" s="81"/>
    </row>
    <row r="3" spans="2:24" x14ac:dyDescent="0.3">
      <c r="B3" s="22" t="s">
        <v>24</v>
      </c>
      <c r="C3" s="87">
        <v>15</v>
      </c>
      <c r="D3" s="87"/>
      <c r="E3" s="87"/>
      <c r="F3" s="87">
        <v>10</v>
      </c>
      <c r="G3" s="87"/>
      <c r="H3" s="87"/>
      <c r="I3" s="87">
        <v>5</v>
      </c>
      <c r="J3" s="87"/>
      <c r="K3" s="87"/>
      <c r="N3" s="78"/>
      <c r="O3" s="79"/>
      <c r="P3" s="79"/>
      <c r="Q3" s="79"/>
      <c r="R3" s="79"/>
      <c r="S3" s="79"/>
      <c r="T3" s="79"/>
      <c r="U3" s="79"/>
      <c r="V3" s="79"/>
      <c r="W3" s="79"/>
      <c r="X3" s="81"/>
    </row>
    <row r="4" spans="2:24" x14ac:dyDescent="0.3">
      <c r="B4" s="19"/>
      <c r="C4" s="77" t="s">
        <v>47</v>
      </c>
      <c r="D4" s="77"/>
      <c r="E4" s="77"/>
      <c r="F4" s="77" t="s">
        <v>48</v>
      </c>
      <c r="G4" s="77"/>
      <c r="H4" s="77"/>
      <c r="I4" s="77" t="s">
        <v>49</v>
      </c>
      <c r="J4" s="77"/>
      <c r="K4" s="77"/>
      <c r="N4" s="89" t="s">
        <v>25</v>
      </c>
      <c r="O4" s="90"/>
      <c r="P4" s="90"/>
      <c r="Q4" s="90"/>
      <c r="R4" s="90"/>
      <c r="S4" s="90"/>
      <c r="T4" s="90"/>
      <c r="U4" s="90"/>
      <c r="V4" s="90"/>
      <c r="W4" s="90"/>
      <c r="X4" s="91"/>
    </row>
    <row r="5" spans="2:24" x14ac:dyDescent="0.3">
      <c r="B5" s="22" t="s">
        <v>33</v>
      </c>
      <c r="C5" s="22" t="s">
        <v>51</v>
      </c>
      <c r="D5" s="22" t="s">
        <v>65</v>
      </c>
      <c r="E5" s="22" t="s">
        <v>64</v>
      </c>
      <c r="F5" s="22" t="s">
        <v>66</v>
      </c>
      <c r="G5" s="22" t="s">
        <v>65</v>
      </c>
      <c r="H5" s="22" t="s">
        <v>64</v>
      </c>
      <c r="I5" s="22" t="s">
        <v>66</v>
      </c>
      <c r="J5" s="22" t="s">
        <v>65</v>
      </c>
      <c r="K5" s="22" t="s">
        <v>64</v>
      </c>
      <c r="N5" s="22" t="s">
        <v>33</v>
      </c>
      <c r="O5" s="22" t="s">
        <v>62</v>
      </c>
      <c r="P5" s="22" t="s">
        <v>26</v>
      </c>
      <c r="Q5" s="22" t="s">
        <v>27</v>
      </c>
      <c r="R5" s="22" t="s">
        <v>63</v>
      </c>
      <c r="S5" s="22" t="s">
        <v>26</v>
      </c>
      <c r="T5" s="22" t="s">
        <v>27</v>
      </c>
      <c r="U5" s="22" t="s">
        <v>63</v>
      </c>
      <c r="V5" s="22" t="s">
        <v>26</v>
      </c>
      <c r="W5" s="22" t="s">
        <v>27</v>
      </c>
      <c r="X5" s="22" t="s">
        <v>63</v>
      </c>
    </row>
    <row r="6" spans="2:24" x14ac:dyDescent="0.3">
      <c r="B6" s="11">
        <v>0</v>
      </c>
      <c r="C6" s="28">
        <v>3.7999999999999999E-2</v>
      </c>
      <c r="D6" s="21">
        <f>(0.005*ABS(C6)+0.001)</f>
        <v>1.1900000000000001E-3</v>
      </c>
      <c r="E6" s="21">
        <f>ROUNDUP(D6,4)</f>
        <v>1.2000000000000001E-3</v>
      </c>
      <c r="F6" s="28">
        <v>8.0000000000000002E-3</v>
      </c>
      <c r="G6" s="21">
        <f>(0.005*ABS(F6)+0.001)</f>
        <v>1.0400000000000001E-3</v>
      </c>
      <c r="H6" s="21">
        <f>ROUNDUP(G6,4)</f>
        <v>1.1000000000000001E-3</v>
      </c>
      <c r="I6" s="21">
        <v>1.1000000000000001E-3</v>
      </c>
      <c r="J6" s="21">
        <f>(0.005*ABS(I6)+0.001)</f>
        <v>1.0055000000000001E-3</v>
      </c>
      <c r="K6" s="21">
        <f>ROUNDUP(J6,4)</f>
        <v>1.1000000000000001E-3</v>
      </c>
      <c r="N6" s="11">
        <v>0</v>
      </c>
      <c r="O6" s="11">
        <v>0</v>
      </c>
      <c r="P6" s="29">
        <v>6.4304926082372621E-2</v>
      </c>
      <c r="Q6" s="29">
        <v>2.0499242248758081E-2</v>
      </c>
      <c r="R6" s="23">
        <f>ROUNDUP(Q6,3)</f>
        <v>2.1000000000000001E-2</v>
      </c>
      <c r="S6" s="21">
        <v>6.3681113798676248E-2</v>
      </c>
      <c r="T6" s="29">
        <v>3.4902830731822973E-2</v>
      </c>
      <c r="U6" s="23">
        <f>ROUNDUP(T6,3)</f>
        <v>3.5000000000000003E-2</v>
      </c>
      <c r="V6" s="29">
        <v>6.7170835276601351E-2</v>
      </c>
      <c r="W6" s="67">
        <v>2.6745497025325273E-2</v>
      </c>
      <c r="X6" s="23">
        <f>ROUNDUP(W6,3)</f>
        <v>2.7E-2</v>
      </c>
    </row>
    <row r="7" spans="2:24" x14ac:dyDescent="0.3">
      <c r="B7" s="11">
        <v>10</v>
      </c>
      <c r="C7" s="21">
        <v>-5.1499999999999997E-2</v>
      </c>
      <c r="D7" s="21">
        <f>(0.005*ABS(C7)+0.001)</f>
        <v>1.2574999999999999E-3</v>
      </c>
      <c r="E7" s="21">
        <f t="shared" ref="E7:E42" si="0">ROUNDUP(D7,4)</f>
        <v>1.2999999999999999E-3</v>
      </c>
      <c r="F7" s="21">
        <v>-3.6600000000000001E-2</v>
      </c>
      <c r="G7" s="21">
        <f t="shared" ref="G7:G42" si="1">(0.005*ABS(F7)+0.001)</f>
        <v>1.183E-3</v>
      </c>
      <c r="H7" s="21">
        <f t="shared" ref="H7:H42" si="2">ROUNDUP(G7,4)</f>
        <v>1.2000000000000001E-3</v>
      </c>
      <c r="I7" s="21">
        <v>-1.7500000000000002E-2</v>
      </c>
      <c r="J7" s="21">
        <f t="shared" ref="J7:J42" si="3">(0.005*ABS(I7)+0.001)</f>
        <v>1.0874999999999999E-3</v>
      </c>
      <c r="K7" s="21">
        <f t="shared" ref="K7:K42" si="4">ROUNDUP(J7,4)</f>
        <v>1.1000000000000001E-3</v>
      </c>
      <c r="N7" s="11">
        <v>10</v>
      </c>
      <c r="O7" s="11">
        <v>0.17453292519943295</v>
      </c>
      <c r="P7" s="29">
        <v>-2.2775048340971007E-2</v>
      </c>
      <c r="Q7" s="21">
        <v>1.9738983811743563E-2</v>
      </c>
      <c r="R7" s="23">
        <f t="shared" ref="R7:R42" si="5">ROUNDUP(Q7,3)</f>
        <v>0.02</v>
      </c>
      <c r="S7" s="21">
        <v>-2.3403362422805912E-2</v>
      </c>
      <c r="T7" s="21">
        <v>3.4639964975727612E-2</v>
      </c>
      <c r="U7" s="23">
        <f t="shared" ref="U7:U42" si="6">ROUNDUP(T7,3)</f>
        <v>3.5000000000000003E-2</v>
      </c>
      <c r="V7" s="29">
        <v>-1.9886675302948478E-2</v>
      </c>
      <c r="W7" s="67">
        <v>2.6180057632327003E-2</v>
      </c>
      <c r="X7" s="23">
        <f t="shared" ref="X7:X42" si="7">ROUNDUP(W7,3)</f>
        <v>2.7E-2</v>
      </c>
    </row>
    <row r="8" spans="2:24" x14ac:dyDescent="0.3">
      <c r="B8" s="11">
        <v>20</v>
      </c>
      <c r="C8" s="21">
        <v>-0.1026</v>
      </c>
      <c r="D8" s="21">
        <f t="shared" ref="D8:D42" si="8">(0.005*ABS(C8)+0.001)</f>
        <v>1.513E-3</v>
      </c>
      <c r="E8" s="21">
        <f t="shared" si="0"/>
        <v>1.6000000000000001E-3</v>
      </c>
      <c r="F8" s="21">
        <v>-7.4200000000000002E-2</v>
      </c>
      <c r="G8" s="21">
        <f t="shared" si="1"/>
        <v>1.371E-3</v>
      </c>
      <c r="H8" s="21">
        <f t="shared" si="2"/>
        <v>1.4E-3</v>
      </c>
      <c r="I8" s="21">
        <v>-3.7199999999999997E-2</v>
      </c>
      <c r="J8" s="21">
        <f t="shared" si="3"/>
        <v>1.186E-3</v>
      </c>
      <c r="K8" s="21">
        <f t="shared" si="4"/>
        <v>1.2000000000000001E-3</v>
      </c>
      <c r="N8" s="11">
        <v>20</v>
      </c>
      <c r="O8" s="11">
        <v>0.3490658503988659</v>
      </c>
      <c r="P8" s="29">
        <v>-0.10916301444520499</v>
      </c>
      <c r="Q8" s="21">
        <v>2.2046370549213334E-2</v>
      </c>
      <c r="R8" s="23">
        <f t="shared" si="5"/>
        <v>2.3E-2</v>
      </c>
      <c r="S8" s="21">
        <v>-0.10977673931974415</v>
      </c>
      <c r="T8" s="21">
        <v>3.5494768471432202E-2</v>
      </c>
      <c r="U8" s="23">
        <f t="shared" si="6"/>
        <v>3.6000000000000004E-2</v>
      </c>
      <c r="V8" s="29">
        <v>-0.10633993931656169</v>
      </c>
      <c r="W8" s="67">
        <v>2.7653749848294641E-2</v>
      </c>
      <c r="X8" s="23">
        <f t="shared" si="7"/>
        <v>2.8000000000000001E-2</v>
      </c>
    </row>
    <row r="9" spans="2:24" x14ac:dyDescent="0.3">
      <c r="B9" s="11">
        <v>30</v>
      </c>
      <c r="C9" s="28">
        <v>-0.155</v>
      </c>
      <c r="D9" s="21">
        <f t="shared" si="8"/>
        <v>1.7750000000000001E-3</v>
      </c>
      <c r="E9" s="21">
        <f t="shared" si="0"/>
        <v>1.8E-3</v>
      </c>
      <c r="F9" s="21">
        <v>-0.1057</v>
      </c>
      <c r="G9" s="21">
        <f t="shared" si="1"/>
        <v>1.5284999999999999E-3</v>
      </c>
      <c r="H9" s="21">
        <f t="shared" si="2"/>
        <v>1.6000000000000001E-3</v>
      </c>
      <c r="I9" s="21">
        <v>-5.4199999999999998E-2</v>
      </c>
      <c r="J9" s="21">
        <f t="shared" si="3"/>
        <v>1.271E-3</v>
      </c>
      <c r="K9" s="21">
        <f t="shared" si="4"/>
        <v>1.2999999999999999E-3</v>
      </c>
      <c r="N9" s="11">
        <v>30</v>
      </c>
      <c r="O9" s="11">
        <v>0.52359877559829882</v>
      </c>
      <c r="P9" s="29">
        <v>-0.19223411759467185</v>
      </c>
      <c r="Q9" s="21">
        <v>2.6416562637451964E-2</v>
      </c>
      <c r="R9" s="23">
        <f t="shared" si="5"/>
        <v>2.7E-2</v>
      </c>
      <c r="S9" s="21">
        <v>-0.19281460554216215</v>
      </c>
      <c r="T9" s="21">
        <v>3.7293844178104635E-2</v>
      </c>
      <c r="U9" s="23">
        <f t="shared" si="6"/>
        <v>3.7999999999999999E-2</v>
      </c>
      <c r="V9" s="29">
        <v>-0.18956211808464665</v>
      </c>
      <c r="W9" s="67">
        <v>3.0720613489273775E-2</v>
      </c>
      <c r="X9" s="23">
        <f t="shared" si="7"/>
        <v>3.1E-2</v>
      </c>
    </row>
    <row r="10" spans="2:24" x14ac:dyDescent="0.3">
      <c r="B10" s="11">
        <v>40</v>
      </c>
      <c r="C10" s="21">
        <v>-0.2011</v>
      </c>
      <c r="D10" s="21">
        <f t="shared" si="8"/>
        <v>2.0055000000000003E-3</v>
      </c>
      <c r="E10" s="21">
        <f t="shared" si="0"/>
        <v>2.0999999999999999E-3</v>
      </c>
      <c r="F10" s="21">
        <v>-0.1363</v>
      </c>
      <c r="G10" s="21">
        <f t="shared" si="1"/>
        <v>1.6815000000000001E-3</v>
      </c>
      <c r="H10" s="21">
        <f t="shared" si="2"/>
        <v>1.7000000000000001E-3</v>
      </c>
      <c r="I10" s="28">
        <v>-6.9000000000000006E-2</v>
      </c>
      <c r="J10" s="21">
        <f t="shared" si="3"/>
        <v>1.3450000000000001E-3</v>
      </c>
      <c r="K10" s="21">
        <f t="shared" si="4"/>
        <v>1.4E-3</v>
      </c>
      <c r="N10" s="11">
        <v>40</v>
      </c>
      <c r="O10" s="11">
        <v>0.69813170079773179</v>
      </c>
      <c r="P10" s="29">
        <v>-0.26946428435618192</v>
      </c>
      <c r="Q10" s="21">
        <v>3.1614224379154003E-2</v>
      </c>
      <c r="R10" s="23">
        <f t="shared" si="5"/>
        <v>3.2000000000000001E-2</v>
      </c>
      <c r="S10" s="21">
        <v>-0.26999389754407993</v>
      </c>
      <c r="T10" s="21">
        <v>3.9711321770843647E-2</v>
      </c>
      <c r="U10" s="23">
        <f t="shared" si="6"/>
        <v>0.04</v>
      </c>
      <c r="V10" s="29">
        <v>-0.26702454781778995</v>
      </c>
      <c r="W10" s="67">
        <v>3.4653727818470266E-2</v>
      </c>
      <c r="X10" s="23">
        <f t="shared" si="7"/>
        <v>3.5000000000000003E-2</v>
      </c>
    </row>
    <row r="11" spans="2:24" x14ac:dyDescent="0.3">
      <c r="B11" s="11">
        <v>50</v>
      </c>
      <c r="C11" s="21">
        <v>-0.2402</v>
      </c>
      <c r="D11" s="21">
        <f t="shared" si="8"/>
        <v>2.2009999999999998E-3</v>
      </c>
      <c r="E11" s="21">
        <f t="shared" si="0"/>
        <v>2.3E-3</v>
      </c>
      <c r="F11" s="21">
        <v>-0.16209999999999999</v>
      </c>
      <c r="G11" s="21">
        <f t="shared" si="1"/>
        <v>1.8105E-3</v>
      </c>
      <c r="H11" s="21">
        <f t="shared" si="2"/>
        <v>1.9E-3</v>
      </c>
      <c r="I11" s="28">
        <v>-8.4000000000000005E-2</v>
      </c>
      <c r="J11" s="21">
        <f t="shared" si="3"/>
        <v>1.42E-3</v>
      </c>
      <c r="K11" s="21">
        <f t="shared" si="4"/>
        <v>1.5E-3</v>
      </c>
      <c r="N11" s="11">
        <v>50</v>
      </c>
      <c r="O11" s="11">
        <v>0.87266462599716477</v>
      </c>
      <c r="P11" s="29">
        <v>-0.33850691519303638</v>
      </c>
      <c r="Q11" s="29">
        <v>3.6804012072319099E-2</v>
      </c>
      <c r="R11" s="23">
        <f t="shared" si="5"/>
        <v>3.6999999999999998E-2</v>
      </c>
      <c r="S11" s="21">
        <v>-0.33896956159262503</v>
      </c>
      <c r="T11" s="21">
        <v>4.2378059706818599E-2</v>
      </c>
      <c r="U11" s="23">
        <f t="shared" si="6"/>
        <v>4.3000000000000003E-2</v>
      </c>
      <c r="V11" s="29">
        <v>-0.33637357178643046</v>
      </c>
      <c r="W11" s="67">
        <v>3.8795503807919983E-2</v>
      </c>
      <c r="X11" s="23">
        <f t="shared" si="7"/>
        <v>3.9E-2</v>
      </c>
    </row>
    <row r="12" spans="2:24" x14ac:dyDescent="0.3">
      <c r="B12" s="11">
        <v>60</v>
      </c>
      <c r="C12" s="21">
        <v>-0.28520000000000001</v>
      </c>
      <c r="D12" s="21">
        <f t="shared" si="8"/>
        <v>2.4260000000000002E-3</v>
      </c>
      <c r="E12" s="21">
        <f t="shared" si="0"/>
        <v>2.4999999999999996E-3</v>
      </c>
      <c r="F12" s="21">
        <v>-0.18479999999999999</v>
      </c>
      <c r="G12" s="21">
        <f t="shared" si="1"/>
        <v>1.9239999999999999E-3</v>
      </c>
      <c r="H12" s="21">
        <f t="shared" si="2"/>
        <v>2E-3</v>
      </c>
      <c r="I12" s="21">
        <v>-9.5699999999999993E-2</v>
      </c>
      <c r="J12" s="21">
        <f t="shared" si="3"/>
        <v>1.4785E-3</v>
      </c>
      <c r="K12" s="21">
        <f t="shared" si="4"/>
        <v>1.5E-3</v>
      </c>
      <c r="N12" s="11">
        <v>60</v>
      </c>
      <c r="O12" s="11">
        <v>1.0471975511965976</v>
      </c>
      <c r="P12" s="29">
        <v>-0.39726418470451458</v>
      </c>
      <c r="Q12" s="21">
        <v>4.14757245328993E-2</v>
      </c>
      <c r="R12" s="23">
        <f t="shared" si="5"/>
        <v>4.2000000000000003E-2</v>
      </c>
      <c r="S12" s="21">
        <v>-0.39764580703905289</v>
      </c>
      <c r="T12" s="21">
        <v>4.4957307919115154E-2</v>
      </c>
      <c r="U12" s="23">
        <f t="shared" si="6"/>
        <v>4.4999999999999998E-2</v>
      </c>
      <c r="V12" s="29">
        <v>-0.39550205498958052</v>
      </c>
      <c r="W12" s="67">
        <v>4.2657878963158917E-2</v>
      </c>
      <c r="X12" s="23">
        <f t="shared" si="7"/>
        <v>4.3000000000000003E-2</v>
      </c>
    </row>
    <row r="13" spans="2:24" x14ac:dyDescent="0.3">
      <c r="B13" s="11">
        <v>70</v>
      </c>
      <c r="C13" s="21">
        <v>-0.30890000000000001</v>
      </c>
      <c r="D13" s="21">
        <f t="shared" si="8"/>
        <v>2.5444999999999999E-3</v>
      </c>
      <c r="E13" s="21">
        <f t="shared" si="0"/>
        <v>2.5999999999999999E-3</v>
      </c>
      <c r="F13" s="21">
        <v>-0.20080000000000001</v>
      </c>
      <c r="G13" s="21">
        <f t="shared" si="1"/>
        <v>2.0040000000000001E-3</v>
      </c>
      <c r="H13" s="21">
        <f t="shared" si="2"/>
        <v>2.0999999999999999E-3</v>
      </c>
      <c r="I13" s="28">
        <v>-0.104</v>
      </c>
      <c r="J13" s="21">
        <f t="shared" si="3"/>
        <v>1.5200000000000001E-3</v>
      </c>
      <c r="K13" s="21">
        <f t="shared" si="4"/>
        <v>1.6000000000000001E-3</v>
      </c>
      <c r="N13" s="11">
        <v>70</v>
      </c>
      <c r="O13" s="11">
        <v>1.2217304763960306</v>
      </c>
      <c r="P13" s="29">
        <v>-0.44395078298912333</v>
      </c>
      <c r="Q13" s="29">
        <v>4.5303990750253022E-2</v>
      </c>
      <c r="R13" s="23">
        <f t="shared" si="5"/>
        <v>4.5999999999999999E-2</v>
      </c>
      <c r="S13" s="21">
        <v>-0.44423978585708629</v>
      </c>
      <c r="T13" s="21">
        <v>4.7176246333462304E-2</v>
      </c>
      <c r="U13" s="23">
        <f t="shared" si="6"/>
        <v>4.8000000000000001E-2</v>
      </c>
      <c r="V13" s="29">
        <v>-0.44261340838556873</v>
      </c>
      <c r="W13" s="67">
        <v>4.5899298357322468E-2</v>
      </c>
      <c r="X13" s="23">
        <f t="shared" si="7"/>
        <v>4.5999999999999999E-2</v>
      </c>
    </row>
    <row r="14" spans="2:24" x14ac:dyDescent="0.3">
      <c r="B14" s="11">
        <v>80</v>
      </c>
      <c r="C14" s="28">
        <v>-0.32500000000000001</v>
      </c>
      <c r="D14" s="21">
        <f t="shared" si="8"/>
        <v>2.6250000000000002E-3</v>
      </c>
      <c r="E14" s="21">
        <f t="shared" si="0"/>
        <v>2.6999999999999997E-3</v>
      </c>
      <c r="F14" s="21">
        <v>-0.21190000000000001</v>
      </c>
      <c r="G14" s="21">
        <f t="shared" si="1"/>
        <v>2.0595000000000001E-3</v>
      </c>
      <c r="H14" s="21">
        <f t="shared" si="2"/>
        <v>2.0999999999999999E-3</v>
      </c>
      <c r="I14" s="21">
        <v>-0.1069</v>
      </c>
      <c r="J14" s="21">
        <f t="shared" si="3"/>
        <v>1.5345000000000001E-3</v>
      </c>
      <c r="K14" s="21">
        <f t="shared" si="4"/>
        <v>1.6000000000000001E-3</v>
      </c>
      <c r="N14" s="11">
        <v>80</v>
      </c>
      <c r="O14" s="11">
        <v>1.3962634015954636</v>
      </c>
      <c r="P14" s="29">
        <v>-0.47714816138254323</v>
      </c>
      <c r="Q14" s="21">
        <v>4.8074033811923662E-2</v>
      </c>
      <c r="R14" s="23">
        <f t="shared" si="5"/>
        <v>4.9000000000000002E-2</v>
      </c>
      <c r="S14" s="21">
        <v>-0.47733576357803048</v>
      </c>
      <c r="T14" s="21">
        <v>4.883193289766212E-2</v>
      </c>
      <c r="U14" s="23">
        <f t="shared" si="6"/>
        <v>4.9000000000000002E-2</v>
      </c>
      <c r="V14" s="29">
        <v>-0.47627617734095296</v>
      </c>
      <c r="W14" s="67">
        <v>4.8286865612173741E-2</v>
      </c>
      <c r="X14" s="23">
        <f t="shared" si="7"/>
        <v>4.9000000000000002E-2</v>
      </c>
    </row>
    <row r="15" spans="2:24" x14ac:dyDescent="0.3">
      <c r="B15" s="11">
        <v>90</v>
      </c>
      <c r="C15" s="21">
        <v>-0.33329999999999999</v>
      </c>
      <c r="D15" s="21">
        <f t="shared" si="8"/>
        <v>2.6665E-3</v>
      </c>
      <c r="E15" s="21">
        <f t="shared" si="0"/>
        <v>2.6999999999999997E-3</v>
      </c>
      <c r="F15" s="21">
        <v>-0.21709999999999999</v>
      </c>
      <c r="G15" s="21">
        <f t="shared" si="1"/>
        <v>2.0854999999999997E-3</v>
      </c>
      <c r="H15" s="21">
        <f t="shared" si="2"/>
        <v>2.0999999999999999E-3</v>
      </c>
      <c r="I15" s="21">
        <v>-0.1124</v>
      </c>
      <c r="J15" s="21">
        <f t="shared" si="3"/>
        <v>1.562E-3</v>
      </c>
      <c r="K15" s="21">
        <f t="shared" si="4"/>
        <v>1.6000000000000001E-3</v>
      </c>
      <c r="N15" s="11">
        <v>90</v>
      </c>
      <c r="O15" s="11">
        <v>1.5707963267948966</v>
      </c>
      <c r="P15" s="29">
        <v>-0.49584763434097434</v>
      </c>
      <c r="Q15" s="21">
        <v>4.9648976028457151E-2</v>
      </c>
      <c r="R15" s="23">
        <f t="shared" si="5"/>
        <v>0.05</v>
      </c>
      <c r="S15" s="21">
        <v>-0.49592813566620725</v>
      </c>
      <c r="T15" s="21">
        <v>4.9788201781155512E-2</v>
      </c>
      <c r="U15" s="23">
        <f t="shared" si="6"/>
        <v>0.05</v>
      </c>
      <c r="V15" s="29">
        <v>-0.49546753565520685</v>
      </c>
      <c r="W15" s="67">
        <v>4.9670903958837061E-2</v>
      </c>
      <c r="X15" s="23">
        <f t="shared" si="7"/>
        <v>0.05</v>
      </c>
    </row>
    <row r="16" spans="2:24" x14ac:dyDescent="0.3">
      <c r="B16" s="11">
        <v>100</v>
      </c>
      <c r="C16" s="21">
        <v>-0.33229999999999998</v>
      </c>
      <c r="D16" s="21">
        <f t="shared" si="8"/>
        <v>2.6614999999999998E-3</v>
      </c>
      <c r="E16" s="21">
        <f t="shared" si="0"/>
        <v>2.6999999999999997E-3</v>
      </c>
      <c r="F16" s="21">
        <v>-0.21640000000000001</v>
      </c>
      <c r="G16" s="21">
        <f t="shared" si="1"/>
        <v>2.0820000000000001E-3</v>
      </c>
      <c r="H16" s="21">
        <f t="shared" si="2"/>
        <v>2.0999999999999999E-3</v>
      </c>
      <c r="I16" s="21">
        <v>-0.11219999999999999</v>
      </c>
      <c r="J16" s="21">
        <f t="shared" si="3"/>
        <v>1.5609999999999999E-3</v>
      </c>
      <c r="K16" s="21">
        <f t="shared" si="4"/>
        <v>1.6000000000000001E-3</v>
      </c>
      <c r="N16" s="11">
        <v>100</v>
      </c>
      <c r="O16" s="11">
        <v>1.7453292519943295</v>
      </c>
      <c r="P16" s="29">
        <v>-0.4994810278409646</v>
      </c>
      <c r="Q16" s="21">
        <v>4.9956103446198712E-2</v>
      </c>
      <c r="R16" s="23">
        <f t="shared" si="5"/>
        <v>0.05</v>
      </c>
      <c r="S16" s="21">
        <v>-0.49945198230391158</v>
      </c>
      <c r="T16" s="21">
        <v>4.99714464086813E-2</v>
      </c>
      <c r="U16" s="23">
        <f t="shared" si="6"/>
        <v>0.05</v>
      </c>
      <c r="V16" s="29">
        <v>-0.49960436361724775</v>
      </c>
      <c r="W16" s="67">
        <v>4.9971240664883787E-2</v>
      </c>
      <c r="X16" s="23">
        <f t="shared" si="7"/>
        <v>0.05</v>
      </c>
    </row>
    <row r="17" spans="2:24" x14ac:dyDescent="0.3">
      <c r="B17" s="11">
        <v>110</v>
      </c>
      <c r="C17" s="21">
        <v>-0.32269999999999999</v>
      </c>
      <c r="D17" s="21">
        <f t="shared" si="8"/>
        <v>2.6134999999999999E-3</v>
      </c>
      <c r="E17" s="21">
        <f t="shared" si="0"/>
        <v>2.6999999999999997E-3</v>
      </c>
      <c r="F17" s="21">
        <v>-0.2099</v>
      </c>
      <c r="G17" s="21">
        <f t="shared" si="1"/>
        <v>2.0495000000000001E-3</v>
      </c>
      <c r="H17" s="21">
        <f t="shared" si="2"/>
        <v>2.0999999999999999E-3</v>
      </c>
      <c r="I17" s="21">
        <v>-0.1089</v>
      </c>
      <c r="J17" s="21">
        <f t="shared" si="3"/>
        <v>1.5444999999999999E-3</v>
      </c>
      <c r="K17" s="21">
        <f t="shared" si="4"/>
        <v>1.6000000000000001E-3</v>
      </c>
      <c r="N17" s="11">
        <v>110</v>
      </c>
      <c r="O17" s="11">
        <v>1.9198621771937625</v>
      </c>
      <c r="P17" s="29">
        <v>-0.48793794305960259</v>
      </c>
      <c r="Q17" s="21">
        <v>4.8981601638312722E-2</v>
      </c>
      <c r="R17" s="23">
        <f t="shared" si="5"/>
        <v>4.9000000000000002E-2</v>
      </c>
      <c r="S17" s="21">
        <v>-0.48780023319420929</v>
      </c>
      <c r="T17" s="21">
        <v>4.9367945479377257E-2</v>
      </c>
      <c r="U17" s="23">
        <f t="shared" si="6"/>
        <v>0.05</v>
      </c>
      <c r="V17" s="29">
        <v>-0.48856096580278491</v>
      </c>
      <c r="W17" s="67">
        <v>4.9171032433208507E-2</v>
      </c>
      <c r="X17" s="23">
        <f t="shared" si="7"/>
        <v>0.05</v>
      </c>
    </row>
    <row r="18" spans="2:24" x14ac:dyDescent="0.3">
      <c r="B18" s="11">
        <v>120</v>
      </c>
      <c r="C18" s="28">
        <v>-0.30299999999999999</v>
      </c>
      <c r="D18" s="21">
        <f t="shared" si="8"/>
        <v>2.5149999999999999E-3</v>
      </c>
      <c r="E18" s="21">
        <f t="shared" si="0"/>
        <v>2.5999999999999999E-3</v>
      </c>
      <c r="F18" s="21">
        <v>-0.19789999999999999</v>
      </c>
      <c r="G18" s="21">
        <f t="shared" si="1"/>
        <v>1.9894999999999999E-3</v>
      </c>
      <c r="H18" s="21">
        <f t="shared" si="2"/>
        <v>2E-3</v>
      </c>
      <c r="I18" s="21">
        <v>-0.1028</v>
      </c>
      <c r="J18" s="21">
        <f t="shared" si="3"/>
        <v>1.5140000000000002E-3</v>
      </c>
      <c r="K18" s="21">
        <f t="shared" si="4"/>
        <v>1.6000000000000001E-3</v>
      </c>
      <c r="N18" s="11">
        <v>120</v>
      </c>
      <c r="O18" s="11">
        <v>2.0943951023931953</v>
      </c>
      <c r="P18" s="29">
        <v>-0.46156911078688734</v>
      </c>
      <c r="Q18" s="21">
        <v>4.6769701430190443E-2</v>
      </c>
      <c r="R18" s="23">
        <f t="shared" si="5"/>
        <v>4.7E-2</v>
      </c>
      <c r="S18" s="21">
        <v>-0.46132692083772914</v>
      </c>
      <c r="T18" s="21">
        <v>4.8023346573459386E-2</v>
      </c>
      <c r="U18" s="23">
        <f t="shared" si="6"/>
        <v>4.9000000000000002E-2</v>
      </c>
      <c r="V18" s="29">
        <v>-0.46267289026618197</v>
      </c>
      <c r="W18" s="67">
        <v>4.7315581134150179E-2</v>
      </c>
      <c r="X18" s="23">
        <f t="shared" si="7"/>
        <v>4.8000000000000001E-2</v>
      </c>
    </row>
    <row r="19" spans="2:24" x14ac:dyDescent="0.3">
      <c r="B19" s="11">
        <v>130</v>
      </c>
      <c r="C19" s="21">
        <v>-0.2757</v>
      </c>
      <c r="D19" s="21">
        <f t="shared" si="8"/>
        <v>2.3785E-3</v>
      </c>
      <c r="E19" s="21">
        <f t="shared" si="0"/>
        <v>2.3999999999999998E-3</v>
      </c>
      <c r="F19" s="21">
        <v>-0.18049999999999999</v>
      </c>
      <c r="G19" s="21">
        <f t="shared" si="1"/>
        <v>1.9025000000000001E-3</v>
      </c>
      <c r="H19" s="21">
        <f t="shared" si="2"/>
        <v>2E-3</v>
      </c>
      <c r="I19" s="21">
        <v>-9.35E-2</v>
      </c>
      <c r="J19" s="21">
        <f t="shared" si="3"/>
        <v>1.4675000000000001E-3</v>
      </c>
      <c r="K19" s="21">
        <f t="shared" si="4"/>
        <v>1.5E-3</v>
      </c>
      <c r="N19" s="11">
        <v>130</v>
      </c>
      <c r="O19" s="11">
        <v>2.2689280275926285</v>
      </c>
      <c r="P19" s="29">
        <v>-0.42117573464815222</v>
      </c>
      <c r="Q19" s="21">
        <v>4.3425575072209295E-2</v>
      </c>
      <c r="R19" s="23">
        <f t="shared" si="5"/>
        <v>4.3999999999999997E-2</v>
      </c>
      <c r="S19" s="21">
        <v>-0.42083642343428029</v>
      </c>
      <c r="T19" s="21">
        <v>4.6044365050545127E-2</v>
      </c>
      <c r="U19" s="23">
        <f t="shared" si="6"/>
        <v>4.7E-2</v>
      </c>
      <c r="V19" s="29">
        <v>-0.42272673308262021</v>
      </c>
      <c r="W19" s="67">
        <v>4.4515609166932438E-2</v>
      </c>
      <c r="X19" s="23">
        <f t="shared" si="7"/>
        <v>4.4999999999999998E-2</v>
      </c>
    </row>
    <row r="20" spans="2:24" x14ac:dyDescent="0.3">
      <c r="B20" s="11">
        <v>140</v>
      </c>
      <c r="C20" s="21">
        <v>-0.24160000000000001</v>
      </c>
      <c r="D20" s="21">
        <f t="shared" si="8"/>
        <v>2.2079999999999999E-3</v>
      </c>
      <c r="E20" s="21">
        <f t="shared" si="0"/>
        <v>2.3E-3</v>
      </c>
      <c r="F20" s="21">
        <v>-0.15759999999999999</v>
      </c>
      <c r="G20" s="21">
        <f t="shared" si="1"/>
        <v>1.7880000000000001E-3</v>
      </c>
      <c r="H20" s="21">
        <f t="shared" si="2"/>
        <v>1.8E-3</v>
      </c>
      <c r="I20" s="21">
        <v>-8.14E-2</v>
      </c>
      <c r="J20" s="21">
        <f t="shared" si="3"/>
        <v>1.407E-3</v>
      </c>
      <c r="K20" s="21">
        <f t="shared" si="4"/>
        <v>1.5E-3</v>
      </c>
      <c r="N20" s="11">
        <v>140</v>
      </c>
      <c r="O20" s="11">
        <v>2.4434609527920612</v>
      </c>
      <c r="P20" s="29">
        <v>-0.36798514693733836</v>
      </c>
      <c r="Q20" s="21">
        <v>3.9124218188075925E-2</v>
      </c>
      <c r="R20" s="23">
        <f t="shared" si="5"/>
        <v>0.04</v>
      </c>
      <c r="S20" s="21">
        <v>-0.3675590242582864</v>
      </c>
      <c r="T20" s="29">
        <v>4.3602438982018654E-2</v>
      </c>
      <c r="U20" s="23">
        <f t="shared" si="6"/>
        <v>4.3999999999999997E-2</v>
      </c>
      <c r="V20" s="29">
        <v>-0.36993623802439135</v>
      </c>
      <c r="W20" s="67">
        <v>4.0956430453707331E-2</v>
      </c>
      <c r="X20" s="23">
        <f t="shared" si="7"/>
        <v>4.1000000000000002E-2</v>
      </c>
    </row>
    <row r="21" spans="2:24" x14ac:dyDescent="0.3">
      <c r="B21" s="11">
        <v>150</v>
      </c>
      <c r="C21" s="21">
        <v>-0.19359999999999999</v>
      </c>
      <c r="D21" s="21">
        <f t="shared" si="8"/>
        <v>1.9680000000000001E-3</v>
      </c>
      <c r="E21" s="21">
        <f t="shared" si="0"/>
        <v>2E-3</v>
      </c>
      <c r="F21" s="21">
        <v>-0.12909999999999999</v>
      </c>
      <c r="G21" s="21">
        <f t="shared" si="1"/>
        <v>1.6455E-3</v>
      </c>
      <c r="H21" s="21">
        <f t="shared" si="2"/>
        <v>1.7000000000000001E-3</v>
      </c>
      <c r="I21" s="21">
        <v>-6.7500000000000004E-2</v>
      </c>
      <c r="J21" s="21">
        <f t="shared" si="3"/>
        <v>1.3375000000000001E-3</v>
      </c>
      <c r="K21" s="21">
        <f t="shared" si="4"/>
        <v>1.4E-3</v>
      </c>
      <c r="N21" s="11">
        <v>150</v>
      </c>
      <c r="O21" s="11">
        <v>2.6179938779914944</v>
      </c>
      <c r="P21" s="29">
        <v>-0.30361351674630238</v>
      </c>
      <c r="Q21" s="21">
        <v>3.4132155336553761E-2</v>
      </c>
      <c r="R21" s="23">
        <f t="shared" si="5"/>
        <v>3.5000000000000003E-2</v>
      </c>
      <c r="S21" s="21">
        <v>-0.30311353012404496</v>
      </c>
      <c r="T21" s="21">
        <v>4.0937917562587474E-2</v>
      </c>
      <c r="U21" s="23">
        <f t="shared" si="6"/>
        <v>4.1000000000000002E-2</v>
      </c>
      <c r="V21" s="29">
        <v>-0.30590541757056011</v>
      </c>
      <c r="W21" s="67">
        <v>3.6916468866674969E-2</v>
      </c>
      <c r="X21" s="23">
        <f t="shared" si="7"/>
        <v>3.6999999999999998E-2</v>
      </c>
    </row>
    <row r="22" spans="2:24" x14ac:dyDescent="0.3">
      <c r="B22" s="11">
        <v>160</v>
      </c>
      <c r="C22" s="21">
        <v>-0.14549999999999999</v>
      </c>
      <c r="D22" s="21">
        <f t="shared" si="8"/>
        <v>1.7274999999999999E-3</v>
      </c>
      <c r="E22" s="21">
        <f t="shared" si="0"/>
        <v>1.8E-3</v>
      </c>
      <c r="F22" s="21">
        <v>-9.7100000000000006E-2</v>
      </c>
      <c r="G22" s="21">
        <f t="shared" si="1"/>
        <v>1.4855000000000001E-3</v>
      </c>
      <c r="H22" s="21">
        <f t="shared" si="2"/>
        <v>1.5E-3</v>
      </c>
      <c r="I22" s="21">
        <v>-5.0700000000000002E-2</v>
      </c>
      <c r="J22" s="21">
        <f t="shared" si="3"/>
        <v>1.2535000000000001E-3</v>
      </c>
      <c r="K22" s="21">
        <f t="shared" si="4"/>
        <v>1.2999999999999999E-3</v>
      </c>
      <c r="N22" s="11">
        <v>160</v>
      </c>
      <c r="O22" s="11">
        <v>2.7925268031909272</v>
      </c>
      <c r="P22" s="29">
        <v>-0.23001674348478274</v>
      </c>
      <c r="Q22" s="21">
        <v>2.8858069504881467E-2</v>
      </c>
      <c r="R22" s="23">
        <f t="shared" si="5"/>
        <v>2.9000000000000001E-2</v>
      </c>
      <c r="S22" s="21">
        <v>-0.2294580847598317</v>
      </c>
      <c r="T22" s="21">
        <v>3.8359802027380513E-2</v>
      </c>
      <c r="U22" s="23">
        <f t="shared" si="6"/>
        <v>3.9E-2</v>
      </c>
      <c r="V22" s="29">
        <v>-0.23257981579945788</v>
      </c>
      <c r="W22" s="67">
        <v>3.2799004886203381E-2</v>
      </c>
      <c r="X22" s="23">
        <f t="shared" si="7"/>
        <v>3.3000000000000002E-2</v>
      </c>
    </row>
    <row r="23" spans="2:24" x14ac:dyDescent="0.3">
      <c r="B23" s="11">
        <v>170</v>
      </c>
      <c r="C23" s="21">
        <v>-9.2399999999999996E-2</v>
      </c>
      <c r="D23" s="21">
        <f t="shared" si="8"/>
        <v>1.462E-3</v>
      </c>
      <c r="E23" s="21">
        <f t="shared" si="0"/>
        <v>1.5E-3</v>
      </c>
      <c r="F23" s="21">
        <v>-6.2399999999999997E-2</v>
      </c>
      <c r="G23" s="21">
        <f t="shared" si="1"/>
        <v>1.312E-3</v>
      </c>
      <c r="H23" s="21">
        <f t="shared" si="2"/>
        <v>1.4E-3</v>
      </c>
      <c r="I23" s="21">
        <v>-3.2599999999999997E-2</v>
      </c>
      <c r="J23" s="21">
        <f t="shared" si="3"/>
        <v>1.163E-3</v>
      </c>
      <c r="K23" s="21">
        <f t="shared" si="4"/>
        <v>1.2000000000000001E-3</v>
      </c>
      <c r="N23" s="11">
        <v>170</v>
      </c>
      <c r="O23" s="11">
        <v>2.9670597283903604</v>
      </c>
      <c r="P23" s="29">
        <v>-0.14943102786656609</v>
      </c>
      <c r="Q23" s="21">
        <v>2.3960947946556718E-2</v>
      </c>
      <c r="R23" s="23">
        <f t="shared" si="5"/>
        <v>2.4E-2</v>
      </c>
      <c r="S23" s="21">
        <v>-0.14883067160158414</v>
      </c>
      <c r="T23" s="21">
        <v>3.6228648321094813E-2</v>
      </c>
      <c r="U23" s="23">
        <f t="shared" si="6"/>
        <v>3.6999999999999998E-2</v>
      </c>
      <c r="V23" s="29">
        <v>-0.15218739401635439</v>
      </c>
      <c r="W23" s="67">
        <v>2.9170171761091351E-2</v>
      </c>
      <c r="X23" s="23">
        <f t="shared" si="7"/>
        <v>3.0000000000000002E-2</v>
      </c>
    </row>
    <row r="24" spans="2:24" x14ac:dyDescent="0.3">
      <c r="B24" s="11">
        <v>180</v>
      </c>
      <c r="C24" s="21">
        <v>-3.9300000000000002E-2</v>
      </c>
      <c r="D24" s="21">
        <f t="shared" si="8"/>
        <v>1.1965000000000001E-3</v>
      </c>
      <c r="E24" s="21">
        <f t="shared" si="0"/>
        <v>1.2000000000000001E-3</v>
      </c>
      <c r="F24" s="21">
        <v>-2.76E-2</v>
      </c>
      <c r="G24" s="21">
        <f t="shared" si="1"/>
        <v>1.1380000000000001E-3</v>
      </c>
      <c r="H24" s="21">
        <f t="shared" si="2"/>
        <v>1.2000000000000001E-3</v>
      </c>
      <c r="I24" s="21">
        <v>-1.4800000000000001E-2</v>
      </c>
      <c r="J24" s="21">
        <f t="shared" si="3"/>
        <v>1.0740000000000001E-3</v>
      </c>
      <c r="K24" s="21">
        <f t="shared" si="4"/>
        <v>1.1000000000000001E-3</v>
      </c>
      <c r="N24" s="11">
        <v>180</v>
      </c>
      <c r="O24" s="11">
        <v>3.1415926535897931</v>
      </c>
      <c r="P24" s="29">
        <v>-6.430492608237269E-2</v>
      </c>
      <c r="Q24" s="29">
        <v>2.0499242248758084E-2</v>
      </c>
      <c r="R24" s="23">
        <f t="shared" si="5"/>
        <v>2.1000000000000001E-2</v>
      </c>
      <c r="S24" s="21">
        <v>-6.3681113798676317E-2</v>
      </c>
      <c r="T24" s="29">
        <v>3.4902830731822973E-2</v>
      </c>
      <c r="U24" s="23">
        <f t="shared" si="6"/>
        <v>3.5000000000000003E-2</v>
      </c>
      <c r="V24" s="29">
        <v>-6.7170835276601407E-2</v>
      </c>
      <c r="W24" s="67">
        <v>2.6745497025325273E-2</v>
      </c>
      <c r="X24" s="23">
        <f t="shared" si="7"/>
        <v>2.7E-2</v>
      </c>
    </row>
    <row r="25" spans="2:24" x14ac:dyDescent="0.3">
      <c r="B25" s="11">
        <v>190</v>
      </c>
      <c r="C25" s="21">
        <v>1.3599999999999999E-2</v>
      </c>
      <c r="D25" s="21">
        <f t="shared" si="8"/>
        <v>1.0679999999999999E-3</v>
      </c>
      <c r="E25" s="21">
        <f t="shared" si="0"/>
        <v>1.1000000000000001E-3</v>
      </c>
      <c r="F25" s="21">
        <v>1.67E-2</v>
      </c>
      <c r="G25" s="21">
        <f t="shared" si="1"/>
        <v>1.0835E-3</v>
      </c>
      <c r="H25" s="21">
        <f t="shared" si="2"/>
        <v>1.1000000000000001E-3</v>
      </c>
      <c r="I25" s="28">
        <v>4.0000000000000001E-3</v>
      </c>
      <c r="J25" s="21">
        <f t="shared" si="3"/>
        <v>1.0200000000000001E-3</v>
      </c>
      <c r="K25" s="21">
        <f t="shared" si="4"/>
        <v>1.1000000000000001E-3</v>
      </c>
      <c r="N25" s="11">
        <v>190</v>
      </c>
      <c r="O25" s="11">
        <v>3.3161255787892263</v>
      </c>
      <c r="P25" s="29">
        <v>2.2775048340971167E-2</v>
      </c>
      <c r="Q25" s="21">
        <v>1.9738983811743566E-2</v>
      </c>
      <c r="R25" s="23">
        <f t="shared" si="5"/>
        <v>0.02</v>
      </c>
      <c r="S25" s="21">
        <v>2.3403362422806072E-2</v>
      </c>
      <c r="T25" s="21">
        <v>3.4639964975727612E-2</v>
      </c>
      <c r="U25" s="23">
        <f t="shared" si="6"/>
        <v>3.5000000000000003E-2</v>
      </c>
      <c r="V25" s="29">
        <v>1.9886675302948638E-2</v>
      </c>
      <c r="W25" s="67">
        <v>2.6180057632327003E-2</v>
      </c>
      <c r="X25" s="23">
        <f t="shared" si="7"/>
        <v>2.7E-2</v>
      </c>
    </row>
    <row r="26" spans="2:24" x14ac:dyDescent="0.3">
      <c r="B26" s="11">
        <v>200</v>
      </c>
      <c r="C26" s="21">
        <v>7.0099999999999996E-2</v>
      </c>
      <c r="D26" s="21">
        <f t="shared" si="8"/>
        <v>1.3505000000000001E-3</v>
      </c>
      <c r="E26" s="21">
        <f t="shared" si="0"/>
        <v>1.4E-3</v>
      </c>
      <c r="F26" s="21">
        <v>4.36E-2</v>
      </c>
      <c r="G26" s="21">
        <f t="shared" si="1"/>
        <v>1.2180000000000001E-3</v>
      </c>
      <c r="H26" s="21">
        <f t="shared" si="2"/>
        <v>1.2999999999999999E-3</v>
      </c>
      <c r="I26" s="21">
        <v>2.2100000000000002E-2</v>
      </c>
      <c r="J26" s="21">
        <f t="shared" si="3"/>
        <v>1.1104999999999999E-3</v>
      </c>
      <c r="K26" s="21">
        <f t="shared" si="4"/>
        <v>1.2000000000000001E-3</v>
      </c>
      <c r="N26" s="11">
        <v>200</v>
      </c>
      <c r="O26" s="11">
        <v>3.4906585039886591</v>
      </c>
      <c r="P26" s="29">
        <v>0.10916301444520493</v>
      </c>
      <c r="Q26" s="21">
        <v>2.204637054921333E-2</v>
      </c>
      <c r="R26" s="23">
        <f t="shared" si="5"/>
        <v>2.3E-2</v>
      </c>
      <c r="S26" s="21">
        <v>0.10977673931974408</v>
      </c>
      <c r="T26" s="21">
        <v>3.5494768471432202E-2</v>
      </c>
      <c r="U26" s="23">
        <f t="shared" si="6"/>
        <v>3.6000000000000004E-2</v>
      </c>
      <c r="V26" s="29">
        <v>0.10633993931656163</v>
      </c>
      <c r="W26" s="67">
        <v>2.7653749848294638E-2</v>
      </c>
      <c r="X26" s="23">
        <f t="shared" si="7"/>
        <v>2.8000000000000001E-2</v>
      </c>
    </row>
    <row r="27" spans="2:24" x14ac:dyDescent="0.3">
      <c r="B27" s="11">
        <v>210</v>
      </c>
      <c r="C27" s="21">
        <v>0.1196</v>
      </c>
      <c r="D27" s="21">
        <f t="shared" si="8"/>
        <v>1.598E-3</v>
      </c>
      <c r="E27" s="21">
        <f t="shared" si="0"/>
        <v>1.6000000000000001E-3</v>
      </c>
      <c r="F27" s="21">
        <v>7.8299999999999995E-2</v>
      </c>
      <c r="G27" s="21">
        <f t="shared" si="1"/>
        <v>1.3914999999999999E-3</v>
      </c>
      <c r="H27" s="21">
        <f t="shared" si="2"/>
        <v>1.4E-3</v>
      </c>
      <c r="I27" s="21">
        <v>3.9800000000000002E-2</v>
      </c>
      <c r="J27" s="21">
        <f t="shared" si="3"/>
        <v>1.199E-3</v>
      </c>
      <c r="K27" s="21">
        <f t="shared" si="4"/>
        <v>1.2000000000000001E-3</v>
      </c>
      <c r="N27" s="11">
        <v>210</v>
      </c>
      <c r="O27" s="11">
        <v>3.6651914291880923</v>
      </c>
      <c r="P27" s="29">
        <v>0.19223411759467202</v>
      </c>
      <c r="Q27" s="21">
        <v>2.6416562637451974E-2</v>
      </c>
      <c r="R27" s="23">
        <f t="shared" si="5"/>
        <v>2.7E-2</v>
      </c>
      <c r="S27" s="21">
        <v>0.19281460554216229</v>
      </c>
      <c r="T27" s="21">
        <v>3.7293844178104635E-2</v>
      </c>
      <c r="U27" s="23">
        <f t="shared" si="6"/>
        <v>3.7999999999999999E-2</v>
      </c>
      <c r="V27" s="29">
        <v>0.18956211808464682</v>
      </c>
      <c r="W27" s="67">
        <v>3.0720613489273785E-2</v>
      </c>
      <c r="X27" s="23">
        <f t="shared" si="7"/>
        <v>3.1E-2</v>
      </c>
    </row>
    <row r="28" spans="2:24" x14ac:dyDescent="0.3">
      <c r="B28" s="11">
        <v>220</v>
      </c>
      <c r="C28" s="21">
        <v>0.1651</v>
      </c>
      <c r="D28" s="21">
        <f t="shared" si="8"/>
        <v>1.8254999999999999E-3</v>
      </c>
      <c r="E28" s="21">
        <f t="shared" si="0"/>
        <v>1.9E-3</v>
      </c>
      <c r="F28" s="21">
        <v>0.1099</v>
      </c>
      <c r="G28" s="21">
        <f t="shared" si="1"/>
        <v>1.5495000000000001E-3</v>
      </c>
      <c r="H28" s="21">
        <f t="shared" si="2"/>
        <v>1.6000000000000001E-3</v>
      </c>
      <c r="I28" s="21">
        <v>5.8099999999999999E-2</v>
      </c>
      <c r="J28" s="21">
        <f t="shared" si="3"/>
        <v>1.2905E-3</v>
      </c>
      <c r="K28" s="21">
        <f t="shared" si="4"/>
        <v>1.2999999999999999E-3</v>
      </c>
      <c r="N28" s="11">
        <v>220</v>
      </c>
      <c r="O28" s="11">
        <v>3.839724354387525</v>
      </c>
      <c r="P28" s="29">
        <v>0.26946428435618186</v>
      </c>
      <c r="Q28" s="21">
        <v>3.1614224379154003E-2</v>
      </c>
      <c r="R28" s="23">
        <f t="shared" si="5"/>
        <v>3.2000000000000001E-2</v>
      </c>
      <c r="S28" s="21">
        <v>0.26999389754407987</v>
      </c>
      <c r="T28" s="21">
        <v>3.9711321770843647E-2</v>
      </c>
      <c r="U28" s="23">
        <f t="shared" si="6"/>
        <v>0.04</v>
      </c>
      <c r="V28" s="29">
        <v>0.26702454781778989</v>
      </c>
      <c r="W28" s="67">
        <v>3.4653727818470259E-2</v>
      </c>
      <c r="X28" s="23">
        <f t="shared" si="7"/>
        <v>3.5000000000000003E-2</v>
      </c>
    </row>
    <row r="29" spans="2:24" x14ac:dyDescent="0.3">
      <c r="B29" s="11">
        <v>230</v>
      </c>
      <c r="C29" s="28">
        <v>0.21</v>
      </c>
      <c r="D29" s="21">
        <f t="shared" si="8"/>
        <v>2.0499999999999997E-3</v>
      </c>
      <c r="E29" s="21">
        <f t="shared" si="0"/>
        <v>2.0999999999999999E-3</v>
      </c>
      <c r="F29" s="21">
        <v>0.13780000000000001</v>
      </c>
      <c r="G29" s="21">
        <f t="shared" si="1"/>
        <v>1.689E-3</v>
      </c>
      <c r="H29" s="21">
        <f t="shared" si="2"/>
        <v>1.7000000000000001E-3</v>
      </c>
      <c r="I29" s="21">
        <v>7.1300000000000002E-2</v>
      </c>
      <c r="J29" s="21">
        <f t="shared" si="3"/>
        <v>1.3565000000000001E-3</v>
      </c>
      <c r="K29" s="21">
        <f t="shared" si="4"/>
        <v>1.4E-3</v>
      </c>
      <c r="N29" s="11">
        <v>230</v>
      </c>
      <c r="O29" s="11">
        <v>4.0142572795869578</v>
      </c>
      <c r="P29" s="29">
        <v>0.33850691519303633</v>
      </c>
      <c r="Q29" s="29">
        <v>3.6804012072319099E-2</v>
      </c>
      <c r="R29" s="23">
        <f t="shared" si="5"/>
        <v>3.6999999999999998E-2</v>
      </c>
      <c r="S29" s="21">
        <v>0.33896956159262503</v>
      </c>
      <c r="T29" s="21">
        <v>4.2378059706818599E-2</v>
      </c>
      <c r="U29" s="23">
        <f t="shared" si="6"/>
        <v>4.3000000000000003E-2</v>
      </c>
      <c r="V29" s="29">
        <v>0.3363735717864304</v>
      </c>
      <c r="W29" s="67">
        <v>3.8795503807919983E-2</v>
      </c>
      <c r="X29" s="23">
        <f t="shared" si="7"/>
        <v>3.9E-2</v>
      </c>
    </row>
    <row r="30" spans="2:24" x14ac:dyDescent="0.3">
      <c r="B30" s="11">
        <v>240</v>
      </c>
      <c r="C30" s="21">
        <v>0.2467</v>
      </c>
      <c r="D30" s="21">
        <f t="shared" si="8"/>
        <v>2.2335000000000002E-3</v>
      </c>
      <c r="E30" s="21">
        <f t="shared" si="0"/>
        <v>2.3E-3</v>
      </c>
      <c r="F30" s="21">
        <v>0.15939999999999999</v>
      </c>
      <c r="G30" s="21">
        <f t="shared" si="1"/>
        <v>1.797E-3</v>
      </c>
      <c r="H30" s="21">
        <f t="shared" si="2"/>
        <v>1.8E-3</v>
      </c>
      <c r="I30" s="21">
        <v>8.2900000000000001E-2</v>
      </c>
      <c r="J30" s="21">
        <f t="shared" si="3"/>
        <v>1.4145E-3</v>
      </c>
      <c r="K30" s="21">
        <f t="shared" si="4"/>
        <v>1.5E-3</v>
      </c>
      <c r="N30" s="11">
        <v>240</v>
      </c>
      <c r="O30" s="11">
        <v>4.1887902047863905</v>
      </c>
      <c r="P30" s="29">
        <v>0.39726418470451452</v>
      </c>
      <c r="Q30" s="21">
        <v>4.1475724532899293E-2</v>
      </c>
      <c r="R30" s="23">
        <f t="shared" si="5"/>
        <v>4.2000000000000003E-2</v>
      </c>
      <c r="S30" s="21">
        <v>0.39764580703905272</v>
      </c>
      <c r="T30" s="21">
        <v>4.4957307919115147E-2</v>
      </c>
      <c r="U30" s="23">
        <f t="shared" si="6"/>
        <v>4.4999999999999998E-2</v>
      </c>
      <c r="V30" s="29">
        <v>0.39550205498958046</v>
      </c>
      <c r="W30" s="67">
        <v>4.265787896315891E-2</v>
      </c>
      <c r="X30" s="23">
        <f t="shared" si="7"/>
        <v>4.3000000000000003E-2</v>
      </c>
    </row>
    <row r="31" spans="2:24" x14ac:dyDescent="0.3">
      <c r="B31" s="11">
        <v>250</v>
      </c>
      <c r="C31" s="21">
        <v>0.27429999999999999</v>
      </c>
      <c r="D31" s="21">
        <f t="shared" si="8"/>
        <v>2.3714999999999999E-3</v>
      </c>
      <c r="E31" s="21">
        <f t="shared" si="0"/>
        <v>2.3999999999999998E-3</v>
      </c>
      <c r="F31" s="21">
        <v>0.17760000000000001</v>
      </c>
      <c r="G31" s="21">
        <f t="shared" si="1"/>
        <v>1.8879999999999999E-3</v>
      </c>
      <c r="H31" s="21">
        <f t="shared" si="2"/>
        <v>1.9E-3</v>
      </c>
      <c r="I31" s="21">
        <v>9.1600000000000001E-2</v>
      </c>
      <c r="J31" s="21">
        <f t="shared" si="3"/>
        <v>1.4580000000000001E-3</v>
      </c>
      <c r="K31" s="21">
        <f t="shared" si="4"/>
        <v>1.5E-3</v>
      </c>
      <c r="N31" s="11">
        <v>250</v>
      </c>
      <c r="O31" s="11">
        <v>4.3633231299858233</v>
      </c>
      <c r="P31" s="29">
        <v>0.44395078298912322</v>
      </c>
      <c r="Q31" s="29">
        <v>4.5303990750253015E-2</v>
      </c>
      <c r="R31" s="23">
        <f t="shared" si="5"/>
        <v>4.5999999999999999E-2</v>
      </c>
      <c r="S31" s="21">
        <v>0.44423978585708618</v>
      </c>
      <c r="T31" s="21">
        <v>4.7176246333462304E-2</v>
      </c>
      <c r="U31" s="23">
        <f t="shared" si="6"/>
        <v>4.8000000000000001E-2</v>
      </c>
      <c r="V31" s="29">
        <v>0.44261340838556862</v>
      </c>
      <c r="W31" s="67">
        <v>4.5899298357322468E-2</v>
      </c>
      <c r="X31" s="23">
        <f t="shared" si="7"/>
        <v>4.5999999999999999E-2</v>
      </c>
    </row>
    <row r="32" spans="2:24" x14ac:dyDescent="0.3">
      <c r="B32" s="11">
        <v>260</v>
      </c>
      <c r="C32" s="21">
        <v>0.29220000000000002</v>
      </c>
      <c r="D32" s="21">
        <f t="shared" si="8"/>
        <v>2.4610000000000001E-3</v>
      </c>
      <c r="E32" s="21">
        <f t="shared" si="0"/>
        <v>2.4999999999999996E-3</v>
      </c>
      <c r="F32" s="21">
        <v>0.1893</v>
      </c>
      <c r="G32" s="21">
        <f t="shared" si="1"/>
        <v>1.9464999999999999E-3</v>
      </c>
      <c r="H32" s="21">
        <f t="shared" si="2"/>
        <v>2E-3</v>
      </c>
      <c r="I32" s="21">
        <v>9.7600000000000006E-2</v>
      </c>
      <c r="J32" s="21">
        <f t="shared" si="3"/>
        <v>1.4880000000000002E-3</v>
      </c>
      <c r="K32" s="21">
        <f t="shared" si="4"/>
        <v>1.5E-3</v>
      </c>
      <c r="N32" s="11">
        <v>260</v>
      </c>
      <c r="O32" s="11">
        <v>4.5378560551852569</v>
      </c>
      <c r="P32" s="29">
        <v>0.47714816138254323</v>
      </c>
      <c r="Q32" s="21">
        <v>4.8074033811923662E-2</v>
      </c>
      <c r="R32" s="23">
        <f t="shared" si="5"/>
        <v>4.9000000000000002E-2</v>
      </c>
      <c r="S32" s="21">
        <v>0.47733576357803048</v>
      </c>
      <c r="T32" s="21">
        <v>4.883193289766212E-2</v>
      </c>
      <c r="U32" s="23">
        <f t="shared" si="6"/>
        <v>4.9000000000000002E-2</v>
      </c>
      <c r="V32" s="29">
        <v>0.47627617734095296</v>
      </c>
      <c r="W32" s="67">
        <v>4.8286865612173741E-2</v>
      </c>
      <c r="X32" s="23">
        <f t="shared" si="7"/>
        <v>4.9000000000000002E-2</v>
      </c>
    </row>
    <row r="33" spans="2:24" x14ac:dyDescent="0.3">
      <c r="B33" s="11">
        <v>270</v>
      </c>
      <c r="C33" s="21">
        <v>0.30049999999999999</v>
      </c>
      <c r="D33" s="21">
        <f t="shared" si="8"/>
        <v>2.5025E-3</v>
      </c>
      <c r="E33" s="21">
        <f t="shared" si="0"/>
        <v>2.5999999999999999E-3</v>
      </c>
      <c r="F33" s="21">
        <v>0.1951</v>
      </c>
      <c r="G33" s="21">
        <f t="shared" si="1"/>
        <v>1.9754999999999998E-3</v>
      </c>
      <c r="H33" s="21">
        <f t="shared" si="2"/>
        <v>2E-3</v>
      </c>
      <c r="I33" s="21">
        <v>0.1009</v>
      </c>
      <c r="J33" s="21">
        <f t="shared" si="3"/>
        <v>1.5045000000000002E-3</v>
      </c>
      <c r="K33" s="21">
        <f t="shared" si="4"/>
        <v>1.6000000000000001E-3</v>
      </c>
      <c r="N33" s="11">
        <v>270</v>
      </c>
      <c r="O33" s="11">
        <v>4.7123889803846897</v>
      </c>
      <c r="P33" s="29">
        <v>0.49584763434097434</v>
      </c>
      <c r="Q33" s="21">
        <v>4.9648976028457151E-2</v>
      </c>
      <c r="R33" s="23">
        <f t="shared" si="5"/>
        <v>0.05</v>
      </c>
      <c r="S33" s="21">
        <v>0.49592813566620719</v>
      </c>
      <c r="T33" s="21">
        <v>4.9788201781155512E-2</v>
      </c>
      <c r="U33" s="23">
        <f t="shared" si="6"/>
        <v>0.05</v>
      </c>
      <c r="V33" s="29">
        <v>0.49546753565520685</v>
      </c>
      <c r="W33" s="67">
        <v>4.9670903958837061E-2</v>
      </c>
      <c r="X33" s="23">
        <f t="shared" si="7"/>
        <v>0.05</v>
      </c>
    </row>
    <row r="34" spans="2:24" x14ac:dyDescent="0.3">
      <c r="B34" s="11">
        <v>280</v>
      </c>
      <c r="C34" s="21">
        <v>0.2999</v>
      </c>
      <c r="D34" s="21">
        <f t="shared" si="8"/>
        <v>2.4995E-3</v>
      </c>
      <c r="E34" s="21">
        <f t="shared" si="0"/>
        <v>2.4999999999999996E-3</v>
      </c>
      <c r="F34" s="21">
        <v>0.19470000000000001</v>
      </c>
      <c r="G34" s="21">
        <f t="shared" si="1"/>
        <v>1.9735E-3</v>
      </c>
      <c r="H34" s="21">
        <f t="shared" si="2"/>
        <v>2E-3</v>
      </c>
      <c r="I34" s="21">
        <v>0.1007</v>
      </c>
      <c r="J34" s="21">
        <f t="shared" si="3"/>
        <v>1.5035000000000001E-3</v>
      </c>
      <c r="K34" s="21">
        <f t="shared" si="4"/>
        <v>1.6000000000000001E-3</v>
      </c>
      <c r="N34" s="11">
        <v>280</v>
      </c>
      <c r="O34" s="11">
        <v>4.8869219055841224</v>
      </c>
      <c r="P34" s="29">
        <v>0.4994810278409646</v>
      </c>
      <c r="Q34" s="21">
        <v>4.9956103446198712E-2</v>
      </c>
      <c r="R34" s="23">
        <f t="shared" si="5"/>
        <v>0.05</v>
      </c>
      <c r="S34" s="21">
        <v>0.49945198230391158</v>
      </c>
      <c r="T34" s="21">
        <v>4.99714464086813E-2</v>
      </c>
      <c r="U34" s="23">
        <f t="shared" si="6"/>
        <v>0.05</v>
      </c>
      <c r="V34" s="29">
        <v>0.49960436361724775</v>
      </c>
      <c r="W34" s="67">
        <v>4.9971240664883787E-2</v>
      </c>
      <c r="X34" s="23">
        <f t="shared" si="7"/>
        <v>0.05</v>
      </c>
    </row>
    <row r="35" spans="2:24" x14ac:dyDescent="0.3">
      <c r="B35" s="11">
        <v>290</v>
      </c>
      <c r="C35" s="21">
        <v>0.2898</v>
      </c>
      <c r="D35" s="21">
        <f t="shared" si="8"/>
        <v>2.4489999999999998E-3</v>
      </c>
      <c r="E35" s="21">
        <f t="shared" si="0"/>
        <v>2.4999999999999996E-3</v>
      </c>
      <c r="F35" s="21">
        <v>0.18809999999999999</v>
      </c>
      <c r="G35" s="21">
        <f t="shared" si="1"/>
        <v>1.9405E-3</v>
      </c>
      <c r="H35" s="21">
        <f t="shared" si="2"/>
        <v>2E-3</v>
      </c>
      <c r="I35" s="21">
        <v>9.7100000000000006E-2</v>
      </c>
      <c r="J35" s="21">
        <f t="shared" si="3"/>
        <v>1.4855000000000001E-3</v>
      </c>
      <c r="K35" s="21">
        <f t="shared" si="4"/>
        <v>1.5E-3</v>
      </c>
      <c r="N35" s="11">
        <v>290</v>
      </c>
      <c r="O35" s="11">
        <v>5.0614548307835552</v>
      </c>
      <c r="P35" s="29">
        <v>0.48793794305960264</v>
      </c>
      <c r="Q35" s="21">
        <v>4.8981601638312729E-2</v>
      </c>
      <c r="R35" s="23">
        <f t="shared" si="5"/>
        <v>4.9000000000000002E-2</v>
      </c>
      <c r="S35" s="21">
        <v>0.48780023319420934</v>
      </c>
      <c r="T35" s="21">
        <v>4.9367945479377257E-2</v>
      </c>
      <c r="U35" s="23">
        <f t="shared" si="6"/>
        <v>0.05</v>
      </c>
      <c r="V35" s="29">
        <v>0.48856096580278496</v>
      </c>
      <c r="W35" s="67">
        <v>4.9171032433208507E-2</v>
      </c>
      <c r="X35" s="23">
        <f t="shared" si="7"/>
        <v>0.05</v>
      </c>
    </row>
    <row r="36" spans="2:24" x14ac:dyDescent="0.3">
      <c r="B36" s="11">
        <v>300</v>
      </c>
      <c r="C36" s="21">
        <v>0.2727</v>
      </c>
      <c r="D36" s="21">
        <f t="shared" si="8"/>
        <v>2.3635000000000001E-3</v>
      </c>
      <c r="E36" s="21">
        <f t="shared" si="0"/>
        <v>2.3999999999999998E-3</v>
      </c>
      <c r="F36" s="28">
        <v>0.17599999999999999</v>
      </c>
      <c r="G36" s="21">
        <f t="shared" si="1"/>
        <v>1.8799999999999999E-3</v>
      </c>
      <c r="H36" s="21">
        <f t="shared" si="2"/>
        <v>1.9E-3</v>
      </c>
      <c r="I36" s="21">
        <v>9.0899999999999995E-2</v>
      </c>
      <c r="J36" s="21">
        <f t="shared" si="3"/>
        <v>1.4545000000000001E-3</v>
      </c>
      <c r="K36" s="21">
        <f t="shared" si="4"/>
        <v>1.5E-3</v>
      </c>
      <c r="N36" s="11">
        <v>300</v>
      </c>
      <c r="O36" s="11">
        <v>5.2359877559829888</v>
      </c>
      <c r="P36" s="29">
        <v>0.46156911078688728</v>
      </c>
      <c r="Q36" s="21">
        <v>4.6769701430190443E-2</v>
      </c>
      <c r="R36" s="23">
        <f t="shared" si="5"/>
        <v>4.7E-2</v>
      </c>
      <c r="S36" s="21">
        <v>0.46132692083772908</v>
      </c>
      <c r="T36" s="21">
        <v>4.8023346573459386E-2</v>
      </c>
      <c r="U36" s="23">
        <f t="shared" si="6"/>
        <v>4.9000000000000002E-2</v>
      </c>
      <c r="V36" s="29">
        <v>0.46267289026618191</v>
      </c>
      <c r="W36" s="67">
        <v>4.7315581134150179E-2</v>
      </c>
      <c r="X36" s="23">
        <f t="shared" si="7"/>
        <v>4.8000000000000001E-2</v>
      </c>
    </row>
    <row r="37" spans="2:24" x14ac:dyDescent="0.3">
      <c r="B37" s="11">
        <v>310</v>
      </c>
      <c r="C37" s="21">
        <v>0.24349999999999999</v>
      </c>
      <c r="D37" s="21">
        <f t="shared" si="8"/>
        <v>2.2174999999999999E-3</v>
      </c>
      <c r="E37" s="21">
        <f t="shared" si="0"/>
        <v>2.3E-3</v>
      </c>
      <c r="F37" s="21">
        <v>0.1588</v>
      </c>
      <c r="G37" s="21">
        <f t="shared" si="1"/>
        <v>1.794E-3</v>
      </c>
      <c r="H37" s="21">
        <f t="shared" si="2"/>
        <v>1.8E-3</v>
      </c>
      <c r="I37" s="21">
        <v>8.1900000000000001E-2</v>
      </c>
      <c r="J37" s="21">
        <f t="shared" si="3"/>
        <v>1.4095000000000002E-3</v>
      </c>
      <c r="K37" s="21">
        <f t="shared" si="4"/>
        <v>1.5E-3</v>
      </c>
      <c r="N37" s="11">
        <v>310</v>
      </c>
      <c r="O37" s="11">
        <v>5.4105206811824216</v>
      </c>
      <c r="P37" s="29">
        <v>0.42117573464815228</v>
      </c>
      <c r="Q37" s="21">
        <v>4.3425575072209302E-2</v>
      </c>
      <c r="R37" s="23">
        <f t="shared" si="5"/>
        <v>4.3999999999999997E-2</v>
      </c>
      <c r="S37" s="21">
        <v>0.42083642343428035</v>
      </c>
      <c r="T37" s="21">
        <v>4.6044365050545134E-2</v>
      </c>
      <c r="U37" s="23">
        <f t="shared" si="6"/>
        <v>4.7E-2</v>
      </c>
      <c r="V37" s="29">
        <v>0.42272673308262021</v>
      </c>
      <c r="W37" s="67">
        <v>4.4515609166932438E-2</v>
      </c>
      <c r="X37" s="23">
        <f t="shared" si="7"/>
        <v>4.4999999999999998E-2</v>
      </c>
    </row>
    <row r="38" spans="2:24" x14ac:dyDescent="0.3">
      <c r="B38" s="11">
        <v>320</v>
      </c>
      <c r="C38" s="21">
        <v>0.2074</v>
      </c>
      <c r="D38" s="21">
        <f t="shared" si="8"/>
        <v>2.0369999999999997E-3</v>
      </c>
      <c r="E38" s="21">
        <f t="shared" si="0"/>
        <v>2.0999999999999999E-3</v>
      </c>
      <c r="F38" s="21">
        <v>0.13469999999999999</v>
      </c>
      <c r="G38" s="21">
        <f t="shared" si="1"/>
        <v>1.6735000000000001E-3</v>
      </c>
      <c r="H38" s="21">
        <f t="shared" si="2"/>
        <v>1.7000000000000001E-3</v>
      </c>
      <c r="I38" s="21">
        <v>6.93E-2</v>
      </c>
      <c r="J38" s="21">
        <f t="shared" si="3"/>
        <v>1.3465E-3</v>
      </c>
      <c r="K38" s="21">
        <f t="shared" si="4"/>
        <v>1.4E-3</v>
      </c>
      <c r="N38" s="11">
        <v>320</v>
      </c>
      <c r="O38" s="11">
        <v>5.5850536063818543</v>
      </c>
      <c r="P38" s="29">
        <v>0.36798514693733836</v>
      </c>
      <c r="Q38" s="21">
        <v>3.9124218188075925E-2</v>
      </c>
      <c r="R38" s="23">
        <f t="shared" si="5"/>
        <v>0.04</v>
      </c>
      <c r="S38" s="21">
        <v>0.36755902425828646</v>
      </c>
      <c r="T38" s="29">
        <v>4.3602438982018661E-2</v>
      </c>
      <c r="U38" s="23">
        <f t="shared" si="6"/>
        <v>4.3999999999999997E-2</v>
      </c>
      <c r="V38" s="29">
        <v>0.36993623802439141</v>
      </c>
      <c r="W38" s="67">
        <v>4.0956430453707331E-2</v>
      </c>
      <c r="X38" s="23">
        <f t="shared" si="7"/>
        <v>4.1000000000000002E-2</v>
      </c>
    </row>
    <row r="39" spans="2:24" x14ac:dyDescent="0.3">
      <c r="B39" s="11">
        <v>330</v>
      </c>
      <c r="C39" s="21">
        <v>0.16839999999999999</v>
      </c>
      <c r="D39" s="21">
        <f t="shared" si="8"/>
        <v>1.8419999999999999E-3</v>
      </c>
      <c r="E39" s="21">
        <f t="shared" si="0"/>
        <v>1.9E-3</v>
      </c>
      <c r="F39" s="21">
        <v>0.10979999999999999</v>
      </c>
      <c r="G39" s="21">
        <f t="shared" si="1"/>
        <v>1.549E-3</v>
      </c>
      <c r="H39" s="21">
        <f t="shared" si="2"/>
        <v>1.6000000000000001E-3</v>
      </c>
      <c r="I39" s="21">
        <v>5.5899999999999998E-2</v>
      </c>
      <c r="J39" s="21">
        <f t="shared" si="3"/>
        <v>1.2795E-3</v>
      </c>
      <c r="K39" s="21">
        <f t="shared" si="4"/>
        <v>1.2999999999999999E-3</v>
      </c>
      <c r="N39" s="11">
        <v>330</v>
      </c>
      <c r="O39" s="11">
        <v>5.7595865315812871</v>
      </c>
      <c r="P39" s="29">
        <v>0.3036135167463026</v>
      </c>
      <c r="Q39" s="21">
        <v>3.4132155336553782E-2</v>
      </c>
      <c r="R39" s="23">
        <f t="shared" si="5"/>
        <v>3.5000000000000003E-2</v>
      </c>
      <c r="S39" s="21">
        <v>0.30311353012404524</v>
      </c>
      <c r="T39" s="21">
        <v>4.0937917562587488E-2</v>
      </c>
      <c r="U39" s="23">
        <f t="shared" si="6"/>
        <v>4.1000000000000002E-2</v>
      </c>
      <c r="V39" s="29">
        <v>0.30590541757056033</v>
      </c>
      <c r="W39" s="67">
        <v>3.6916468866674983E-2</v>
      </c>
      <c r="X39" s="23">
        <f t="shared" si="7"/>
        <v>3.6999999999999998E-2</v>
      </c>
    </row>
    <row r="40" spans="2:24" x14ac:dyDescent="0.3">
      <c r="B40" s="11">
        <v>340</v>
      </c>
      <c r="C40" s="21">
        <v>0.11550000000000001</v>
      </c>
      <c r="D40" s="21">
        <f t="shared" si="8"/>
        <v>1.5774999999999999E-3</v>
      </c>
      <c r="E40" s="21">
        <f t="shared" si="0"/>
        <v>1.6000000000000001E-3</v>
      </c>
      <c r="F40" s="21">
        <v>7.6499999999999999E-2</v>
      </c>
      <c r="G40" s="21">
        <f t="shared" si="1"/>
        <v>1.3825E-3</v>
      </c>
      <c r="H40" s="21">
        <f t="shared" si="2"/>
        <v>1.4E-3</v>
      </c>
      <c r="I40" s="21">
        <v>3.9399999999999998E-2</v>
      </c>
      <c r="J40" s="21">
        <f t="shared" si="3"/>
        <v>1.1969999999999999E-3</v>
      </c>
      <c r="K40" s="21">
        <f t="shared" si="4"/>
        <v>1.2000000000000001E-3</v>
      </c>
      <c r="N40" s="11">
        <v>340</v>
      </c>
      <c r="O40" s="11">
        <v>5.9341194567807207</v>
      </c>
      <c r="P40" s="29">
        <v>0.2300167434847826</v>
      </c>
      <c r="Q40" s="21">
        <v>2.885806950488146E-2</v>
      </c>
      <c r="R40" s="23">
        <f t="shared" si="5"/>
        <v>2.9000000000000001E-2</v>
      </c>
      <c r="S40" s="21">
        <v>0.22945808475983157</v>
      </c>
      <c r="T40" s="21">
        <v>3.8359802027380506E-2</v>
      </c>
      <c r="U40" s="23">
        <f t="shared" si="6"/>
        <v>3.9E-2</v>
      </c>
      <c r="V40" s="29">
        <v>0.23257981579945772</v>
      </c>
      <c r="W40" s="67">
        <v>3.2799004886203367E-2</v>
      </c>
      <c r="X40" s="23">
        <f t="shared" si="7"/>
        <v>3.3000000000000002E-2</v>
      </c>
    </row>
    <row r="41" spans="2:24" x14ac:dyDescent="0.3">
      <c r="B41" s="11">
        <v>350</v>
      </c>
      <c r="C41" s="21">
        <v>6.0900000000000003E-2</v>
      </c>
      <c r="D41" s="21">
        <f t="shared" si="8"/>
        <v>1.3045000000000001E-3</v>
      </c>
      <c r="E41" s="21">
        <f t="shared" si="0"/>
        <v>1.4E-3</v>
      </c>
      <c r="F41" s="21">
        <v>4.24E-2</v>
      </c>
      <c r="G41" s="21">
        <f t="shared" si="1"/>
        <v>1.212E-3</v>
      </c>
      <c r="H41" s="21">
        <f t="shared" si="2"/>
        <v>1.2999999999999999E-3</v>
      </c>
      <c r="I41" s="21">
        <v>2.1600000000000001E-2</v>
      </c>
      <c r="J41" s="21">
        <f t="shared" si="3"/>
        <v>1.108E-3</v>
      </c>
      <c r="K41" s="21">
        <f t="shared" si="4"/>
        <v>1.2000000000000001E-3</v>
      </c>
      <c r="N41" s="11">
        <v>350</v>
      </c>
      <c r="O41" s="11">
        <v>6.1086523819801526</v>
      </c>
      <c r="P41" s="29">
        <v>0.14943102786656659</v>
      </c>
      <c r="Q41" s="21">
        <v>2.3960947946556746E-2</v>
      </c>
      <c r="R41" s="23">
        <f t="shared" si="5"/>
        <v>2.4E-2</v>
      </c>
      <c r="S41" s="21">
        <v>0.14883067160158461</v>
      </c>
      <c r="T41" s="21">
        <v>3.6228648321094827E-2</v>
      </c>
      <c r="U41" s="23">
        <f t="shared" si="6"/>
        <v>3.6999999999999998E-2</v>
      </c>
      <c r="V41" s="29">
        <v>0.15218739401635489</v>
      </c>
      <c r="W41" s="67">
        <v>2.9170171761091369E-2</v>
      </c>
      <c r="X41" s="23">
        <f t="shared" si="7"/>
        <v>3.0000000000000002E-2</v>
      </c>
    </row>
    <row r="42" spans="2:24" x14ac:dyDescent="0.3">
      <c r="B42" s="11">
        <v>360</v>
      </c>
      <c r="C42" s="21">
        <v>1.6000000000000001E-3</v>
      </c>
      <c r="D42" s="21">
        <f t="shared" si="8"/>
        <v>1.008E-3</v>
      </c>
      <c r="E42" s="21">
        <f t="shared" si="0"/>
        <v>1.1000000000000001E-3</v>
      </c>
      <c r="F42" s="21">
        <v>2.8E-3</v>
      </c>
      <c r="G42" s="21">
        <f t="shared" si="1"/>
        <v>1.0139999999999999E-3</v>
      </c>
      <c r="H42" s="21">
        <f t="shared" si="2"/>
        <v>1.1000000000000001E-3</v>
      </c>
      <c r="I42" s="21">
        <v>1.1000000000000001E-3</v>
      </c>
      <c r="J42" s="21">
        <f t="shared" si="3"/>
        <v>1.0055000000000001E-3</v>
      </c>
      <c r="K42" s="21">
        <f t="shared" si="4"/>
        <v>1.1000000000000001E-3</v>
      </c>
      <c r="N42" s="11">
        <v>360</v>
      </c>
      <c r="O42" s="11">
        <v>6.2831853071795862</v>
      </c>
      <c r="P42" s="29">
        <v>6.4304926082372746E-2</v>
      </c>
      <c r="Q42" s="29">
        <v>2.0499242248758088E-2</v>
      </c>
      <c r="R42" s="23">
        <f t="shared" si="5"/>
        <v>2.1000000000000001E-2</v>
      </c>
      <c r="S42" s="21">
        <v>6.3681113798676373E-2</v>
      </c>
      <c r="T42" s="29">
        <v>3.4902830731822966E-2</v>
      </c>
      <c r="U42" s="23">
        <f t="shared" si="6"/>
        <v>3.5000000000000003E-2</v>
      </c>
      <c r="V42" s="29">
        <v>6.7170835276601462E-2</v>
      </c>
      <c r="W42" s="67">
        <v>2.6745497025325277E-2</v>
      </c>
      <c r="X42" s="23">
        <f t="shared" si="7"/>
        <v>2.7E-2</v>
      </c>
    </row>
    <row r="45" spans="2:24" x14ac:dyDescent="0.3">
      <c r="B45" t="s">
        <v>68</v>
      </c>
    </row>
    <row r="46" spans="2:24" x14ac:dyDescent="0.3">
      <c r="B46" s="24" t="s">
        <v>45</v>
      </c>
      <c r="C46" s="77">
        <v>4.3999999999999997E-2</v>
      </c>
      <c r="D46" s="77"/>
      <c r="E46" s="77"/>
      <c r="F46" s="77"/>
      <c r="G46" s="77"/>
      <c r="H46" s="77"/>
      <c r="K46" s="84" t="s">
        <v>24</v>
      </c>
      <c r="L46" s="84"/>
      <c r="M46" s="77">
        <v>15</v>
      </c>
      <c r="N46" s="77"/>
      <c r="O46" s="77">
        <v>10</v>
      </c>
      <c r="P46" s="77"/>
      <c r="Q46" s="77">
        <v>5</v>
      </c>
      <c r="R46" s="77"/>
      <c r="T46" s="30"/>
      <c r="U46" s="31"/>
    </row>
    <row r="47" spans="2:24" x14ac:dyDescent="0.3">
      <c r="B47" s="24" t="s">
        <v>24</v>
      </c>
      <c r="C47" s="87">
        <v>15</v>
      </c>
      <c r="D47" s="87"/>
      <c r="E47" s="87">
        <v>10</v>
      </c>
      <c r="F47" s="87"/>
      <c r="G47" s="87">
        <v>5</v>
      </c>
      <c r="H47" s="87"/>
      <c r="K47" s="78"/>
      <c r="L47" s="79"/>
      <c r="M47" s="79"/>
      <c r="N47" s="79"/>
      <c r="O47" s="79"/>
      <c r="P47" s="79"/>
      <c r="Q47" s="79"/>
      <c r="R47" s="81"/>
      <c r="S47" s="30"/>
      <c r="T47" s="30"/>
      <c r="U47" s="31"/>
    </row>
    <row r="48" spans="2:24" x14ac:dyDescent="0.3">
      <c r="B48" s="19"/>
      <c r="C48" s="77" t="s">
        <v>47</v>
      </c>
      <c r="D48" s="77"/>
      <c r="E48" s="77" t="s">
        <v>48</v>
      </c>
      <c r="F48" s="77"/>
      <c r="G48" s="77" t="s">
        <v>49</v>
      </c>
      <c r="H48" s="77"/>
      <c r="K48" s="89" t="s">
        <v>25</v>
      </c>
      <c r="L48" s="90"/>
      <c r="M48" s="90"/>
      <c r="N48" s="90"/>
      <c r="O48" s="90"/>
      <c r="P48" s="90"/>
      <c r="Q48" s="90"/>
      <c r="R48" s="90"/>
    </row>
    <row r="49" spans="2:21" x14ac:dyDescent="0.3">
      <c r="B49" s="24" t="s">
        <v>33</v>
      </c>
      <c r="C49" s="12" t="s">
        <v>51</v>
      </c>
      <c r="D49" s="12" t="s">
        <v>50</v>
      </c>
      <c r="E49" s="12" t="s">
        <v>51</v>
      </c>
      <c r="F49" s="12" t="s">
        <v>50</v>
      </c>
      <c r="G49" s="12" t="s">
        <v>51</v>
      </c>
      <c r="H49" s="12" t="s">
        <v>50</v>
      </c>
      <c r="K49" s="24" t="s">
        <v>33</v>
      </c>
      <c r="L49" s="24" t="s">
        <v>62</v>
      </c>
      <c r="M49" s="24" t="s">
        <v>26</v>
      </c>
      <c r="N49" s="24" t="s">
        <v>27</v>
      </c>
      <c r="O49" s="24" t="s">
        <v>26</v>
      </c>
      <c r="P49" s="24" t="s">
        <v>27</v>
      </c>
      <c r="Q49" s="24" t="s">
        <v>26</v>
      </c>
      <c r="R49" s="24" t="s">
        <v>27</v>
      </c>
      <c r="U49" s="24"/>
    </row>
    <row r="50" spans="2:21" x14ac:dyDescent="0.3">
      <c r="B50" s="11">
        <v>0</v>
      </c>
      <c r="C50" s="29">
        <v>3.7999999999999999E-2</v>
      </c>
      <c r="D50" s="25">
        <f>ROUNDUP((0.005*ABS(C50)+0.001)/3^(0.5),5)</f>
        <v>6.9000000000000008E-4</v>
      </c>
      <c r="E50" s="29">
        <v>8.0000000000000002E-3</v>
      </c>
      <c r="F50" s="25">
        <f>ROUNDUP((0.005*ABS(E50)+0.001)/3^(0.5),5)</f>
        <v>6.0999999999999997E-4</v>
      </c>
      <c r="G50" s="29">
        <v>1.1000000000000001E-3</v>
      </c>
      <c r="H50" s="25">
        <f>ROUNDUP((0.005*ABS(G50)+0.001)/3^(0.5),5)</f>
        <v>5.9000000000000003E-4</v>
      </c>
      <c r="K50" s="11">
        <v>0</v>
      </c>
      <c r="L50" s="11">
        <v>0</v>
      </c>
      <c r="M50" s="29">
        <v>6.4304926082372621E-2</v>
      </c>
      <c r="N50" s="26">
        <v>2.1000000000000001E-2</v>
      </c>
      <c r="O50" s="65">
        <v>6.3681113798676248E-2</v>
      </c>
      <c r="P50" s="66">
        <v>3.5000000000000003E-2</v>
      </c>
      <c r="Q50" s="29">
        <v>6.7170835276601351E-2</v>
      </c>
      <c r="R50" s="26">
        <v>2.7E-2</v>
      </c>
      <c r="U50" s="26"/>
    </row>
    <row r="51" spans="2:21" x14ac:dyDescent="0.3">
      <c r="B51" s="11">
        <v>10</v>
      </c>
      <c r="C51" s="29">
        <v>-5.1499999999999997E-2</v>
      </c>
      <c r="D51" s="25">
        <f t="shared" ref="D51:D86" si="9">ROUNDUP((0.005*ABS(C51)+0.001)/3^(0.5),5)</f>
        <v>7.3000000000000007E-4</v>
      </c>
      <c r="E51" s="29">
        <v>-3.6600000000000001E-2</v>
      </c>
      <c r="F51" s="25">
        <f t="shared" ref="F51:F86" si="10">ROUNDUP((0.005*ABS(E51)+0.001)/3^(0.5),5)</f>
        <v>6.9000000000000008E-4</v>
      </c>
      <c r="G51" s="29">
        <v>-1.7500000000000002E-2</v>
      </c>
      <c r="H51" s="25">
        <f t="shared" ref="H51:H86" si="11">ROUNDUP((0.005*ABS(G51)+0.001)/3^(0.5),5)</f>
        <v>6.3000000000000003E-4</v>
      </c>
      <c r="K51" s="11">
        <v>10</v>
      </c>
      <c r="L51" s="11">
        <v>0.17453292519943295</v>
      </c>
      <c r="M51" s="29">
        <v>-2.2775048340971007E-2</v>
      </c>
      <c r="N51" s="26">
        <v>0.02</v>
      </c>
      <c r="O51" s="65">
        <v>-2.3403362422805912E-2</v>
      </c>
      <c r="P51" s="66">
        <v>3.5000000000000003E-2</v>
      </c>
      <c r="Q51" s="29">
        <v>-1.9886675302948478E-2</v>
      </c>
      <c r="R51" s="26">
        <v>2.7E-2</v>
      </c>
      <c r="U51" s="26"/>
    </row>
    <row r="52" spans="2:21" x14ac:dyDescent="0.3">
      <c r="B52" s="11">
        <v>20</v>
      </c>
      <c r="C52" s="29">
        <v>-0.1026</v>
      </c>
      <c r="D52" s="25">
        <f t="shared" si="9"/>
        <v>8.8000000000000003E-4</v>
      </c>
      <c r="E52" s="29">
        <v>-7.4200000000000002E-2</v>
      </c>
      <c r="F52" s="29">
        <f t="shared" si="10"/>
        <v>8.0000000000000004E-4</v>
      </c>
      <c r="G52" s="29">
        <v>-3.7199999999999997E-2</v>
      </c>
      <c r="H52" s="25">
        <f t="shared" si="11"/>
        <v>6.9000000000000008E-4</v>
      </c>
      <c r="K52" s="11">
        <v>20</v>
      </c>
      <c r="L52" s="11">
        <v>0.3490658503988659</v>
      </c>
      <c r="M52" s="29">
        <v>-0.10916301444520499</v>
      </c>
      <c r="N52" s="26">
        <v>2.3E-2</v>
      </c>
      <c r="O52" s="65">
        <v>-0.10977673931974415</v>
      </c>
      <c r="P52" s="66">
        <v>3.6000000000000004E-2</v>
      </c>
      <c r="Q52" s="29">
        <v>-0.10633993931656169</v>
      </c>
      <c r="R52" s="26">
        <v>2.8000000000000001E-2</v>
      </c>
      <c r="U52" s="26"/>
    </row>
    <row r="53" spans="2:21" x14ac:dyDescent="0.3">
      <c r="B53" s="11">
        <v>30</v>
      </c>
      <c r="C53" s="28">
        <v>-0.155</v>
      </c>
      <c r="D53" s="25">
        <f>ROUNDUP((0.005*ABS(C53)+0.001)/3^(0.5),4)</f>
        <v>1.1000000000000001E-3</v>
      </c>
      <c r="E53" s="29">
        <v>-0.1057</v>
      </c>
      <c r="F53" s="25">
        <f t="shared" si="10"/>
        <v>8.9000000000000006E-4</v>
      </c>
      <c r="G53" s="29">
        <v>-5.4199999999999998E-2</v>
      </c>
      <c r="H53" s="25">
        <f t="shared" si="11"/>
        <v>7.3999999999999999E-4</v>
      </c>
      <c r="K53" s="11">
        <v>30</v>
      </c>
      <c r="L53" s="11">
        <v>0.52359877559829882</v>
      </c>
      <c r="M53" s="29">
        <v>-0.19223411759467185</v>
      </c>
      <c r="N53" s="26">
        <v>2.7E-2</v>
      </c>
      <c r="O53" s="65">
        <v>-0.19281460554216215</v>
      </c>
      <c r="P53" s="66">
        <v>3.7999999999999999E-2</v>
      </c>
      <c r="Q53" s="29">
        <v>-0.18956211808464665</v>
      </c>
      <c r="R53" s="26">
        <v>3.1E-2</v>
      </c>
      <c r="U53" s="26"/>
    </row>
    <row r="54" spans="2:21" x14ac:dyDescent="0.3">
      <c r="B54" s="11">
        <v>40</v>
      </c>
      <c r="C54" s="25">
        <v>-0.2011</v>
      </c>
      <c r="D54" s="25">
        <f t="shared" ref="D54:D65" si="12">ROUNDUP((0.005*ABS(C54)+0.001)/3^(0.5),4)</f>
        <v>1.2000000000000001E-3</v>
      </c>
      <c r="E54" s="29">
        <v>-0.1363</v>
      </c>
      <c r="F54" s="25">
        <f t="shared" si="10"/>
        <v>9.7999999999999997E-4</v>
      </c>
      <c r="G54" s="29">
        <v>-6.9000000000000006E-2</v>
      </c>
      <c r="H54" s="25">
        <f t="shared" si="11"/>
        <v>7.7999999999999999E-4</v>
      </c>
      <c r="K54" s="11">
        <v>40</v>
      </c>
      <c r="L54" s="11">
        <v>0.69813170079773179</v>
      </c>
      <c r="M54" s="29">
        <v>-0.26946428435618192</v>
      </c>
      <c r="N54" s="26">
        <v>3.2000000000000001E-2</v>
      </c>
      <c r="O54" s="65">
        <v>-0.26999389754407993</v>
      </c>
      <c r="P54" s="66">
        <v>0.04</v>
      </c>
      <c r="Q54" s="29">
        <v>-0.26702454781778995</v>
      </c>
      <c r="R54" s="26">
        <v>3.5000000000000003E-2</v>
      </c>
      <c r="U54" s="26"/>
    </row>
    <row r="55" spans="2:21" x14ac:dyDescent="0.3">
      <c r="B55" s="11">
        <v>50</v>
      </c>
      <c r="C55" s="25">
        <v>-0.2402</v>
      </c>
      <c r="D55" s="25">
        <f t="shared" si="12"/>
        <v>1.2999999999999999E-3</v>
      </c>
      <c r="E55" s="25">
        <v>-0.16209999999999999</v>
      </c>
      <c r="F55" s="25">
        <f>ROUNDUP((0.005*ABS(E55)+0.001)/3^(0.5),4)</f>
        <v>1.1000000000000001E-3</v>
      </c>
      <c r="G55" s="29">
        <v>-8.4000000000000005E-2</v>
      </c>
      <c r="H55" s="25">
        <f t="shared" si="11"/>
        <v>8.1999999999999998E-4</v>
      </c>
      <c r="K55" s="11">
        <v>50</v>
      </c>
      <c r="L55" s="11">
        <v>0.87266462599716477</v>
      </c>
      <c r="M55" s="29">
        <v>-0.33850691519303638</v>
      </c>
      <c r="N55" s="26">
        <v>3.6999999999999998E-2</v>
      </c>
      <c r="O55" s="65">
        <v>-0.33896956159262503</v>
      </c>
      <c r="P55" s="66">
        <v>4.3000000000000003E-2</v>
      </c>
      <c r="Q55" s="29">
        <v>-0.33637357178643046</v>
      </c>
      <c r="R55" s="26">
        <v>3.9E-2</v>
      </c>
      <c r="U55" s="26"/>
    </row>
    <row r="56" spans="2:21" x14ac:dyDescent="0.3">
      <c r="B56" s="11">
        <v>60</v>
      </c>
      <c r="C56" s="25">
        <v>-0.28520000000000001</v>
      </c>
      <c r="D56" s="25">
        <f t="shared" si="12"/>
        <v>1.5E-3</v>
      </c>
      <c r="E56" s="25">
        <v>-0.18479999999999999</v>
      </c>
      <c r="F56" s="25">
        <f t="shared" ref="F56:F62" si="13">ROUNDUP((0.005*ABS(E56)+0.001)/3^(0.5),4)</f>
        <v>1.2000000000000001E-3</v>
      </c>
      <c r="G56" s="29">
        <v>-9.5699999999999993E-2</v>
      </c>
      <c r="H56" s="25">
        <f t="shared" si="11"/>
        <v>8.5999999999999998E-4</v>
      </c>
      <c r="K56" s="11">
        <v>60</v>
      </c>
      <c r="L56" s="11">
        <v>1.0471975511965976</v>
      </c>
      <c r="M56" s="29">
        <v>-0.39726418470451458</v>
      </c>
      <c r="N56" s="26">
        <v>4.2000000000000003E-2</v>
      </c>
      <c r="O56" s="65">
        <v>-0.39764580703905289</v>
      </c>
      <c r="P56" s="66">
        <v>4.4999999999999998E-2</v>
      </c>
      <c r="Q56" s="29">
        <v>-0.39550205498958052</v>
      </c>
      <c r="R56" s="26">
        <v>4.3000000000000003E-2</v>
      </c>
      <c r="U56" s="26"/>
    </row>
    <row r="57" spans="2:21" x14ac:dyDescent="0.3">
      <c r="B57" s="11">
        <v>70</v>
      </c>
      <c r="C57" s="25">
        <v>-0.30890000000000001</v>
      </c>
      <c r="D57" s="25">
        <f t="shared" si="12"/>
        <v>1.5E-3</v>
      </c>
      <c r="E57" s="25">
        <v>-0.20080000000000001</v>
      </c>
      <c r="F57" s="25">
        <f t="shared" si="13"/>
        <v>1.2000000000000001E-3</v>
      </c>
      <c r="G57" s="29">
        <v>-0.104</v>
      </c>
      <c r="H57" s="25">
        <f t="shared" si="11"/>
        <v>8.8000000000000003E-4</v>
      </c>
      <c r="K57" s="11">
        <v>70</v>
      </c>
      <c r="L57" s="11">
        <v>1.2217304763960306</v>
      </c>
      <c r="M57" s="29">
        <v>-0.44395078298912333</v>
      </c>
      <c r="N57" s="26">
        <v>4.5999999999999999E-2</v>
      </c>
      <c r="O57" s="65">
        <v>-0.44423978585708629</v>
      </c>
      <c r="P57" s="66">
        <v>4.8000000000000001E-2</v>
      </c>
      <c r="Q57" s="29">
        <v>-0.44261340838556873</v>
      </c>
      <c r="R57" s="26">
        <v>4.5999999999999999E-2</v>
      </c>
      <c r="U57" s="26"/>
    </row>
    <row r="58" spans="2:21" x14ac:dyDescent="0.3">
      <c r="B58" s="11">
        <v>80</v>
      </c>
      <c r="C58" s="28">
        <v>-0.32500000000000001</v>
      </c>
      <c r="D58" s="25">
        <f t="shared" si="12"/>
        <v>1.6000000000000001E-3</v>
      </c>
      <c r="E58" s="25">
        <v>-0.21190000000000001</v>
      </c>
      <c r="F58" s="25">
        <f t="shared" si="13"/>
        <v>1.2000000000000001E-3</v>
      </c>
      <c r="G58" s="29">
        <v>-0.1069</v>
      </c>
      <c r="H58" s="25">
        <f t="shared" si="11"/>
        <v>8.9000000000000006E-4</v>
      </c>
      <c r="K58" s="11">
        <v>80</v>
      </c>
      <c r="L58" s="11">
        <v>1.3962634015954636</v>
      </c>
      <c r="M58" s="29">
        <v>-0.47714816138254323</v>
      </c>
      <c r="N58" s="26">
        <v>4.9000000000000002E-2</v>
      </c>
      <c r="O58" s="65">
        <v>-0.47733576357803048</v>
      </c>
      <c r="P58" s="66">
        <v>4.9000000000000002E-2</v>
      </c>
      <c r="Q58" s="29">
        <v>-0.47627617734095296</v>
      </c>
      <c r="R58" s="26">
        <v>4.9000000000000002E-2</v>
      </c>
      <c r="U58" s="26"/>
    </row>
    <row r="59" spans="2:21" x14ac:dyDescent="0.3">
      <c r="B59" s="11">
        <v>90</v>
      </c>
      <c r="C59" s="25">
        <v>-0.33329999999999999</v>
      </c>
      <c r="D59" s="25">
        <f t="shared" si="12"/>
        <v>1.6000000000000001E-3</v>
      </c>
      <c r="E59" s="25">
        <v>-0.21709999999999999</v>
      </c>
      <c r="F59" s="25">
        <f t="shared" si="13"/>
        <v>1.2999999999999999E-3</v>
      </c>
      <c r="G59" s="29">
        <v>-0.1124</v>
      </c>
      <c r="H59" s="25">
        <f t="shared" si="11"/>
        <v>9.1E-4</v>
      </c>
      <c r="K59" s="11">
        <v>90</v>
      </c>
      <c r="L59" s="11">
        <v>1.5707963267948966</v>
      </c>
      <c r="M59" s="29">
        <v>-0.49584763434097434</v>
      </c>
      <c r="N59" s="26">
        <v>0.05</v>
      </c>
      <c r="O59" s="65">
        <v>-0.49592813566620725</v>
      </c>
      <c r="P59" s="66">
        <v>0.05</v>
      </c>
      <c r="Q59" s="29">
        <v>-0.49546753565520685</v>
      </c>
      <c r="R59" s="26">
        <v>0.05</v>
      </c>
      <c r="U59" s="26"/>
    </row>
    <row r="60" spans="2:21" x14ac:dyDescent="0.3">
      <c r="B60" s="11">
        <v>100</v>
      </c>
      <c r="C60" s="25">
        <v>-0.33229999999999998</v>
      </c>
      <c r="D60" s="25">
        <f t="shared" si="12"/>
        <v>1.6000000000000001E-3</v>
      </c>
      <c r="E60" s="25">
        <v>-0.21640000000000001</v>
      </c>
      <c r="F60" s="25">
        <f t="shared" si="13"/>
        <v>1.2999999999999999E-3</v>
      </c>
      <c r="G60" s="29">
        <v>-0.11219999999999999</v>
      </c>
      <c r="H60" s="25">
        <f t="shared" si="11"/>
        <v>9.1E-4</v>
      </c>
      <c r="K60" s="11">
        <v>100</v>
      </c>
      <c r="L60" s="11">
        <v>1.7453292519943295</v>
      </c>
      <c r="M60" s="29">
        <v>-0.4994810278409646</v>
      </c>
      <c r="N60" s="26">
        <v>0.05</v>
      </c>
      <c r="O60" s="65">
        <v>-0.49945198230391158</v>
      </c>
      <c r="P60" s="66">
        <v>0.05</v>
      </c>
      <c r="Q60" s="29">
        <v>-0.49960436361724775</v>
      </c>
      <c r="R60" s="26">
        <v>0.05</v>
      </c>
      <c r="U60" s="26"/>
    </row>
    <row r="61" spans="2:21" x14ac:dyDescent="0.3">
      <c r="B61" s="11">
        <v>110</v>
      </c>
      <c r="C61" s="25">
        <v>-0.32269999999999999</v>
      </c>
      <c r="D61" s="25">
        <f t="shared" si="12"/>
        <v>1.6000000000000001E-3</v>
      </c>
      <c r="E61" s="25">
        <v>-0.2099</v>
      </c>
      <c r="F61" s="25">
        <f t="shared" si="13"/>
        <v>1.2000000000000001E-3</v>
      </c>
      <c r="G61" s="29">
        <v>-0.1089</v>
      </c>
      <c r="H61" s="29">
        <f t="shared" si="11"/>
        <v>8.9999999999999998E-4</v>
      </c>
      <c r="K61" s="11">
        <v>110</v>
      </c>
      <c r="L61" s="11">
        <v>1.9198621771937625</v>
      </c>
      <c r="M61" s="29">
        <v>-0.48793794305960259</v>
      </c>
      <c r="N61" s="26">
        <v>4.9000000000000002E-2</v>
      </c>
      <c r="O61" s="65">
        <v>-0.48780023319420929</v>
      </c>
      <c r="P61" s="66">
        <v>0.05</v>
      </c>
      <c r="Q61" s="29">
        <v>-0.48856096580278491</v>
      </c>
      <c r="R61" s="26">
        <v>0.05</v>
      </c>
      <c r="U61" s="26"/>
    </row>
    <row r="62" spans="2:21" x14ac:dyDescent="0.3">
      <c r="B62" s="11">
        <v>120</v>
      </c>
      <c r="C62" s="28">
        <v>-0.30299999999999999</v>
      </c>
      <c r="D62" s="25">
        <f t="shared" si="12"/>
        <v>1.5E-3</v>
      </c>
      <c r="E62" s="25">
        <v>-0.19789999999999999</v>
      </c>
      <c r="F62" s="25">
        <f t="shared" si="13"/>
        <v>1.2000000000000001E-3</v>
      </c>
      <c r="G62" s="29">
        <v>-0.1028</v>
      </c>
      <c r="H62" s="25">
        <f t="shared" si="11"/>
        <v>8.8000000000000003E-4</v>
      </c>
      <c r="K62" s="11">
        <v>120</v>
      </c>
      <c r="L62" s="11">
        <v>2.0943951023931953</v>
      </c>
      <c r="M62" s="29">
        <v>-0.46156911078688734</v>
      </c>
      <c r="N62" s="26">
        <v>4.7E-2</v>
      </c>
      <c r="O62" s="65">
        <v>-0.46132692083772914</v>
      </c>
      <c r="P62" s="66">
        <v>4.9000000000000002E-2</v>
      </c>
      <c r="Q62" s="29">
        <v>-0.46267289026618197</v>
      </c>
      <c r="R62" s="26">
        <v>4.8000000000000001E-2</v>
      </c>
      <c r="U62" s="26"/>
    </row>
    <row r="63" spans="2:21" x14ac:dyDescent="0.3">
      <c r="B63" s="11">
        <v>130</v>
      </c>
      <c r="C63" s="25">
        <v>-0.2757</v>
      </c>
      <c r="D63" s="25">
        <f t="shared" si="12"/>
        <v>1.4E-3</v>
      </c>
      <c r="E63" s="25">
        <v>-0.18049999999999999</v>
      </c>
      <c r="F63" s="25">
        <f t="shared" si="10"/>
        <v>1.1000000000000001E-3</v>
      </c>
      <c r="G63" s="29">
        <v>-9.35E-2</v>
      </c>
      <c r="H63" s="25">
        <f t="shared" si="11"/>
        <v>8.5000000000000006E-4</v>
      </c>
      <c r="K63" s="11">
        <v>130</v>
      </c>
      <c r="L63" s="11">
        <v>2.2689280275926285</v>
      </c>
      <c r="M63" s="29">
        <v>-0.42117573464815222</v>
      </c>
      <c r="N63" s="26">
        <v>4.3999999999999997E-2</v>
      </c>
      <c r="O63" s="65">
        <v>-0.42083642343428029</v>
      </c>
      <c r="P63" s="66">
        <v>4.7E-2</v>
      </c>
      <c r="Q63" s="29">
        <v>-0.42272673308262021</v>
      </c>
      <c r="R63" s="26">
        <v>4.4999999999999998E-2</v>
      </c>
      <c r="U63" s="26"/>
    </row>
    <row r="64" spans="2:21" x14ac:dyDescent="0.3">
      <c r="B64" s="11">
        <v>140</v>
      </c>
      <c r="C64" s="25">
        <v>-0.24160000000000001</v>
      </c>
      <c r="D64" s="25">
        <f t="shared" si="12"/>
        <v>1.2999999999999999E-3</v>
      </c>
      <c r="E64" s="25">
        <v>-0.15759999999999999</v>
      </c>
      <c r="F64" s="25">
        <f>ROUNDUP((0.005*ABS(E64)+0.001)/3^(0.5),4)</f>
        <v>1.1000000000000001E-3</v>
      </c>
      <c r="G64" s="29">
        <v>-8.14E-2</v>
      </c>
      <c r="H64" s="25">
        <f t="shared" si="11"/>
        <v>8.1999999999999998E-4</v>
      </c>
      <c r="K64" s="11">
        <v>140</v>
      </c>
      <c r="L64" s="11">
        <v>2.4434609527920612</v>
      </c>
      <c r="M64" s="29">
        <v>-0.36798514693733836</v>
      </c>
      <c r="N64" s="26">
        <v>0.04</v>
      </c>
      <c r="O64" s="65">
        <v>-0.3675590242582864</v>
      </c>
      <c r="P64" s="66">
        <v>4.3999999999999997E-2</v>
      </c>
      <c r="Q64" s="29">
        <v>-0.36993623802439135</v>
      </c>
      <c r="R64" s="26">
        <v>4.1000000000000002E-2</v>
      </c>
      <c r="U64" s="26"/>
    </row>
    <row r="65" spans="2:21" x14ac:dyDescent="0.3">
      <c r="B65" s="11">
        <v>150</v>
      </c>
      <c r="C65" s="25">
        <v>-0.19359999999999999</v>
      </c>
      <c r="D65" s="25">
        <f t="shared" si="12"/>
        <v>1.2000000000000001E-3</v>
      </c>
      <c r="E65" s="29">
        <v>-0.12909999999999999</v>
      </c>
      <c r="F65" s="25">
        <f t="shared" si="10"/>
        <v>9.6000000000000002E-4</v>
      </c>
      <c r="G65" s="29">
        <v>-6.7500000000000004E-2</v>
      </c>
      <c r="H65" s="25">
        <f t="shared" si="11"/>
        <v>7.7999999999999999E-4</v>
      </c>
      <c r="K65" s="11">
        <v>150</v>
      </c>
      <c r="L65" s="11">
        <v>2.6179938779914944</v>
      </c>
      <c r="M65" s="29">
        <v>-0.30361351674630238</v>
      </c>
      <c r="N65" s="26">
        <v>3.5000000000000003E-2</v>
      </c>
      <c r="O65" s="65">
        <v>-0.30311353012404496</v>
      </c>
      <c r="P65" s="66">
        <v>4.1000000000000002E-2</v>
      </c>
      <c r="Q65" s="29">
        <v>-0.30590541757056011</v>
      </c>
      <c r="R65" s="26">
        <v>3.6999999999999998E-2</v>
      </c>
      <c r="U65" s="26"/>
    </row>
    <row r="66" spans="2:21" x14ac:dyDescent="0.3">
      <c r="B66" s="11">
        <v>160</v>
      </c>
      <c r="C66" s="25">
        <v>-0.14549999999999999</v>
      </c>
      <c r="D66" s="28">
        <f>ROUNDUP((0.005*ABS(C66)+0.001)/3^(0.5),6)</f>
        <v>9.9799999999999997E-4</v>
      </c>
      <c r="E66" s="29">
        <v>-9.7100000000000006E-2</v>
      </c>
      <c r="F66" s="25">
        <f t="shared" si="10"/>
        <v>8.5999999999999998E-4</v>
      </c>
      <c r="G66" s="29">
        <v>-5.0700000000000002E-2</v>
      </c>
      <c r="H66" s="25">
        <f t="shared" si="11"/>
        <v>7.3000000000000007E-4</v>
      </c>
      <c r="K66" s="11">
        <v>160</v>
      </c>
      <c r="L66" s="11">
        <v>2.7925268031909272</v>
      </c>
      <c r="M66" s="29">
        <v>-0.23001674348478274</v>
      </c>
      <c r="N66" s="26">
        <v>2.9000000000000001E-2</v>
      </c>
      <c r="O66" s="65">
        <v>-0.2294580847598317</v>
      </c>
      <c r="P66" s="66">
        <v>3.9E-2</v>
      </c>
      <c r="Q66" s="29">
        <v>-0.23257981579945788</v>
      </c>
      <c r="R66" s="26">
        <v>3.3000000000000002E-2</v>
      </c>
      <c r="U66" s="26"/>
    </row>
    <row r="67" spans="2:21" x14ac:dyDescent="0.3">
      <c r="B67" s="11">
        <v>170</v>
      </c>
      <c r="C67" s="29">
        <v>-9.2399999999999996E-2</v>
      </c>
      <c r="D67" s="25">
        <f t="shared" si="9"/>
        <v>8.5000000000000006E-4</v>
      </c>
      <c r="E67" s="29">
        <v>-6.2399999999999997E-2</v>
      </c>
      <c r="F67" s="25">
        <f t="shared" si="10"/>
        <v>7.6000000000000004E-4</v>
      </c>
      <c r="G67" s="29">
        <v>-3.2599999999999997E-2</v>
      </c>
      <c r="H67" s="25">
        <f t="shared" si="11"/>
        <v>6.8000000000000005E-4</v>
      </c>
      <c r="K67" s="11">
        <v>170</v>
      </c>
      <c r="L67" s="11">
        <v>2.9670597283903604</v>
      </c>
      <c r="M67" s="29">
        <v>-0.14943102786656609</v>
      </c>
      <c r="N67" s="26">
        <v>2.4E-2</v>
      </c>
      <c r="O67" s="65">
        <v>-0.14883067160158414</v>
      </c>
      <c r="P67" s="66">
        <v>3.6999999999999998E-2</v>
      </c>
      <c r="Q67" s="29">
        <v>-0.15218739401635439</v>
      </c>
      <c r="R67" s="26">
        <v>3.0000000000000002E-2</v>
      </c>
      <c r="U67" s="26"/>
    </row>
    <row r="68" spans="2:21" x14ac:dyDescent="0.3">
      <c r="B68" s="11">
        <v>180</v>
      </c>
      <c r="C68" s="29">
        <v>-3.9300000000000002E-2</v>
      </c>
      <c r="D68" s="29">
        <f>ROUNDUP((0.005*ABS(C68)+0.001)/3^(0.5),5)</f>
        <v>6.9999999999999999E-4</v>
      </c>
      <c r="E68" s="29">
        <v>-2.76E-2</v>
      </c>
      <c r="F68" s="25">
        <f t="shared" si="10"/>
        <v>6.6E-4</v>
      </c>
      <c r="G68" s="29">
        <v>-1.4800000000000001E-2</v>
      </c>
      <c r="H68" s="25">
        <f t="shared" si="11"/>
        <v>6.3000000000000003E-4</v>
      </c>
      <c r="K68" s="11">
        <v>180</v>
      </c>
      <c r="L68" s="11">
        <v>3.1415926535897931</v>
      </c>
      <c r="M68" s="29">
        <v>-6.430492608237269E-2</v>
      </c>
      <c r="N68" s="26">
        <v>2.1000000000000001E-2</v>
      </c>
      <c r="O68" s="65">
        <v>-6.3681113798676317E-2</v>
      </c>
      <c r="P68" s="66">
        <v>3.5000000000000003E-2</v>
      </c>
      <c r="Q68" s="29">
        <v>-6.7170835276601407E-2</v>
      </c>
      <c r="R68" s="26">
        <v>2.7E-2</v>
      </c>
      <c r="U68" s="26"/>
    </row>
    <row r="69" spans="2:21" x14ac:dyDescent="0.3">
      <c r="B69" s="11">
        <v>190</v>
      </c>
      <c r="C69" s="29">
        <v>1.3599999999999999E-2</v>
      </c>
      <c r="D69" s="25">
        <f t="shared" si="9"/>
        <v>6.2E-4</v>
      </c>
      <c r="E69" s="29">
        <v>1.67E-2</v>
      </c>
      <c r="F69" s="25">
        <f t="shared" si="10"/>
        <v>6.3000000000000003E-4</v>
      </c>
      <c r="G69" s="29">
        <v>4.0000000000000001E-3</v>
      </c>
      <c r="H69" s="25">
        <f t="shared" si="11"/>
        <v>5.9000000000000003E-4</v>
      </c>
      <c r="K69" s="11">
        <v>190</v>
      </c>
      <c r="L69" s="11">
        <v>3.3161255787892263</v>
      </c>
      <c r="M69" s="29">
        <v>2.2775048340971167E-2</v>
      </c>
      <c r="N69" s="26">
        <v>0.02</v>
      </c>
      <c r="O69" s="65">
        <v>2.3403362422806072E-2</v>
      </c>
      <c r="P69" s="66">
        <v>3.5000000000000003E-2</v>
      </c>
      <c r="Q69" s="29">
        <v>1.9886675302948638E-2</v>
      </c>
      <c r="R69" s="26">
        <v>2.7E-2</v>
      </c>
      <c r="U69" s="26"/>
    </row>
    <row r="70" spans="2:21" x14ac:dyDescent="0.3">
      <c r="B70" s="11">
        <v>200</v>
      </c>
      <c r="C70" s="29">
        <v>7.0099999999999996E-2</v>
      </c>
      <c r="D70" s="25">
        <f t="shared" si="9"/>
        <v>7.7999999999999999E-4</v>
      </c>
      <c r="E70" s="29">
        <v>4.36E-2</v>
      </c>
      <c r="F70" s="25">
        <f t="shared" si="10"/>
        <v>7.1000000000000002E-4</v>
      </c>
      <c r="G70" s="29">
        <v>2.2100000000000002E-2</v>
      </c>
      <c r="H70" s="25">
        <f t="shared" si="11"/>
        <v>6.5000000000000008E-4</v>
      </c>
      <c r="K70" s="11">
        <v>200</v>
      </c>
      <c r="L70" s="11">
        <v>3.4906585039886591</v>
      </c>
      <c r="M70" s="29">
        <v>0.10916301444520493</v>
      </c>
      <c r="N70" s="26">
        <v>2.3E-2</v>
      </c>
      <c r="O70" s="65">
        <v>0.10977673931974408</v>
      </c>
      <c r="P70" s="66">
        <v>3.6000000000000004E-2</v>
      </c>
      <c r="Q70" s="29">
        <v>0.10633993931656163</v>
      </c>
      <c r="R70" s="26">
        <v>2.8000000000000001E-2</v>
      </c>
      <c r="U70" s="26"/>
    </row>
    <row r="71" spans="2:21" x14ac:dyDescent="0.3">
      <c r="B71" s="11">
        <v>210</v>
      </c>
      <c r="C71" s="29">
        <v>0.1196</v>
      </c>
      <c r="D71" s="25">
        <f t="shared" si="9"/>
        <v>9.3000000000000005E-4</v>
      </c>
      <c r="E71" s="29">
        <v>7.8299999999999995E-2</v>
      </c>
      <c r="F71" s="25">
        <f t="shared" si="10"/>
        <v>8.1000000000000006E-4</v>
      </c>
      <c r="G71" s="29">
        <v>3.9800000000000002E-2</v>
      </c>
      <c r="H71" s="29">
        <f t="shared" si="11"/>
        <v>6.9999999999999999E-4</v>
      </c>
      <c r="K71" s="11">
        <v>210</v>
      </c>
      <c r="L71" s="11">
        <v>3.6651914291880923</v>
      </c>
      <c r="M71" s="29">
        <v>0.19223411759467202</v>
      </c>
      <c r="N71" s="26">
        <v>2.7E-2</v>
      </c>
      <c r="O71" s="65">
        <v>0.19281460554216229</v>
      </c>
      <c r="P71" s="66">
        <v>3.7999999999999999E-2</v>
      </c>
      <c r="Q71" s="29">
        <v>0.18956211808464682</v>
      </c>
      <c r="R71" s="26">
        <v>3.1E-2</v>
      </c>
      <c r="U71" s="26"/>
    </row>
    <row r="72" spans="2:21" x14ac:dyDescent="0.3">
      <c r="B72" s="11">
        <v>220</v>
      </c>
      <c r="C72" s="25">
        <v>0.1651</v>
      </c>
      <c r="D72" s="25">
        <f>ROUNDUP((0.005*ABS(C72)+0.001)/3^(0.5),4)</f>
        <v>1.1000000000000001E-3</v>
      </c>
      <c r="E72" s="29">
        <v>0.1099</v>
      </c>
      <c r="F72" s="29">
        <f t="shared" si="10"/>
        <v>8.9999999999999998E-4</v>
      </c>
      <c r="G72" s="29">
        <v>5.8099999999999999E-2</v>
      </c>
      <c r="H72" s="25">
        <f t="shared" si="11"/>
        <v>7.5000000000000002E-4</v>
      </c>
      <c r="K72" s="11">
        <v>220</v>
      </c>
      <c r="L72" s="11">
        <v>3.839724354387525</v>
      </c>
      <c r="M72" s="29">
        <v>0.26946428435618186</v>
      </c>
      <c r="N72" s="26">
        <v>3.2000000000000001E-2</v>
      </c>
      <c r="O72" s="65">
        <v>0.26999389754407987</v>
      </c>
      <c r="P72" s="66">
        <v>0.04</v>
      </c>
      <c r="Q72" s="29">
        <v>0.26702454781778989</v>
      </c>
      <c r="R72" s="26">
        <v>3.5000000000000003E-2</v>
      </c>
      <c r="U72" s="26"/>
    </row>
    <row r="73" spans="2:21" x14ac:dyDescent="0.3">
      <c r="B73" s="11">
        <v>230</v>
      </c>
      <c r="C73" s="28">
        <v>0.21</v>
      </c>
      <c r="D73" s="25">
        <f t="shared" ref="D73:D83" si="14">ROUNDUP((0.005*ABS(C73)+0.001)/3^(0.5),4)</f>
        <v>1.2000000000000001E-3</v>
      </c>
      <c r="E73" s="29">
        <v>0.13780000000000001</v>
      </c>
      <c r="F73" s="25">
        <f t="shared" si="10"/>
        <v>9.7999999999999997E-4</v>
      </c>
      <c r="G73" s="29">
        <v>7.1300000000000002E-2</v>
      </c>
      <c r="H73" s="25">
        <f t="shared" si="11"/>
        <v>7.9000000000000001E-4</v>
      </c>
      <c r="K73" s="11">
        <v>230</v>
      </c>
      <c r="L73" s="11">
        <v>4.0142572795869578</v>
      </c>
      <c r="M73" s="29">
        <v>0.33850691519303633</v>
      </c>
      <c r="N73" s="26">
        <v>3.6999999999999998E-2</v>
      </c>
      <c r="O73" s="65">
        <v>0.33896956159262503</v>
      </c>
      <c r="P73" s="66">
        <v>4.3000000000000003E-2</v>
      </c>
      <c r="Q73" s="29">
        <v>0.3363735717864304</v>
      </c>
      <c r="R73" s="26">
        <v>3.9E-2</v>
      </c>
      <c r="U73" s="26"/>
    </row>
    <row r="74" spans="2:21" x14ac:dyDescent="0.3">
      <c r="B74" s="11">
        <v>240</v>
      </c>
      <c r="C74" s="25">
        <v>0.2467</v>
      </c>
      <c r="D74" s="25">
        <f t="shared" si="14"/>
        <v>1.2999999999999999E-3</v>
      </c>
      <c r="E74" s="25">
        <v>0.15939999999999999</v>
      </c>
      <c r="F74" s="25">
        <f>ROUNDUP((0.005*ABS(E74)+0.001)/3^(0.5),4)</f>
        <v>1.1000000000000001E-3</v>
      </c>
      <c r="G74" s="29">
        <v>8.2900000000000001E-2</v>
      </c>
      <c r="H74" s="25">
        <f t="shared" si="11"/>
        <v>8.1999999999999998E-4</v>
      </c>
      <c r="K74" s="11">
        <v>240</v>
      </c>
      <c r="L74" s="11">
        <v>4.1887902047863905</v>
      </c>
      <c r="M74" s="29">
        <v>0.39726418470451452</v>
      </c>
      <c r="N74" s="26">
        <v>4.2000000000000003E-2</v>
      </c>
      <c r="O74" s="65">
        <v>0.39764580703905272</v>
      </c>
      <c r="P74" s="66">
        <v>4.4999999999999998E-2</v>
      </c>
      <c r="Q74" s="29">
        <v>0.39550205498958046</v>
      </c>
      <c r="R74" s="26">
        <v>4.3000000000000003E-2</v>
      </c>
      <c r="U74" s="26"/>
    </row>
    <row r="75" spans="2:21" x14ac:dyDescent="0.3">
      <c r="B75" s="11">
        <v>250</v>
      </c>
      <c r="C75" s="25">
        <v>0.27429999999999999</v>
      </c>
      <c r="D75" s="25">
        <f t="shared" si="14"/>
        <v>1.4E-3</v>
      </c>
      <c r="E75" s="25">
        <v>0.17760000000000001</v>
      </c>
      <c r="F75" s="25">
        <f t="shared" si="10"/>
        <v>1.1000000000000001E-3</v>
      </c>
      <c r="G75" s="29">
        <v>9.1600000000000001E-2</v>
      </c>
      <c r="H75" s="25">
        <f t="shared" si="11"/>
        <v>8.5000000000000006E-4</v>
      </c>
      <c r="K75" s="11">
        <v>250</v>
      </c>
      <c r="L75" s="11">
        <v>4.3633231299858233</v>
      </c>
      <c r="M75" s="29">
        <v>0.44395078298912322</v>
      </c>
      <c r="N75" s="26">
        <v>4.5999999999999999E-2</v>
      </c>
      <c r="O75" s="65">
        <v>0.44423978585708618</v>
      </c>
      <c r="P75" s="66">
        <v>4.8000000000000001E-2</v>
      </c>
      <c r="Q75" s="29">
        <v>0.44261340838556862</v>
      </c>
      <c r="R75" s="26">
        <v>4.5999999999999999E-2</v>
      </c>
      <c r="U75" s="26"/>
    </row>
    <row r="76" spans="2:21" x14ac:dyDescent="0.3">
      <c r="B76" s="11">
        <v>260</v>
      </c>
      <c r="C76" s="25">
        <v>0.29220000000000002</v>
      </c>
      <c r="D76" s="25">
        <f t="shared" si="14"/>
        <v>1.5E-3</v>
      </c>
      <c r="E76" s="25">
        <v>0.1893</v>
      </c>
      <c r="F76" s="28">
        <f>ROUNDUP((0.005*ABS(E76)+0.001)/3^(0.5),4)</f>
        <v>1.2000000000000001E-3</v>
      </c>
      <c r="G76" s="29">
        <v>9.7600000000000006E-2</v>
      </c>
      <c r="H76" s="25">
        <f t="shared" si="11"/>
        <v>8.5999999999999998E-4</v>
      </c>
      <c r="K76" s="11">
        <v>260</v>
      </c>
      <c r="L76" s="11">
        <v>4.5378560551852569</v>
      </c>
      <c r="M76" s="29">
        <v>0.47714816138254323</v>
      </c>
      <c r="N76" s="26">
        <v>4.9000000000000002E-2</v>
      </c>
      <c r="O76" s="65">
        <v>0.47733576357803048</v>
      </c>
      <c r="P76" s="66">
        <v>4.9000000000000002E-2</v>
      </c>
      <c r="Q76" s="29">
        <v>0.47627617734095296</v>
      </c>
      <c r="R76" s="26">
        <v>4.9000000000000002E-2</v>
      </c>
      <c r="U76" s="26"/>
    </row>
    <row r="77" spans="2:21" x14ac:dyDescent="0.3">
      <c r="B77" s="11">
        <v>270</v>
      </c>
      <c r="C77" s="25">
        <v>0.30049999999999999</v>
      </c>
      <c r="D77" s="25">
        <f t="shared" si="14"/>
        <v>1.5E-3</v>
      </c>
      <c r="E77" s="25">
        <v>0.1951</v>
      </c>
      <c r="F77" s="28">
        <f t="shared" ref="F77:F81" si="15">ROUNDUP((0.005*ABS(E77)+0.001)/3^(0.5),4)</f>
        <v>1.2000000000000001E-3</v>
      </c>
      <c r="G77" s="29">
        <v>0.1009</v>
      </c>
      <c r="H77" s="25">
        <f t="shared" si="11"/>
        <v>8.7000000000000001E-4</v>
      </c>
      <c r="K77" s="11">
        <v>270</v>
      </c>
      <c r="L77" s="11">
        <v>4.7123889803846897</v>
      </c>
      <c r="M77" s="29">
        <v>0.49584763434097434</v>
      </c>
      <c r="N77" s="26">
        <v>0.05</v>
      </c>
      <c r="O77" s="65">
        <v>0.49592813566620719</v>
      </c>
      <c r="P77" s="66">
        <v>0.05</v>
      </c>
      <c r="Q77" s="29">
        <v>0.49546753565520685</v>
      </c>
      <c r="R77" s="26">
        <v>0.05</v>
      </c>
      <c r="U77" s="26"/>
    </row>
    <row r="78" spans="2:21" x14ac:dyDescent="0.3">
      <c r="B78" s="11">
        <v>280</v>
      </c>
      <c r="C78" s="25">
        <v>0.2999</v>
      </c>
      <c r="D78" s="25">
        <f t="shared" si="14"/>
        <v>1.5E-3</v>
      </c>
      <c r="E78" s="25">
        <v>0.19470000000000001</v>
      </c>
      <c r="F78" s="28">
        <f t="shared" si="15"/>
        <v>1.2000000000000001E-3</v>
      </c>
      <c r="G78" s="29">
        <v>0.1007</v>
      </c>
      <c r="H78" s="25">
        <f t="shared" si="11"/>
        <v>8.7000000000000001E-4</v>
      </c>
      <c r="K78" s="11">
        <v>280</v>
      </c>
      <c r="L78" s="11">
        <v>4.8869219055841224</v>
      </c>
      <c r="M78" s="29">
        <v>0.4994810278409646</v>
      </c>
      <c r="N78" s="26">
        <v>0.05</v>
      </c>
      <c r="O78" s="65">
        <v>0.49945198230391158</v>
      </c>
      <c r="P78" s="66">
        <v>0.05</v>
      </c>
      <c r="Q78" s="29">
        <v>0.49960436361724775</v>
      </c>
      <c r="R78" s="26">
        <v>0.05</v>
      </c>
      <c r="U78" s="26"/>
    </row>
    <row r="79" spans="2:21" x14ac:dyDescent="0.3">
      <c r="B79" s="11">
        <v>290</v>
      </c>
      <c r="C79" s="25">
        <v>0.2898</v>
      </c>
      <c r="D79" s="25">
        <f t="shared" si="14"/>
        <v>1.5E-3</v>
      </c>
      <c r="E79" s="25">
        <v>0.18809999999999999</v>
      </c>
      <c r="F79" s="28">
        <f t="shared" si="15"/>
        <v>1.2000000000000001E-3</v>
      </c>
      <c r="G79" s="29">
        <v>9.7100000000000006E-2</v>
      </c>
      <c r="H79" s="25">
        <f t="shared" si="11"/>
        <v>8.5999999999999998E-4</v>
      </c>
      <c r="K79" s="11">
        <v>290</v>
      </c>
      <c r="L79" s="11">
        <v>5.0614548307835552</v>
      </c>
      <c r="M79" s="29">
        <v>0.48793794305960264</v>
      </c>
      <c r="N79" s="26">
        <v>4.9000000000000002E-2</v>
      </c>
      <c r="O79" s="65">
        <v>0.48780023319420934</v>
      </c>
      <c r="P79" s="66">
        <v>0.05</v>
      </c>
      <c r="Q79" s="29">
        <v>0.48856096580278496</v>
      </c>
      <c r="R79" s="26">
        <v>0.05</v>
      </c>
      <c r="U79" s="26"/>
    </row>
    <row r="80" spans="2:21" x14ac:dyDescent="0.3">
      <c r="B80" s="11">
        <v>300</v>
      </c>
      <c r="C80" s="25">
        <v>0.2727</v>
      </c>
      <c r="D80" s="25">
        <f t="shared" si="14"/>
        <v>1.4E-3</v>
      </c>
      <c r="E80" s="28">
        <v>0.17599999999999999</v>
      </c>
      <c r="F80" s="28">
        <f t="shared" si="15"/>
        <v>1.1000000000000001E-3</v>
      </c>
      <c r="G80" s="29">
        <v>9.0899999999999995E-2</v>
      </c>
      <c r="H80" s="25">
        <f t="shared" si="11"/>
        <v>8.4000000000000003E-4</v>
      </c>
      <c r="K80" s="11">
        <v>300</v>
      </c>
      <c r="L80" s="11">
        <v>5.2359877559829888</v>
      </c>
      <c r="M80" s="29">
        <v>0.46156911078688728</v>
      </c>
      <c r="N80" s="26">
        <v>4.7E-2</v>
      </c>
      <c r="O80" s="65">
        <v>0.46132692083772908</v>
      </c>
      <c r="P80" s="66">
        <v>4.9000000000000002E-2</v>
      </c>
      <c r="Q80" s="29">
        <v>0.46267289026618191</v>
      </c>
      <c r="R80" s="26">
        <v>4.8000000000000001E-2</v>
      </c>
      <c r="U80" s="26"/>
    </row>
    <row r="81" spans="2:21" x14ac:dyDescent="0.3">
      <c r="B81" s="11">
        <v>310</v>
      </c>
      <c r="C81" s="25">
        <v>0.24349999999999999</v>
      </c>
      <c r="D81" s="25">
        <f t="shared" si="14"/>
        <v>1.2999999999999999E-3</v>
      </c>
      <c r="E81" s="25">
        <v>0.1588</v>
      </c>
      <c r="F81" s="28">
        <f t="shared" si="15"/>
        <v>1.1000000000000001E-3</v>
      </c>
      <c r="G81" s="29">
        <v>8.1900000000000001E-2</v>
      </c>
      <c r="H81" s="25">
        <f t="shared" si="11"/>
        <v>8.1999999999999998E-4</v>
      </c>
      <c r="K81" s="11">
        <v>310</v>
      </c>
      <c r="L81" s="11">
        <v>5.4105206811824216</v>
      </c>
      <c r="M81" s="29">
        <v>0.42117573464815228</v>
      </c>
      <c r="N81" s="26">
        <v>4.3999999999999997E-2</v>
      </c>
      <c r="O81" s="65">
        <v>0.42083642343428035</v>
      </c>
      <c r="P81" s="66">
        <v>4.7E-2</v>
      </c>
      <c r="Q81" s="29">
        <v>0.42272673308262021</v>
      </c>
      <c r="R81" s="26">
        <v>4.4999999999999998E-2</v>
      </c>
      <c r="U81" s="26"/>
    </row>
    <row r="82" spans="2:21" x14ac:dyDescent="0.3">
      <c r="B82" s="11">
        <v>320</v>
      </c>
      <c r="C82" s="25">
        <v>0.2074</v>
      </c>
      <c r="D82" s="25">
        <f t="shared" si="14"/>
        <v>1.2000000000000001E-3</v>
      </c>
      <c r="E82" s="29">
        <v>0.13469999999999999</v>
      </c>
      <c r="F82" s="25">
        <f t="shared" si="10"/>
        <v>9.7000000000000005E-4</v>
      </c>
      <c r="G82" s="29">
        <v>6.93E-2</v>
      </c>
      <c r="H82" s="25">
        <f t="shared" si="11"/>
        <v>7.7999999999999999E-4</v>
      </c>
      <c r="K82" s="11">
        <v>320</v>
      </c>
      <c r="L82" s="11">
        <v>5.5850536063818543</v>
      </c>
      <c r="M82" s="29">
        <v>0.36798514693733836</v>
      </c>
      <c r="N82" s="26">
        <v>0.04</v>
      </c>
      <c r="O82" s="65">
        <v>0.36755902425828646</v>
      </c>
      <c r="P82" s="66">
        <v>4.3999999999999997E-2</v>
      </c>
      <c r="Q82" s="29">
        <v>0.36993623802439141</v>
      </c>
      <c r="R82" s="26">
        <v>4.1000000000000002E-2</v>
      </c>
      <c r="U82" s="26"/>
    </row>
    <row r="83" spans="2:21" x14ac:dyDescent="0.3">
      <c r="B83" s="11">
        <v>330</v>
      </c>
      <c r="C83" s="25">
        <v>0.16839999999999999</v>
      </c>
      <c r="D83" s="25">
        <f t="shared" si="14"/>
        <v>1.1000000000000001E-3</v>
      </c>
      <c r="E83" s="29">
        <v>0.10979999999999999</v>
      </c>
      <c r="F83" s="29">
        <f>ROUNDUP((0.005*ABS(E83)+0.001)/3^(0.5),5)</f>
        <v>8.9999999999999998E-4</v>
      </c>
      <c r="G83" s="29">
        <v>5.5899999999999998E-2</v>
      </c>
      <c r="H83" s="25">
        <f t="shared" si="11"/>
        <v>7.3999999999999999E-4</v>
      </c>
      <c r="K83" s="11">
        <v>330</v>
      </c>
      <c r="L83" s="11">
        <v>5.7595865315812871</v>
      </c>
      <c r="M83" s="29">
        <v>0.3036135167463026</v>
      </c>
      <c r="N83" s="26">
        <v>3.5000000000000003E-2</v>
      </c>
      <c r="O83" s="65">
        <v>0.30311353012404524</v>
      </c>
      <c r="P83" s="66">
        <v>4.1000000000000002E-2</v>
      </c>
      <c r="Q83" s="29">
        <v>0.30590541757056033</v>
      </c>
      <c r="R83" s="26">
        <v>3.6999999999999998E-2</v>
      </c>
      <c r="U83" s="26"/>
    </row>
    <row r="84" spans="2:21" x14ac:dyDescent="0.3">
      <c r="B84" s="11">
        <v>340</v>
      </c>
      <c r="C84" s="29">
        <v>0.11550000000000001</v>
      </c>
      <c r="D84" s="25">
        <f t="shared" si="9"/>
        <v>9.2000000000000003E-4</v>
      </c>
      <c r="E84" s="29">
        <v>7.6499999999999999E-2</v>
      </c>
      <c r="F84" s="29">
        <f t="shared" si="10"/>
        <v>8.0000000000000004E-4</v>
      </c>
      <c r="G84" s="29">
        <v>3.9399999999999998E-2</v>
      </c>
      <c r="H84" s="29">
        <f t="shared" si="11"/>
        <v>6.9999999999999999E-4</v>
      </c>
      <c r="K84" s="11">
        <v>340</v>
      </c>
      <c r="L84" s="11">
        <v>5.9341194567807207</v>
      </c>
      <c r="M84" s="29">
        <v>0.2300167434847826</v>
      </c>
      <c r="N84" s="26">
        <v>2.9000000000000001E-2</v>
      </c>
      <c r="O84" s="65">
        <v>0.22945808475983157</v>
      </c>
      <c r="P84" s="66">
        <v>3.9E-2</v>
      </c>
      <c r="Q84" s="29">
        <v>0.23257981579945772</v>
      </c>
      <c r="R84" s="26">
        <v>3.3000000000000002E-2</v>
      </c>
      <c r="U84" s="26"/>
    </row>
    <row r="85" spans="2:21" x14ac:dyDescent="0.3">
      <c r="B85" s="11">
        <v>350</v>
      </c>
      <c r="C85" s="29">
        <v>6.0900000000000003E-2</v>
      </c>
      <c r="D85" s="25">
        <f t="shared" si="9"/>
        <v>7.6000000000000004E-4</v>
      </c>
      <c r="E85" s="29">
        <v>4.24E-2</v>
      </c>
      <c r="F85" s="29">
        <f t="shared" si="10"/>
        <v>6.9999999999999999E-4</v>
      </c>
      <c r="G85" s="29">
        <v>2.1600000000000001E-2</v>
      </c>
      <c r="H85" s="25">
        <f t="shared" si="11"/>
        <v>6.4000000000000005E-4</v>
      </c>
      <c r="K85" s="11">
        <v>350</v>
      </c>
      <c r="L85" s="11">
        <v>6.1086523819801526</v>
      </c>
      <c r="M85" s="29">
        <v>0.14943102786656659</v>
      </c>
      <c r="N85" s="26">
        <v>2.4E-2</v>
      </c>
      <c r="O85" s="65">
        <v>0.14883067160158461</v>
      </c>
      <c r="P85" s="66">
        <v>3.6999999999999998E-2</v>
      </c>
      <c r="Q85" s="29">
        <v>0.15218739401635489</v>
      </c>
      <c r="R85" s="26">
        <v>3.0000000000000002E-2</v>
      </c>
      <c r="U85" s="26"/>
    </row>
    <row r="86" spans="2:21" x14ac:dyDescent="0.3">
      <c r="B86" s="11">
        <v>360</v>
      </c>
      <c r="C86" s="29">
        <v>1.6000000000000001E-3</v>
      </c>
      <c r="D86" s="25">
        <f t="shared" si="9"/>
        <v>5.9000000000000003E-4</v>
      </c>
      <c r="E86" s="29">
        <v>2.8E-3</v>
      </c>
      <c r="F86" s="25">
        <f t="shared" si="10"/>
        <v>5.9000000000000003E-4</v>
      </c>
      <c r="G86" s="29">
        <v>1.1000000000000001E-3</v>
      </c>
      <c r="H86" s="25">
        <f t="shared" si="11"/>
        <v>5.9000000000000003E-4</v>
      </c>
      <c r="K86" s="11">
        <v>360</v>
      </c>
      <c r="L86" s="11">
        <v>6.2831853071795862</v>
      </c>
      <c r="M86" s="29">
        <v>6.4304926082372746E-2</v>
      </c>
      <c r="N86" s="26">
        <v>2.1000000000000001E-2</v>
      </c>
      <c r="O86" s="65">
        <v>6.3681113798676373E-2</v>
      </c>
      <c r="P86" s="66">
        <v>3.5000000000000003E-2</v>
      </c>
      <c r="Q86" s="29">
        <v>6.7170835276601462E-2</v>
      </c>
      <c r="R86" s="26">
        <v>2.7E-2</v>
      </c>
      <c r="U86" s="26"/>
    </row>
  </sheetData>
  <mergeCells count="27">
    <mergeCell ref="K48:R48"/>
    <mergeCell ref="M46:N46"/>
    <mergeCell ref="O46:P46"/>
    <mergeCell ref="Q46:R46"/>
    <mergeCell ref="K47:R47"/>
    <mergeCell ref="K46:L46"/>
    <mergeCell ref="C46:H46"/>
    <mergeCell ref="C47:D47"/>
    <mergeCell ref="E47:F47"/>
    <mergeCell ref="G47:H47"/>
    <mergeCell ref="C48:D48"/>
    <mergeCell ref="E48:F48"/>
    <mergeCell ref="G48:H48"/>
    <mergeCell ref="C4:E4"/>
    <mergeCell ref="F4:H4"/>
    <mergeCell ref="I4:K4"/>
    <mergeCell ref="V2:X2"/>
    <mergeCell ref="S2:U2"/>
    <mergeCell ref="P2:R2"/>
    <mergeCell ref="N3:X3"/>
    <mergeCell ref="N4:X4"/>
    <mergeCell ref="N2:O2"/>
    <mergeCell ref="C1:G1"/>
    <mergeCell ref="C2:K2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1"/>
  <ignoredErrors>
    <ignoredError sqref="D66 F63 F7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obliczenia</vt:lpstr>
      <vt:lpstr>do latexa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Dwornik</dc:creator>
  <cp:lastModifiedBy>Mateusz Stasiak</cp:lastModifiedBy>
  <dcterms:created xsi:type="dcterms:W3CDTF">2022-03-17T17:00:02Z</dcterms:created>
  <dcterms:modified xsi:type="dcterms:W3CDTF">2022-04-07T09:43:30Z</dcterms:modified>
</cp:coreProperties>
</file>