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clerkeea\Desktop\"/>
    </mc:Choice>
  </mc:AlternateContent>
  <bookViews>
    <workbookView xWindow="480" yWindow="48" windowWidth="11328" windowHeight="7296" tabRatio="394"/>
  </bookViews>
  <sheets>
    <sheet name="THOMfitedt_196" sheetId="13" r:id="rId1"/>
    <sheet name="Page 1, 2" sheetId="14" r:id="rId2"/>
    <sheet name="Page 3, 4" sheetId="15" r:id="rId3"/>
    <sheet name="Page 5" sheetId="16" r:id="rId4"/>
  </sheets>
  <externalReferences>
    <externalReference r:id="rId5"/>
  </externalReferences>
  <definedNames>
    <definedName name="_scenchg_count" localSheetId="0" hidden="1">5</definedName>
    <definedName name="_scenchg1" localSheetId="0" hidden="1">THOMfitedt_196!$E$4</definedName>
    <definedName name="_scenchg2" localSheetId="0" hidden="1">THOMfitedt_196!$F$4</definedName>
    <definedName name="_scenchg3" localSheetId="0" hidden="1">THOMfitedt_196!$G$4</definedName>
    <definedName name="_scenchg4" localSheetId="0" hidden="1">THOMfitedt_196!$I$4</definedName>
    <definedName name="_scenchg5" localSheetId="0" hidden="1">THOMfitedt_196!$J$4</definedName>
    <definedName name="CHART_AREA" localSheetId="0">THOMfitedt_196!$AI$6</definedName>
    <definedName name="CHART_AREA">[1]THOMfit200_76!$AA$6</definedName>
    <definedName name="CHART_DATA" localSheetId="0">THOMfitedt_196!$E$323</definedName>
    <definedName name="CHART_DATA">[1]THOMfit200_76!$E$321</definedName>
    <definedName name="FWL_SCALE" localSheetId="0">THOMfitedt_196!$S$332:$T$335</definedName>
    <definedName name="FWL_SCALE">[1]THOMfit200_76!$O$330:$P$333</definedName>
    <definedName name="_xlnm.Print_Area" localSheetId="0">THOMfitedt_196!$A$1:$S$44</definedName>
    <definedName name="range">#REF!</definedName>
    <definedName name="Rock_Type">#REF!</definedName>
    <definedName name="scen_change" localSheetId="0" hidden="1">THOMfitedt_196!$E$4:$J$4</definedName>
    <definedName name="scen_result" localSheetId="0" hidden="1">#VALUE!</definedName>
    <definedName name="solver_adj" localSheetId="0" hidden="1">THOMfitedt_196!$M$4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THOMfitedt_196!$C$8</definedName>
    <definedName name="solver_pre" localSheetId="0" hidden="1">0.001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240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T7" i="13" l="1"/>
  <c r="T6" i="13"/>
  <c r="C8" i="13"/>
  <c r="C7" i="13"/>
  <c r="AM11" i="13"/>
  <c r="AM102" i="13"/>
  <c r="AM104" i="13"/>
  <c r="AM105" i="13"/>
  <c r="AM107" i="13"/>
  <c r="AM108" i="13"/>
  <c r="AM109" i="13"/>
  <c r="AM110" i="13"/>
  <c r="AM111" i="13"/>
  <c r="AM112" i="13"/>
  <c r="AM113" i="13"/>
  <c r="AM114" i="13"/>
  <c r="AM115" i="13"/>
  <c r="AM116" i="13"/>
  <c r="AM117" i="13"/>
  <c r="AM118" i="13"/>
  <c r="AM119" i="13"/>
  <c r="AM120" i="13"/>
  <c r="AM121" i="13"/>
  <c r="AM122" i="13"/>
  <c r="AM123" i="13"/>
  <c r="AM124" i="13"/>
  <c r="AM125" i="13"/>
  <c r="AM126" i="13"/>
  <c r="AM127" i="13"/>
  <c r="AM128" i="13"/>
  <c r="AM129" i="13"/>
  <c r="AM130" i="13"/>
  <c r="AM131" i="13"/>
  <c r="AM132" i="13"/>
  <c r="AM133" i="13"/>
  <c r="AM134" i="13"/>
  <c r="AM135" i="13"/>
  <c r="AM136" i="13"/>
  <c r="AM137" i="13"/>
  <c r="AM138" i="13"/>
  <c r="AM139" i="13"/>
  <c r="AM140" i="13"/>
  <c r="AM141" i="13"/>
  <c r="AM142" i="13"/>
  <c r="AM143" i="13"/>
  <c r="AM144" i="13"/>
  <c r="AM145" i="13"/>
  <c r="AM146" i="13"/>
  <c r="AM147" i="13"/>
  <c r="AM148" i="13"/>
  <c r="AM149" i="13"/>
  <c r="AM150" i="13"/>
  <c r="AM151" i="13"/>
  <c r="AM152" i="13"/>
  <c r="AM153" i="13"/>
  <c r="AM154" i="13"/>
  <c r="AM155" i="13"/>
  <c r="AM156" i="13"/>
  <c r="AM157" i="13"/>
  <c r="AM158" i="13"/>
  <c r="AM159" i="13"/>
  <c r="AM160" i="13"/>
  <c r="AM161" i="13"/>
  <c r="AM162" i="13"/>
  <c r="AM163" i="13"/>
  <c r="AM164" i="13"/>
  <c r="AM165" i="13"/>
  <c r="AM166" i="13"/>
  <c r="AM167" i="13"/>
  <c r="AM168" i="13"/>
  <c r="AM169" i="13"/>
  <c r="AM170" i="13"/>
  <c r="AM171" i="13"/>
  <c r="AM172" i="13"/>
  <c r="AM173" i="13"/>
  <c r="AM174" i="13"/>
  <c r="AM175" i="13"/>
  <c r="AM176" i="13"/>
  <c r="AM177" i="13"/>
  <c r="AM178" i="13"/>
  <c r="AM179" i="13"/>
  <c r="AM180" i="13"/>
  <c r="AM181" i="13"/>
  <c r="AM182" i="13"/>
  <c r="AM183" i="13"/>
  <c r="AM184" i="13"/>
  <c r="AM185" i="13"/>
  <c r="AM186" i="13"/>
  <c r="AM187" i="13"/>
  <c r="AM188" i="13"/>
  <c r="AM189" i="13"/>
  <c r="AM190" i="13"/>
  <c r="AM191" i="13"/>
  <c r="AM192" i="13"/>
  <c r="AM193" i="13"/>
  <c r="AM194" i="13"/>
  <c r="AM195" i="13"/>
  <c r="AM196" i="13"/>
  <c r="AM197" i="13"/>
  <c r="AM198" i="13"/>
  <c r="AM199" i="13"/>
  <c r="AM200" i="13"/>
  <c r="AM201" i="13"/>
  <c r="AM202" i="13"/>
  <c r="AM203" i="13"/>
  <c r="AM204" i="13"/>
  <c r="AM205" i="13"/>
  <c r="AM10" i="13"/>
  <c r="AV11" i="13" l="1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AV44" i="13"/>
  <c r="AV45" i="13"/>
  <c r="AV46" i="13"/>
  <c r="AV47" i="13"/>
  <c r="AV48" i="13"/>
  <c r="AV49" i="13"/>
  <c r="AV50" i="13"/>
  <c r="AV51" i="13"/>
  <c r="AV52" i="13"/>
  <c r="AV53" i="13"/>
  <c r="AV54" i="13"/>
  <c r="AV55" i="13"/>
  <c r="AV56" i="13"/>
  <c r="AV57" i="13"/>
  <c r="AV58" i="13"/>
  <c r="AV59" i="13"/>
  <c r="AV60" i="13"/>
  <c r="AV61" i="13"/>
  <c r="AV62" i="13"/>
  <c r="AV63" i="13"/>
  <c r="AV64" i="13"/>
  <c r="AV65" i="13"/>
  <c r="AV66" i="13"/>
  <c r="AV67" i="13"/>
  <c r="AV68" i="13"/>
  <c r="AV69" i="13"/>
  <c r="AV70" i="13"/>
  <c r="AV71" i="13"/>
  <c r="AV72" i="13"/>
  <c r="AV73" i="13"/>
  <c r="AV74" i="13"/>
  <c r="AV75" i="13"/>
  <c r="AV76" i="13"/>
  <c r="AV77" i="13"/>
  <c r="AV78" i="13"/>
  <c r="AV79" i="13"/>
  <c r="AV80" i="13"/>
  <c r="AV81" i="13"/>
  <c r="AV82" i="13"/>
  <c r="AV83" i="13"/>
  <c r="AV84" i="13"/>
  <c r="AV85" i="13"/>
  <c r="AV86" i="13"/>
  <c r="AV87" i="13"/>
  <c r="AV88" i="13"/>
  <c r="AV89" i="13"/>
  <c r="AV90" i="13"/>
  <c r="AV91" i="13"/>
  <c r="AV92" i="13"/>
  <c r="AV93" i="13"/>
  <c r="AV94" i="13"/>
  <c r="AV95" i="13"/>
  <c r="AV96" i="13"/>
  <c r="AV97" i="13"/>
  <c r="AV98" i="13"/>
  <c r="AV99" i="13"/>
  <c r="AV100" i="13"/>
  <c r="AV101" i="13"/>
  <c r="AV102" i="13"/>
  <c r="AV103" i="13"/>
  <c r="AV104" i="13"/>
  <c r="AV105" i="13"/>
  <c r="AV106" i="13"/>
  <c r="AV107" i="13"/>
  <c r="AV108" i="13"/>
  <c r="AV109" i="13"/>
  <c r="AV110" i="13"/>
  <c r="AV111" i="13"/>
  <c r="AV112" i="13"/>
  <c r="AV113" i="13"/>
  <c r="AV114" i="13"/>
  <c r="AV115" i="13"/>
  <c r="AV116" i="13"/>
  <c r="AV117" i="13"/>
  <c r="AV118" i="13"/>
  <c r="AV119" i="13"/>
  <c r="AV120" i="13"/>
  <c r="AV121" i="13"/>
  <c r="AV122" i="13"/>
  <c r="AV123" i="13"/>
  <c r="AV124" i="13"/>
  <c r="AV125" i="13"/>
  <c r="AV126" i="13"/>
  <c r="AV127" i="13"/>
  <c r="AV128" i="13"/>
  <c r="AV129" i="13"/>
  <c r="AV130" i="13"/>
  <c r="AV131" i="13"/>
  <c r="AV132" i="13"/>
  <c r="AV133" i="13"/>
  <c r="AV134" i="13"/>
  <c r="AV135" i="13"/>
  <c r="AV136" i="13"/>
  <c r="AV137" i="13"/>
  <c r="AV138" i="13"/>
  <c r="AV139" i="13"/>
  <c r="AV140" i="13"/>
  <c r="AV141" i="13"/>
  <c r="AV142" i="13"/>
  <c r="AV143" i="13"/>
  <c r="AV144" i="13"/>
  <c r="AV145" i="13"/>
  <c r="AV146" i="13"/>
  <c r="AV147" i="13"/>
  <c r="AV148" i="13"/>
  <c r="AV149" i="13"/>
  <c r="AV150" i="13"/>
  <c r="AV151" i="13"/>
  <c r="AV152" i="13"/>
  <c r="AV153" i="13"/>
  <c r="AV154" i="13"/>
  <c r="AV155" i="13"/>
  <c r="AV156" i="13"/>
  <c r="AV157" i="13"/>
  <c r="AV158" i="13"/>
  <c r="AV159" i="13"/>
  <c r="AV160" i="13"/>
  <c r="AV161" i="13"/>
  <c r="AV162" i="13"/>
  <c r="AV163" i="13"/>
  <c r="AV164" i="13"/>
  <c r="AV165" i="13"/>
  <c r="AV166" i="13"/>
  <c r="AV167" i="13"/>
  <c r="AV168" i="13"/>
  <c r="AV169" i="13"/>
  <c r="AV170" i="13"/>
  <c r="AV171" i="13"/>
  <c r="AV172" i="13"/>
  <c r="AV173" i="13"/>
  <c r="AV174" i="13"/>
  <c r="AV175" i="13"/>
  <c r="AV176" i="13"/>
  <c r="AV177" i="13"/>
  <c r="AV178" i="13"/>
  <c r="AV179" i="13"/>
  <c r="AV180" i="13"/>
  <c r="AV181" i="13"/>
  <c r="AV182" i="13"/>
  <c r="AV183" i="13"/>
  <c r="AV184" i="13"/>
  <c r="AV185" i="13"/>
  <c r="AV186" i="13"/>
  <c r="AV187" i="13"/>
  <c r="AV188" i="13"/>
  <c r="AV189" i="13"/>
  <c r="AV190" i="13"/>
  <c r="AV191" i="13"/>
  <c r="AV192" i="13"/>
  <c r="AV193" i="13"/>
  <c r="AV194" i="13"/>
  <c r="AV195" i="13"/>
  <c r="AV196" i="13"/>
  <c r="AV197" i="13"/>
  <c r="AV198" i="13"/>
  <c r="AV199" i="13"/>
  <c r="AV200" i="13"/>
  <c r="AV201" i="13"/>
  <c r="AV202" i="13"/>
  <c r="AV203" i="13"/>
  <c r="AV204" i="13"/>
  <c r="AV205" i="13"/>
  <c r="AV10" i="13"/>
  <c r="D5" i="13" l="1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60" i="13"/>
  <c r="AU61" i="13"/>
  <c r="AU62" i="13"/>
  <c r="AU63" i="13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98" i="13"/>
  <c r="AU99" i="13"/>
  <c r="AU100" i="13"/>
  <c r="AU101" i="13"/>
  <c r="AU102" i="13"/>
  <c r="AU103" i="13"/>
  <c r="AU104" i="13"/>
  <c r="AU105" i="13"/>
  <c r="AU106" i="13"/>
  <c r="AU107" i="13"/>
  <c r="AU108" i="13"/>
  <c r="AU109" i="13"/>
  <c r="AU110" i="13"/>
  <c r="AU111" i="13"/>
  <c r="AU112" i="13"/>
  <c r="AU113" i="13"/>
  <c r="AU114" i="13"/>
  <c r="AU115" i="13"/>
  <c r="AU116" i="13"/>
  <c r="AU117" i="13"/>
  <c r="AU118" i="13"/>
  <c r="AU119" i="13"/>
  <c r="AU120" i="13"/>
  <c r="AU121" i="13"/>
  <c r="AU122" i="13"/>
  <c r="AU123" i="13"/>
  <c r="AU124" i="13"/>
  <c r="AU125" i="13"/>
  <c r="AU126" i="13"/>
  <c r="AU127" i="13"/>
  <c r="AU128" i="13"/>
  <c r="AU129" i="13"/>
  <c r="AU130" i="13"/>
  <c r="AU131" i="13"/>
  <c r="AU132" i="13"/>
  <c r="AU133" i="13"/>
  <c r="AU134" i="13"/>
  <c r="AU135" i="13"/>
  <c r="AU136" i="13"/>
  <c r="AU137" i="13"/>
  <c r="AU138" i="13"/>
  <c r="AU139" i="13"/>
  <c r="AU140" i="13"/>
  <c r="AU141" i="13"/>
  <c r="AU142" i="13"/>
  <c r="AU143" i="13"/>
  <c r="AU144" i="13"/>
  <c r="AU145" i="13"/>
  <c r="AU146" i="13"/>
  <c r="AU147" i="13"/>
  <c r="AU148" i="13"/>
  <c r="AU149" i="13"/>
  <c r="AU150" i="13"/>
  <c r="AU151" i="13"/>
  <c r="AU152" i="13"/>
  <c r="AU153" i="13"/>
  <c r="AU154" i="13"/>
  <c r="AU155" i="13"/>
  <c r="AU156" i="13"/>
  <c r="AU157" i="13"/>
  <c r="AU158" i="13"/>
  <c r="AU159" i="13"/>
  <c r="AU160" i="13"/>
  <c r="AU161" i="13"/>
  <c r="AU162" i="13"/>
  <c r="AU163" i="13"/>
  <c r="AU164" i="13"/>
  <c r="AU165" i="13"/>
  <c r="AU166" i="13"/>
  <c r="AU167" i="13"/>
  <c r="AU168" i="13"/>
  <c r="AU169" i="13"/>
  <c r="AU170" i="13"/>
  <c r="AU171" i="13"/>
  <c r="AU172" i="13"/>
  <c r="AU173" i="13"/>
  <c r="AU174" i="13"/>
  <c r="AU175" i="13"/>
  <c r="AU176" i="13"/>
  <c r="AU177" i="13"/>
  <c r="AU178" i="13"/>
  <c r="AU179" i="13"/>
  <c r="AU180" i="13"/>
  <c r="AU181" i="13"/>
  <c r="AU182" i="13"/>
  <c r="AU183" i="13"/>
  <c r="AU184" i="13"/>
  <c r="AU185" i="13"/>
  <c r="AU186" i="13"/>
  <c r="AU187" i="13"/>
  <c r="AU188" i="13"/>
  <c r="AU189" i="13"/>
  <c r="AU190" i="13"/>
  <c r="AU191" i="13"/>
  <c r="AU192" i="13"/>
  <c r="AU193" i="13"/>
  <c r="AU194" i="13"/>
  <c r="AU195" i="13"/>
  <c r="AU196" i="13"/>
  <c r="AU197" i="13"/>
  <c r="AU198" i="13"/>
  <c r="AU199" i="13"/>
  <c r="AU200" i="13"/>
  <c r="AU201" i="13"/>
  <c r="AU202" i="13"/>
  <c r="AU203" i="13"/>
  <c r="AU204" i="13"/>
  <c r="AU205" i="13"/>
  <c r="AU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56" i="13"/>
  <c r="AT57" i="13"/>
  <c r="AT58" i="13"/>
  <c r="AT59" i="13"/>
  <c r="AT60" i="13"/>
  <c r="AT61" i="13"/>
  <c r="AT62" i="13"/>
  <c r="AT63" i="13"/>
  <c r="AT64" i="13"/>
  <c r="AT65" i="13"/>
  <c r="AT66" i="13"/>
  <c r="AT67" i="13"/>
  <c r="AT68" i="13"/>
  <c r="AT69" i="13"/>
  <c r="AT70" i="13"/>
  <c r="AT71" i="13"/>
  <c r="AT72" i="13"/>
  <c r="AT73" i="13"/>
  <c r="AT74" i="13"/>
  <c r="AT75" i="13"/>
  <c r="AT76" i="13"/>
  <c r="AT77" i="13"/>
  <c r="AT78" i="13"/>
  <c r="AT79" i="13"/>
  <c r="AT80" i="13"/>
  <c r="AT81" i="13"/>
  <c r="AT82" i="13"/>
  <c r="AT83" i="13"/>
  <c r="AT84" i="13"/>
  <c r="AT85" i="13"/>
  <c r="AT86" i="13"/>
  <c r="AT87" i="13"/>
  <c r="AT88" i="13"/>
  <c r="AT89" i="13"/>
  <c r="AT90" i="13"/>
  <c r="AT91" i="13"/>
  <c r="AT92" i="13"/>
  <c r="AT93" i="13"/>
  <c r="AT94" i="13"/>
  <c r="AT95" i="13"/>
  <c r="AT96" i="13"/>
  <c r="AT97" i="13"/>
  <c r="AT98" i="13"/>
  <c r="AT99" i="13"/>
  <c r="AT100" i="13"/>
  <c r="AT101" i="13"/>
  <c r="AT102" i="13"/>
  <c r="AT103" i="13"/>
  <c r="AT104" i="13"/>
  <c r="AT105" i="13"/>
  <c r="AT106" i="13"/>
  <c r="AT107" i="13"/>
  <c r="AT108" i="13"/>
  <c r="AT109" i="13"/>
  <c r="AT110" i="13"/>
  <c r="AT111" i="13"/>
  <c r="AT112" i="13"/>
  <c r="AT113" i="13"/>
  <c r="AT114" i="13"/>
  <c r="AT115" i="13"/>
  <c r="AT116" i="13"/>
  <c r="AT117" i="13"/>
  <c r="AT118" i="13"/>
  <c r="AT119" i="13"/>
  <c r="AT120" i="13"/>
  <c r="AT121" i="13"/>
  <c r="AT122" i="13"/>
  <c r="AT123" i="13"/>
  <c r="AT124" i="13"/>
  <c r="AT125" i="13"/>
  <c r="AT126" i="13"/>
  <c r="AT127" i="13"/>
  <c r="AT128" i="13"/>
  <c r="AT129" i="13"/>
  <c r="AT130" i="13"/>
  <c r="AT131" i="13"/>
  <c r="AT132" i="13"/>
  <c r="AT133" i="13"/>
  <c r="AT134" i="13"/>
  <c r="AT135" i="13"/>
  <c r="AT136" i="13"/>
  <c r="AT137" i="13"/>
  <c r="AT138" i="13"/>
  <c r="AT139" i="13"/>
  <c r="AT140" i="13"/>
  <c r="AT141" i="13"/>
  <c r="AT142" i="13"/>
  <c r="AT143" i="13"/>
  <c r="AT144" i="13"/>
  <c r="AT145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T157" i="13"/>
  <c r="AT158" i="13"/>
  <c r="AT159" i="13"/>
  <c r="AT160" i="13"/>
  <c r="AT161" i="13"/>
  <c r="AT162" i="13"/>
  <c r="AT163" i="13"/>
  <c r="AT164" i="13"/>
  <c r="AT165" i="13"/>
  <c r="AT166" i="13"/>
  <c r="AT167" i="13"/>
  <c r="AT168" i="13"/>
  <c r="AT169" i="13"/>
  <c r="AT170" i="13"/>
  <c r="AT171" i="13"/>
  <c r="AT172" i="13"/>
  <c r="AT173" i="13"/>
  <c r="AT174" i="13"/>
  <c r="AT175" i="13"/>
  <c r="AT176" i="13"/>
  <c r="AT177" i="13"/>
  <c r="AT178" i="13"/>
  <c r="AT179" i="13"/>
  <c r="AT180" i="13"/>
  <c r="AT181" i="13"/>
  <c r="AT182" i="13"/>
  <c r="AT183" i="13"/>
  <c r="AT184" i="13"/>
  <c r="AT185" i="13"/>
  <c r="AT186" i="13"/>
  <c r="AT187" i="13"/>
  <c r="AT188" i="13"/>
  <c r="AT189" i="13"/>
  <c r="AT190" i="13"/>
  <c r="AT191" i="13"/>
  <c r="AT192" i="13"/>
  <c r="AT193" i="13"/>
  <c r="AT194" i="13"/>
  <c r="AT195" i="13"/>
  <c r="AT196" i="13"/>
  <c r="AT197" i="13"/>
  <c r="AT198" i="13"/>
  <c r="AT199" i="13"/>
  <c r="AT200" i="13"/>
  <c r="AT201" i="13"/>
  <c r="AT202" i="13"/>
  <c r="AT203" i="13"/>
  <c r="AT204" i="13"/>
  <c r="AT205" i="13"/>
  <c r="AT10" i="13"/>
  <c r="AS143" i="13" l="1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R68" i="13"/>
  <c r="AR69" i="13"/>
  <c r="AR70" i="13"/>
  <c r="AR71" i="13"/>
  <c r="AR72" i="13"/>
  <c r="AR73" i="13"/>
  <c r="AR74" i="13"/>
  <c r="AR75" i="13"/>
  <c r="AR76" i="13"/>
  <c r="AR77" i="13"/>
  <c r="AR78" i="13"/>
  <c r="AR79" i="13"/>
  <c r="AR80" i="13"/>
  <c r="AR81" i="13"/>
  <c r="AR82" i="13"/>
  <c r="AR83" i="13"/>
  <c r="AR84" i="13"/>
  <c r="AR85" i="13"/>
  <c r="AR86" i="13"/>
  <c r="AR87" i="13"/>
  <c r="AR88" i="13"/>
  <c r="AR89" i="13"/>
  <c r="AR90" i="13"/>
  <c r="AR91" i="13"/>
  <c r="AR92" i="13"/>
  <c r="AR93" i="13"/>
  <c r="AR94" i="13"/>
  <c r="AR95" i="13"/>
  <c r="AR96" i="13"/>
  <c r="AR97" i="13"/>
  <c r="AR98" i="13"/>
  <c r="AR99" i="13"/>
  <c r="AR100" i="13"/>
  <c r="AR101" i="13"/>
  <c r="AR102" i="13"/>
  <c r="AR103" i="13"/>
  <c r="AR104" i="13"/>
  <c r="AR105" i="13"/>
  <c r="AR106" i="13"/>
  <c r="AR107" i="13"/>
  <c r="AR108" i="13"/>
  <c r="AR109" i="13"/>
  <c r="AR110" i="13"/>
  <c r="AR111" i="13"/>
  <c r="AR112" i="13"/>
  <c r="AR113" i="13"/>
  <c r="AR114" i="13"/>
  <c r="AR115" i="13"/>
  <c r="AR116" i="13"/>
  <c r="AR117" i="13"/>
  <c r="AR118" i="13"/>
  <c r="AR119" i="13"/>
  <c r="AR120" i="13"/>
  <c r="AR121" i="13"/>
  <c r="AR122" i="13"/>
  <c r="AR123" i="13"/>
  <c r="AR124" i="13"/>
  <c r="AR125" i="13"/>
  <c r="AR126" i="13"/>
  <c r="AR127" i="13"/>
  <c r="AR128" i="13"/>
  <c r="AS128" i="13" s="1"/>
  <c r="AR129" i="13"/>
  <c r="AS129" i="13" s="1"/>
  <c r="AR130" i="13"/>
  <c r="AS130" i="13" s="1"/>
  <c r="AR131" i="13"/>
  <c r="AS131" i="13" s="1"/>
  <c r="AR132" i="13"/>
  <c r="AS132" i="13" s="1"/>
  <c r="AR133" i="13"/>
  <c r="AS133" i="13" s="1"/>
  <c r="AR134" i="13"/>
  <c r="AS134" i="13" s="1"/>
  <c r="AR135" i="13"/>
  <c r="AS135" i="13" s="1"/>
  <c r="AR136" i="13"/>
  <c r="AS136" i="13" s="1"/>
  <c r="AR137" i="13"/>
  <c r="AS137" i="13" s="1"/>
  <c r="AR138" i="13"/>
  <c r="AS138" i="13" s="1"/>
  <c r="AR139" i="13"/>
  <c r="AS139" i="13" s="1"/>
  <c r="AR140" i="13"/>
  <c r="AS140" i="13" s="1"/>
  <c r="AR141" i="13"/>
  <c r="AS141" i="13" s="1"/>
  <c r="AR142" i="13"/>
  <c r="AS142" i="13" s="1"/>
  <c r="AR143" i="13"/>
  <c r="AR144" i="13"/>
  <c r="AS144" i="13" s="1"/>
  <c r="AR145" i="13"/>
  <c r="AS145" i="13" s="1"/>
  <c r="AR146" i="13"/>
  <c r="AS146" i="13" s="1"/>
  <c r="AR147" i="13"/>
  <c r="AS147" i="13" s="1"/>
  <c r="AR148" i="13"/>
  <c r="AS148" i="13" s="1"/>
  <c r="AR149" i="13"/>
  <c r="AS149" i="13" s="1"/>
  <c r="AR150" i="13"/>
  <c r="AS150" i="13" s="1"/>
  <c r="AR151" i="13"/>
  <c r="AS151" i="13" s="1"/>
  <c r="AR152" i="13"/>
  <c r="AS152" i="13" s="1"/>
  <c r="AR153" i="13"/>
  <c r="AS153" i="13" s="1"/>
  <c r="AR154" i="13"/>
  <c r="AS154" i="13" s="1"/>
  <c r="AR155" i="13"/>
  <c r="AS155" i="13" s="1"/>
  <c r="AR156" i="13"/>
  <c r="AS156" i="13" s="1"/>
  <c r="AR157" i="13"/>
  <c r="AS157" i="13" s="1"/>
  <c r="AR158" i="13"/>
  <c r="AS158" i="13" s="1"/>
  <c r="AR159" i="13"/>
  <c r="AS159" i="13" s="1"/>
  <c r="AR160" i="13"/>
  <c r="AS160" i="13" s="1"/>
  <c r="AR161" i="13"/>
  <c r="AS161" i="13" s="1"/>
  <c r="AR162" i="13"/>
  <c r="AS162" i="13" s="1"/>
  <c r="AR163" i="13"/>
  <c r="AS163" i="13" s="1"/>
  <c r="AR164" i="13"/>
  <c r="AS164" i="13" s="1"/>
  <c r="AR165" i="13"/>
  <c r="AS165" i="13" s="1"/>
  <c r="AR166" i="13"/>
  <c r="AS166" i="13" s="1"/>
  <c r="AR167" i="13"/>
  <c r="AS167" i="13" s="1"/>
  <c r="AR168" i="13"/>
  <c r="AS168" i="13" s="1"/>
  <c r="AR169" i="13"/>
  <c r="AS169" i="13" s="1"/>
  <c r="AR170" i="13"/>
  <c r="AS170" i="13" s="1"/>
  <c r="AR171" i="13"/>
  <c r="AS171" i="13" s="1"/>
  <c r="AR172" i="13"/>
  <c r="AS172" i="13" s="1"/>
  <c r="AR173" i="13"/>
  <c r="AS173" i="13" s="1"/>
  <c r="AR174" i="13"/>
  <c r="AS174" i="13" s="1"/>
  <c r="AR175" i="13"/>
  <c r="AS175" i="13" s="1"/>
  <c r="AR176" i="13"/>
  <c r="AS176" i="13" s="1"/>
  <c r="AR177" i="13"/>
  <c r="AS177" i="13" s="1"/>
  <c r="AR178" i="13"/>
  <c r="AS178" i="13" s="1"/>
  <c r="AR179" i="13"/>
  <c r="AS179" i="13" s="1"/>
  <c r="AR180" i="13"/>
  <c r="AS180" i="13" s="1"/>
  <c r="AR181" i="13"/>
  <c r="AS181" i="13" s="1"/>
  <c r="AR182" i="13"/>
  <c r="AS182" i="13" s="1"/>
  <c r="AR183" i="13"/>
  <c r="AS183" i="13" s="1"/>
  <c r="AR184" i="13"/>
  <c r="AS184" i="13" s="1"/>
  <c r="AR185" i="13"/>
  <c r="AS185" i="13" s="1"/>
  <c r="AR186" i="13"/>
  <c r="AS186" i="13" s="1"/>
  <c r="AR187" i="13"/>
  <c r="AS187" i="13" s="1"/>
  <c r="AR188" i="13"/>
  <c r="AS188" i="13" s="1"/>
  <c r="AR189" i="13"/>
  <c r="AS189" i="13" s="1"/>
  <c r="AR190" i="13"/>
  <c r="AS190" i="13" s="1"/>
  <c r="AR191" i="13"/>
  <c r="AS191" i="13" s="1"/>
  <c r="AR192" i="13"/>
  <c r="AS192" i="13" s="1"/>
  <c r="AR193" i="13"/>
  <c r="AS193" i="13" s="1"/>
  <c r="AR194" i="13"/>
  <c r="AS194" i="13" s="1"/>
  <c r="AR195" i="13"/>
  <c r="AS195" i="13" s="1"/>
  <c r="AR196" i="13"/>
  <c r="AS196" i="13" s="1"/>
  <c r="AR197" i="13"/>
  <c r="AS197" i="13" s="1"/>
  <c r="AR198" i="13"/>
  <c r="AS198" i="13" s="1"/>
  <c r="AR199" i="13"/>
  <c r="AS199" i="13" s="1"/>
  <c r="AR200" i="13"/>
  <c r="AS200" i="13" s="1"/>
  <c r="AR201" i="13"/>
  <c r="AS201" i="13" s="1"/>
  <c r="AR202" i="13"/>
  <c r="AS202" i="13" s="1"/>
  <c r="AR203" i="13"/>
  <c r="AS203" i="13" s="1"/>
  <c r="AR204" i="13"/>
  <c r="AS204" i="13" s="1"/>
  <c r="AR205" i="13"/>
  <c r="AS205" i="13" s="1"/>
  <c r="AR10" i="13"/>
  <c r="AS10" i="13" s="1"/>
  <c r="AQ27" i="13"/>
  <c r="AQ28" i="13"/>
  <c r="AQ29" i="13"/>
  <c r="AQ52" i="13"/>
  <c r="AQ53" i="13"/>
  <c r="AQ54" i="13"/>
  <c r="AQ55" i="13"/>
  <c r="AQ56" i="13"/>
  <c r="AQ57" i="13"/>
  <c r="AQ58" i="13"/>
  <c r="AQ128" i="13"/>
  <c r="AQ129" i="13"/>
  <c r="AQ130" i="13"/>
  <c r="AQ131" i="13"/>
  <c r="AQ132" i="13"/>
  <c r="AQ133" i="13"/>
  <c r="AQ134" i="13"/>
  <c r="AQ135" i="13"/>
  <c r="AQ136" i="13"/>
  <c r="AQ137" i="13"/>
  <c r="AQ138" i="13"/>
  <c r="AQ139" i="13"/>
  <c r="AQ140" i="13"/>
  <c r="AQ141" i="13"/>
  <c r="AQ142" i="13"/>
  <c r="AQ143" i="13"/>
  <c r="AQ144" i="13"/>
  <c r="AQ145" i="13"/>
  <c r="AQ146" i="13"/>
  <c r="AQ147" i="13"/>
  <c r="AQ148" i="13"/>
  <c r="AQ149" i="13"/>
  <c r="AQ150" i="13"/>
  <c r="AQ151" i="13"/>
  <c r="AQ152" i="13"/>
  <c r="AQ153" i="13"/>
  <c r="AQ154" i="13"/>
  <c r="AQ155" i="13"/>
  <c r="AQ156" i="13"/>
  <c r="AQ157" i="13"/>
  <c r="AQ158" i="13"/>
  <c r="AQ159" i="13"/>
  <c r="AQ160" i="13"/>
  <c r="AQ161" i="13"/>
  <c r="AQ162" i="13"/>
  <c r="AQ163" i="13"/>
  <c r="AQ164" i="13"/>
  <c r="AQ165" i="13"/>
  <c r="AQ166" i="13"/>
  <c r="AQ167" i="13"/>
  <c r="AQ168" i="13"/>
  <c r="AQ169" i="13"/>
  <c r="AQ170" i="13"/>
  <c r="AQ171" i="13"/>
  <c r="AQ172" i="13"/>
  <c r="AQ173" i="13"/>
  <c r="AQ174" i="13"/>
  <c r="AQ175" i="13"/>
  <c r="AQ176" i="13"/>
  <c r="AQ177" i="13"/>
  <c r="AQ178" i="13"/>
  <c r="AQ179" i="13"/>
  <c r="AQ180" i="13"/>
  <c r="AQ181" i="13"/>
  <c r="AQ182" i="13"/>
  <c r="AQ183" i="13"/>
  <c r="AQ184" i="13"/>
  <c r="AQ185" i="13"/>
  <c r="AQ186" i="13"/>
  <c r="AQ187" i="13"/>
  <c r="AQ188" i="13"/>
  <c r="AQ189" i="13"/>
  <c r="AQ190" i="13"/>
  <c r="AQ191" i="13"/>
  <c r="AQ192" i="13"/>
  <c r="AQ193" i="13"/>
  <c r="AQ194" i="13"/>
  <c r="AQ195" i="13"/>
  <c r="AQ196" i="13"/>
  <c r="AQ197" i="13"/>
  <c r="AQ198" i="13"/>
  <c r="AQ199" i="13"/>
  <c r="AQ200" i="13"/>
  <c r="AQ201" i="13"/>
  <c r="AQ202" i="13"/>
  <c r="AQ203" i="13"/>
  <c r="AQ204" i="13"/>
  <c r="AQ205" i="13"/>
  <c r="AQ10" i="13"/>
  <c r="N406" i="13"/>
  <c r="N310" i="13"/>
  <c r="T205" i="13"/>
  <c r="T204" i="13"/>
  <c r="T203" i="13"/>
  <c r="T202" i="13"/>
  <c r="T201" i="13"/>
  <c r="T200" i="13"/>
  <c r="T199" i="13"/>
  <c r="T198" i="13"/>
  <c r="T197" i="13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8" i="13"/>
  <c r="T177" i="13"/>
  <c r="T176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7" i="13"/>
  <c r="T156" i="13"/>
  <c r="T155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AJ10" i="13"/>
  <c r="G5" i="13"/>
  <c r="AO21" i="13" s="1"/>
  <c r="H4" i="13"/>
  <c r="P4" i="13"/>
  <c r="L4" i="13"/>
  <c r="D10" i="13"/>
  <c r="G10" i="13" s="1"/>
  <c r="D11" i="13"/>
  <c r="D12" i="13"/>
  <c r="AB12" i="13" s="1"/>
  <c r="D13" i="13"/>
  <c r="D14" i="13"/>
  <c r="AC14" i="13" s="1"/>
  <c r="D15" i="13"/>
  <c r="D16" i="13"/>
  <c r="AB16" i="13" s="1"/>
  <c r="D17" i="13"/>
  <c r="E17" i="13" s="1"/>
  <c r="F17" i="13" s="1"/>
  <c r="D18" i="13"/>
  <c r="AD18" i="13" s="1"/>
  <c r="D19" i="13"/>
  <c r="D20" i="13"/>
  <c r="AD20" i="13" s="1"/>
  <c r="AE20" i="13" s="1"/>
  <c r="D21" i="13"/>
  <c r="AC21" i="13" s="1"/>
  <c r="D22" i="13"/>
  <c r="C317" i="13" s="1"/>
  <c r="D23" i="13"/>
  <c r="D24" i="13"/>
  <c r="C319" i="13" s="1"/>
  <c r="D25" i="13"/>
  <c r="AC25" i="13" s="1"/>
  <c r="D26" i="13"/>
  <c r="X26" i="13" s="1"/>
  <c r="D27" i="13"/>
  <c r="G27" i="13" s="1"/>
  <c r="D28" i="13"/>
  <c r="E28" i="13" s="1"/>
  <c r="D29" i="13"/>
  <c r="D30" i="13"/>
  <c r="D31" i="13"/>
  <c r="X31" i="13" s="1"/>
  <c r="D32" i="13"/>
  <c r="G32" i="13" s="1"/>
  <c r="G327" i="13" s="1"/>
  <c r="D33" i="13"/>
  <c r="AB33" i="13" s="1"/>
  <c r="D34" i="13"/>
  <c r="Z34" i="13" s="1"/>
  <c r="D35" i="13"/>
  <c r="D36" i="13"/>
  <c r="G36" i="13" s="1"/>
  <c r="M36" i="13" s="1"/>
  <c r="D37" i="13"/>
  <c r="AD37" i="13" s="1"/>
  <c r="AE37" i="13" s="1"/>
  <c r="D38" i="13"/>
  <c r="X38" i="13" s="1"/>
  <c r="D39" i="13"/>
  <c r="Z39" i="13" s="1"/>
  <c r="D40" i="13"/>
  <c r="C335" i="13" s="1"/>
  <c r="D41" i="13"/>
  <c r="AD41" i="13" s="1"/>
  <c r="AE41" i="13" s="1"/>
  <c r="D42" i="13"/>
  <c r="AD42" i="13" s="1"/>
  <c r="AE42" i="13" s="1"/>
  <c r="D43" i="13"/>
  <c r="D44" i="13"/>
  <c r="G44" i="13" s="1"/>
  <c r="D45" i="13"/>
  <c r="AC45" i="13" s="1"/>
  <c r="D46" i="13"/>
  <c r="AD46" i="13" s="1"/>
  <c r="AE46" i="13" s="1"/>
  <c r="D47" i="13"/>
  <c r="C342" i="13" s="1"/>
  <c r="D48" i="13"/>
  <c r="X48" i="13" s="1"/>
  <c r="D49" i="13"/>
  <c r="AC49" i="13" s="1"/>
  <c r="D50" i="13"/>
  <c r="AD50" i="13" s="1"/>
  <c r="AE50" i="13" s="1"/>
  <c r="D51" i="13"/>
  <c r="C346" i="13" s="1"/>
  <c r="D52" i="13"/>
  <c r="AD52" i="13" s="1"/>
  <c r="D53" i="13"/>
  <c r="AB53" i="13" s="1"/>
  <c r="D54" i="13"/>
  <c r="AB54" i="13" s="1"/>
  <c r="D55" i="13"/>
  <c r="E55" i="13" s="1"/>
  <c r="D56" i="13"/>
  <c r="Z56" i="13" s="1"/>
  <c r="D57" i="13"/>
  <c r="AC57" i="13" s="1"/>
  <c r="D58" i="13"/>
  <c r="Z58" i="13" s="1"/>
  <c r="D59" i="13"/>
  <c r="AB59" i="13" s="1"/>
  <c r="D60" i="13"/>
  <c r="AD60" i="13" s="1"/>
  <c r="AE60" i="13" s="1"/>
  <c r="D61" i="13"/>
  <c r="D62" i="13"/>
  <c r="G62" i="13" s="1"/>
  <c r="D63" i="13"/>
  <c r="AC63" i="13" s="1"/>
  <c r="D64" i="13"/>
  <c r="Z64" i="13" s="1"/>
  <c r="D65" i="13"/>
  <c r="C360" i="13" s="1"/>
  <c r="D66" i="13"/>
  <c r="X66" i="13" s="1"/>
  <c r="D67" i="13"/>
  <c r="X67" i="13" s="1"/>
  <c r="D68" i="13"/>
  <c r="D69" i="13"/>
  <c r="E69" i="13" s="1"/>
  <c r="E364" i="13" s="1"/>
  <c r="D70" i="13"/>
  <c r="AB70" i="13" s="1"/>
  <c r="D71" i="13"/>
  <c r="D72" i="13"/>
  <c r="Z72" i="13" s="1"/>
  <c r="D73" i="13"/>
  <c r="C368" i="13" s="1"/>
  <c r="D74" i="13"/>
  <c r="AD74" i="13" s="1"/>
  <c r="AE74" i="13" s="1"/>
  <c r="D75" i="13"/>
  <c r="E75" i="13" s="1"/>
  <c r="D76" i="13"/>
  <c r="D77" i="13"/>
  <c r="G77" i="13" s="1"/>
  <c r="D78" i="13"/>
  <c r="AC78" i="13" s="1"/>
  <c r="D79" i="13"/>
  <c r="D80" i="13"/>
  <c r="G80" i="13" s="1"/>
  <c r="M80" i="13" s="1"/>
  <c r="D81" i="13"/>
  <c r="AD81" i="13" s="1"/>
  <c r="D82" i="13"/>
  <c r="G82" i="13" s="1"/>
  <c r="M82" i="13" s="1"/>
  <c r="D83" i="13"/>
  <c r="C378" i="13" s="1"/>
  <c r="D84" i="13"/>
  <c r="AC84" i="13" s="1"/>
  <c r="D85" i="13"/>
  <c r="AB85" i="13" s="1"/>
  <c r="D86" i="13"/>
  <c r="C381" i="13" s="1"/>
  <c r="D87" i="13"/>
  <c r="AB87" i="13" s="1"/>
  <c r="D88" i="13"/>
  <c r="AC88" i="13" s="1"/>
  <c r="D89" i="13"/>
  <c r="AD89" i="13" s="1"/>
  <c r="AE89" i="13" s="1"/>
  <c r="D90" i="13"/>
  <c r="AC90" i="13" s="1"/>
  <c r="D91" i="13"/>
  <c r="X91" i="13" s="1"/>
  <c r="D92" i="13"/>
  <c r="AC92" i="13" s="1"/>
  <c r="D93" i="13"/>
  <c r="Z93" i="13" s="1"/>
  <c r="D94" i="13"/>
  <c r="Z94" i="13" s="1"/>
  <c r="D95" i="13"/>
  <c r="D96" i="13"/>
  <c r="D97" i="13"/>
  <c r="AC97" i="13" s="1"/>
  <c r="D98" i="13"/>
  <c r="D99" i="13"/>
  <c r="AB99" i="13" s="1"/>
  <c r="D100" i="13"/>
  <c r="Z100" i="13" s="1"/>
  <c r="D101" i="13"/>
  <c r="AC101" i="13" s="1"/>
  <c r="D102" i="13"/>
  <c r="D103" i="13"/>
  <c r="G103" i="13" s="1"/>
  <c r="D104" i="13"/>
  <c r="G104" i="13" s="1"/>
  <c r="D105" i="13"/>
  <c r="E105" i="13" s="1"/>
  <c r="D106" i="13"/>
  <c r="Z106" i="13" s="1"/>
  <c r="D107" i="13"/>
  <c r="AD107" i="13" s="1"/>
  <c r="AE107" i="13" s="1"/>
  <c r="D108" i="13"/>
  <c r="E108" i="13" s="1"/>
  <c r="E403" i="13" s="1"/>
  <c r="D109" i="13"/>
  <c r="Z109" i="13" s="1"/>
  <c r="D110" i="13"/>
  <c r="D111" i="13"/>
  <c r="G111" i="13" s="1"/>
  <c r="G406" i="13" s="1"/>
  <c r="D112" i="13"/>
  <c r="X112" i="13" s="1"/>
  <c r="D113" i="13"/>
  <c r="X113" i="13" s="1"/>
  <c r="D114" i="13"/>
  <c r="AD114" i="13" s="1"/>
  <c r="AE114" i="13" s="1"/>
  <c r="D115" i="13"/>
  <c r="G115" i="13" s="1"/>
  <c r="M115" i="13" s="1"/>
  <c r="D116" i="13"/>
  <c r="AD116" i="13" s="1"/>
  <c r="D117" i="13"/>
  <c r="X117" i="13" s="1"/>
  <c r="D118" i="13"/>
  <c r="E118" i="13" s="1"/>
  <c r="F118" i="13" s="1"/>
  <c r="D119" i="13"/>
  <c r="AD119" i="13" s="1"/>
  <c r="AE119" i="13" s="1"/>
  <c r="D120" i="13"/>
  <c r="AD120" i="13" s="1"/>
  <c r="AE120" i="13" s="1"/>
  <c r="D121" i="13"/>
  <c r="AD121" i="13" s="1"/>
  <c r="AE121" i="13" s="1"/>
  <c r="D122" i="13"/>
  <c r="D123" i="13"/>
  <c r="D124" i="13"/>
  <c r="AC124" i="13" s="1"/>
  <c r="D125" i="13"/>
  <c r="AD125" i="13" s="1"/>
  <c r="AE125" i="13" s="1"/>
  <c r="D126" i="13"/>
  <c r="X126" i="13" s="1"/>
  <c r="D127" i="13"/>
  <c r="AA95" i="13"/>
  <c r="AC65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0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1" i="13"/>
  <c r="AO44" i="13"/>
  <c r="Q4" i="13"/>
  <c r="W335" i="13" s="1"/>
  <c r="AO42" i="13"/>
  <c r="AO40" i="13"/>
  <c r="K5" i="13"/>
  <c r="AR2" i="13"/>
  <c r="AQ2" i="13"/>
  <c r="AO37" i="13"/>
  <c r="AO35" i="13"/>
  <c r="AO33" i="13"/>
  <c r="AO28" i="13"/>
  <c r="AO26" i="13"/>
  <c r="AO24" i="13"/>
  <c r="AO30" i="13"/>
  <c r="AO19" i="13"/>
  <c r="AO15" i="13"/>
  <c r="AO13" i="13"/>
  <c r="AO11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B340" i="13"/>
  <c r="F340" i="13"/>
  <c r="I340" i="13"/>
  <c r="K340" i="13"/>
  <c r="N340" i="13" s="1"/>
  <c r="B341" i="13"/>
  <c r="F341" i="13"/>
  <c r="I341" i="13"/>
  <c r="K341" i="13"/>
  <c r="N341" i="13" s="1"/>
  <c r="B342" i="13"/>
  <c r="F342" i="13"/>
  <c r="I342" i="13"/>
  <c r="K342" i="13"/>
  <c r="N342" i="13" s="1"/>
  <c r="B343" i="13"/>
  <c r="F343" i="13"/>
  <c r="I343" i="13"/>
  <c r="K343" i="13"/>
  <c r="N343" i="13" s="1"/>
  <c r="B344" i="13"/>
  <c r="F344" i="13"/>
  <c r="I344" i="13"/>
  <c r="K344" i="13"/>
  <c r="N344" i="13" s="1"/>
  <c r="B345" i="13"/>
  <c r="F345" i="13"/>
  <c r="I345" i="13"/>
  <c r="K345" i="13"/>
  <c r="N345" i="13" s="1"/>
  <c r="B346" i="13"/>
  <c r="F346" i="13"/>
  <c r="I346" i="13"/>
  <c r="K346" i="13"/>
  <c r="N346" i="13" s="1"/>
  <c r="B347" i="13"/>
  <c r="F347" i="13"/>
  <c r="I347" i="13"/>
  <c r="K347" i="13"/>
  <c r="N347" i="13" s="1"/>
  <c r="B348" i="13"/>
  <c r="F348" i="13"/>
  <c r="I348" i="13"/>
  <c r="K348" i="13"/>
  <c r="N348" i="13" s="1"/>
  <c r="B349" i="13"/>
  <c r="F349" i="13"/>
  <c r="I349" i="13"/>
  <c r="K349" i="13"/>
  <c r="N349" i="13" s="1"/>
  <c r="B350" i="13"/>
  <c r="F350" i="13"/>
  <c r="I350" i="13"/>
  <c r="K350" i="13"/>
  <c r="N350" i="13" s="1"/>
  <c r="B351" i="13"/>
  <c r="F351" i="13"/>
  <c r="I351" i="13"/>
  <c r="K351" i="13"/>
  <c r="N351" i="13" s="1"/>
  <c r="B352" i="13"/>
  <c r="F352" i="13"/>
  <c r="I352" i="13"/>
  <c r="K352" i="13"/>
  <c r="N352" i="13" s="1"/>
  <c r="B353" i="13"/>
  <c r="F353" i="13"/>
  <c r="I353" i="13"/>
  <c r="K353" i="13"/>
  <c r="N353" i="13" s="1"/>
  <c r="B354" i="13"/>
  <c r="F354" i="13"/>
  <c r="I354" i="13"/>
  <c r="K354" i="13"/>
  <c r="N354" i="13" s="1"/>
  <c r="B355" i="13"/>
  <c r="F355" i="13"/>
  <c r="I355" i="13"/>
  <c r="K355" i="13"/>
  <c r="N355" i="13" s="1"/>
  <c r="B356" i="13"/>
  <c r="F356" i="13"/>
  <c r="I356" i="13"/>
  <c r="K356" i="13"/>
  <c r="N356" i="13" s="1"/>
  <c r="B357" i="13"/>
  <c r="F357" i="13"/>
  <c r="I357" i="13"/>
  <c r="K357" i="13"/>
  <c r="N357" i="13" s="1"/>
  <c r="B358" i="13"/>
  <c r="F358" i="13"/>
  <c r="I358" i="13"/>
  <c r="K358" i="13"/>
  <c r="N358" i="13" s="1"/>
  <c r="B359" i="13"/>
  <c r="F359" i="13"/>
  <c r="I359" i="13"/>
  <c r="K359" i="13"/>
  <c r="N359" i="13" s="1"/>
  <c r="B360" i="13"/>
  <c r="F360" i="13"/>
  <c r="I360" i="13"/>
  <c r="K360" i="13"/>
  <c r="N360" i="13" s="1"/>
  <c r="B361" i="13"/>
  <c r="F361" i="13"/>
  <c r="I361" i="13"/>
  <c r="K361" i="13"/>
  <c r="N361" i="13" s="1"/>
  <c r="B362" i="13"/>
  <c r="F362" i="13"/>
  <c r="I362" i="13"/>
  <c r="K362" i="13"/>
  <c r="N362" i="13" s="1"/>
  <c r="B363" i="13"/>
  <c r="F363" i="13"/>
  <c r="I363" i="13"/>
  <c r="K363" i="13"/>
  <c r="N363" i="13" s="1"/>
  <c r="B364" i="13"/>
  <c r="F364" i="13"/>
  <c r="I364" i="13"/>
  <c r="K364" i="13"/>
  <c r="N364" i="13" s="1"/>
  <c r="B365" i="13"/>
  <c r="F365" i="13"/>
  <c r="I365" i="13"/>
  <c r="K365" i="13"/>
  <c r="N365" i="13" s="1"/>
  <c r="B366" i="13"/>
  <c r="F366" i="13"/>
  <c r="I366" i="13"/>
  <c r="K366" i="13"/>
  <c r="N366" i="13" s="1"/>
  <c r="B367" i="13"/>
  <c r="F367" i="13"/>
  <c r="I367" i="13"/>
  <c r="K367" i="13"/>
  <c r="N367" i="13" s="1"/>
  <c r="B368" i="13"/>
  <c r="F368" i="13"/>
  <c r="I368" i="13"/>
  <c r="K368" i="13"/>
  <c r="N368" i="13" s="1"/>
  <c r="B369" i="13"/>
  <c r="F369" i="13"/>
  <c r="I369" i="13"/>
  <c r="K369" i="13"/>
  <c r="N369" i="13" s="1"/>
  <c r="B370" i="13"/>
  <c r="F370" i="13"/>
  <c r="I370" i="13"/>
  <c r="K370" i="13"/>
  <c r="N370" i="13" s="1"/>
  <c r="B371" i="13"/>
  <c r="F371" i="13"/>
  <c r="I371" i="13"/>
  <c r="K371" i="13"/>
  <c r="N371" i="13" s="1"/>
  <c r="B372" i="13"/>
  <c r="F372" i="13"/>
  <c r="I372" i="13"/>
  <c r="K372" i="13"/>
  <c r="N372" i="13" s="1"/>
  <c r="B373" i="13"/>
  <c r="F373" i="13"/>
  <c r="I373" i="13"/>
  <c r="K373" i="13"/>
  <c r="N373" i="13" s="1"/>
  <c r="B374" i="13"/>
  <c r="F374" i="13"/>
  <c r="I374" i="13"/>
  <c r="K374" i="13"/>
  <c r="N374" i="13" s="1"/>
  <c r="B375" i="13"/>
  <c r="F375" i="13"/>
  <c r="I375" i="13"/>
  <c r="K375" i="13"/>
  <c r="N375" i="13" s="1"/>
  <c r="B376" i="13"/>
  <c r="F376" i="13"/>
  <c r="I376" i="13"/>
  <c r="K376" i="13"/>
  <c r="N376" i="13" s="1"/>
  <c r="B377" i="13"/>
  <c r="F377" i="13"/>
  <c r="I377" i="13"/>
  <c r="K377" i="13"/>
  <c r="N377" i="13" s="1"/>
  <c r="B378" i="13"/>
  <c r="F378" i="13"/>
  <c r="I378" i="13"/>
  <c r="K378" i="13"/>
  <c r="N378" i="13" s="1"/>
  <c r="B379" i="13"/>
  <c r="F379" i="13"/>
  <c r="I379" i="13"/>
  <c r="K379" i="13"/>
  <c r="N379" i="13" s="1"/>
  <c r="B380" i="13"/>
  <c r="F380" i="13"/>
  <c r="I380" i="13"/>
  <c r="K380" i="13"/>
  <c r="N380" i="13" s="1"/>
  <c r="B381" i="13"/>
  <c r="F381" i="13"/>
  <c r="I381" i="13"/>
  <c r="K381" i="13"/>
  <c r="N381" i="13" s="1"/>
  <c r="B382" i="13"/>
  <c r="F382" i="13"/>
  <c r="I382" i="13"/>
  <c r="K382" i="13"/>
  <c r="N382" i="13" s="1"/>
  <c r="B383" i="13"/>
  <c r="F383" i="13"/>
  <c r="I383" i="13"/>
  <c r="K383" i="13"/>
  <c r="N383" i="13" s="1"/>
  <c r="B384" i="13"/>
  <c r="F384" i="13"/>
  <c r="I384" i="13"/>
  <c r="K384" i="13"/>
  <c r="N384" i="13" s="1"/>
  <c r="B385" i="13"/>
  <c r="F385" i="13"/>
  <c r="I385" i="13"/>
  <c r="K385" i="13"/>
  <c r="N385" i="13" s="1"/>
  <c r="B386" i="13"/>
  <c r="F386" i="13"/>
  <c r="I386" i="13"/>
  <c r="K386" i="13"/>
  <c r="N386" i="13" s="1"/>
  <c r="B387" i="13"/>
  <c r="F387" i="13"/>
  <c r="I387" i="13"/>
  <c r="K387" i="13"/>
  <c r="N387" i="13" s="1"/>
  <c r="B388" i="13"/>
  <c r="F388" i="13"/>
  <c r="I388" i="13"/>
  <c r="K388" i="13"/>
  <c r="N388" i="13" s="1"/>
  <c r="B389" i="13"/>
  <c r="F389" i="13"/>
  <c r="I389" i="13"/>
  <c r="K389" i="13"/>
  <c r="N389" i="13" s="1"/>
  <c r="B390" i="13"/>
  <c r="F390" i="13"/>
  <c r="I390" i="13"/>
  <c r="K390" i="13"/>
  <c r="N390" i="13" s="1"/>
  <c r="B391" i="13"/>
  <c r="F391" i="13"/>
  <c r="I391" i="13"/>
  <c r="K391" i="13"/>
  <c r="N391" i="13" s="1"/>
  <c r="B392" i="13"/>
  <c r="F392" i="13"/>
  <c r="I392" i="13"/>
  <c r="K392" i="13"/>
  <c r="N392" i="13" s="1"/>
  <c r="B393" i="13"/>
  <c r="F393" i="13"/>
  <c r="I393" i="13"/>
  <c r="K393" i="13"/>
  <c r="N393" i="13" s="1"/>
  <c r="B394" i="13"/>
  <c r="F394" i="13"/>
  <c r="I394" i="13"/>
  <c r="K394" i="13"/>
  <c r="N394" i="13" s="1"/>
  <c r="B395" i="13"/>
  <c r="F395" i="13"/>
  <c r="I395" i="13"/>
  <c r="K395" i="13"/>
  <c r="N395" i="13" s="1"/>
  <c r="B396" i="13"/>
  <c r="F396" i="13"/>
  <c r="I396" i="13"/>
  <c r="K396" i="13"/>
  <c r="N396" i="13" s="1"/>
  <c r="B397" i="13"/>
  <c r="F397" i="13"/>
  <c r="I397" i="13"/>
  <c r="K397" i="13"/>
  <c r="N397" i="13" s="1"/>
  <c r="B398" i="13"/>
  <c r="F398" i="13"/>
  <c r="I398" i="13"/>
  <c r="K398" i="13"/>
  <c r="N398" i="13" s="1"/>
  <c r="B399" i="13"/>
  <c r="F399" i="13"/>
  <c r="I399" i="13"/>
  <c r="K399" i="13"/>
  <c r="N399" i="13" s="1"/>
  <c r="B400" i="13"/>
  <c r="F400" i="13"/>
  <c r="I400" i="13"/>
  <c r="K400" i="13"/>
  <c r="N400" i="13" s="1"/>
  <c r="B401" i="13"/>
  <c r="F401" i="13"/>
  <c r="I401" i="13"/>
  <c r="K401" i="13"/>
  <c r="N401" i="13" s="1"/>
  <c r="B402" i="13"/>
  <c r="F402" i="13"/>
  <c r="I402" i="13"/>
  <c r="K402" i="13"/>
  <c r="N402" i="13" s="1"/>
  <c r="B403" i="13"/>
  <c r="F403" i="13"/>
  <c r="I403" i="13"/>
  <c r="K403" i="13"/>
  <c r="N403" i="13" s="1"/>
  <c r="B404" i="13"/>
  <c r="F404" i="13"/>
  <c r="I404" i="13"/>
  <c r="K404" i="13"/>
  <c r="N404" i="13" s="1"/>
  <c r="B405" i="13"/>
  <c r="F405" i="13"/>
  <c r="I405" i="13"/>
  <c r="K405" i="13"/>
  <c r="N405" i="13" s="1"/>
  <c r="B406" i="13"/>
  <c r="F406" i="13"/>
  <c r="I406" i="13"/>
  <c r="K406" i="13"/>
  <c r="B407" i="13"/>
  <c r="F407" i="13"/>
  <c r="I407" i="13"/>
  <c r="K407" i="13"/>
  <c r="N407" i="13" s="1"/>
  <c r="B408" i="13"/>
  <c r="F408" i="13"/>
  <c r="I408" i="13"/>
  <c r="K408" i="13"/>
  <c r="N408" i="13" s="1"/>
  <c r="B409" i="13"/>
  <c r="F409" i="13"/>
  <c r="I409" i="13"/>
  <c r="K409" i="13"/>
  <c r="N409" i="13" s="1"/>
  <c r="B410" i="13"/>
  <c r="F410" i="13"/>
  <c r="I410" i="13"/>
  <c r="K410" i="13"/>
  <c r="N410" i="13" s="1"/>
  <c r="B411" i="13"/>
  <c r="F411" i="13"/>
  <c r="I411" i="13"/>
  <c r="K411" i="13"/>
  <c r="N411" i="13" s="1"/>
  <c r="B412" i="13"/>
  <c r="F412" i="13"/>
  <c r="I412" i="13"/>
  <c r="K412" i="13"/>
  <c r="N412" i="13" s="1"/>
  <c r="B413" i="13"/>
  <c r="F413" i="13"/>
  <c r="I413" i="13"/>
  <c r="K413" i="13"/>
  <c r="N413" i="13" s="1"/>
  <c r="B414" i="13"/>
  <c r="F414" i="13"/>
  <c r="I414" i="13"/>
  <c r="K414" i="13"/>
  <c r="N414" i="13" s="1"/>
  <c r="B415" i="13"/>
  <c r="F415" i="13"/>
  <c r="I415" i="13"/>
  <c r="K415" i="13"/>
  <c r="N415" i="13" s="1"/>
  <c r="B416" i="13"/>
  <c r="F416" i="13"/>
  <c r="I416" i="13"/>
  <c r="K416" i="13"/>
  <c r="N416" i="13" s="1"/>
  <c r="B417" i="13"/>
  <c r="F417" i="13"/>
  <c r="I417" i="13"/>
  <c r="K417" i="13"/>
  <c r="N417" i="13" s="1"/>
  <c r="B418" i="13"/>
  <c r="F418" i="13"/>
  <c r="I418" i="13"/>
  <c r="K418" i="13"/>
  <c r="N418" i="13" s="1"/>
  <c r="B419" i="13"/>
  <c r="F419" i="13"/>
  <c r="I419" i="13"/>
  <c r="K419" i="13"/>
  <c r="N419" i="13" s="1"/>
  <c r="B420" i="13"/>
  <c r="F420" i="13"/>
  <c r="I420" i="13"/>
  <c r="K420" i="13"/>
  <c r="N420" i="13" s="1"/>
  <c r="B421" i="13"/>
  <c r="F421" i="13"/>
  <c r="I421" i="13"/>
  <c r="K421" i="13"/>
  <c r="N421" i="13" s="1"/>
  <c r="B422" i="13"/>
  <c r="F423" i="13" s="1"/>
  <c r="D423" i="13"/>
  <c r="F422" i="13"/>
  <c r="I422" i="13"/>
  <c r="K422" i="13"/>
  <c r="N422" i="13" s="1"/>
  <c r="I423" i="13"/>
  <c r="K423" i="13"/>
  <c r="N423" i="13" s="1"/>
  <c r="C424" i="13"/>
  <c r="C426" i="13"/>
  <c r="C430" i="13"/>
  <c r="C432" i="13"/>
  <c r="C434" i="13"/>
  <c r="C436" i="13"/>
  <c r="C438" i="13"/>
  <c r="C440" i="13"/>
  <c r="C441" i="13"/>
  <c r="C442" i="13"/>
  <c r="C443" i="13"/>
  <c r="C446" i="13"/>
  <c r="C447" i="13"/>
  <c r="C448" i="13"/>
  <c r="C449" i="13"/>
  <c r="C451" i="13"/>
  <c r="C453" i="13"/>
  <c r="C455" i="13"/>
  <c r="C457" i="13"/>
  <c r="C459" i="13"/>
  <c r="C461" i="13"/>
  <c r="C463" i="13"/>
  <c r="C465" i="13"/>
  <c r="C467" i="13"/>
  <c r="C469" i="13"/>
  <c r="C470" i="13"/>
  <c r="C471" i="13"/>
  <c r="C472" i="13"/>
  <c r="C473" i="13"/>
  <c r="C474" i="13"/>
  <c r="C477" i="13"/>
  <c r="C479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5" i="13"/>
  <c r="C496" i="13"/>
  <c r="C498" i="13"/>
  <c r="C499" i="13"/>
  <c r="C500" i="13"/>
  <c r="A304" i="13"/>
  <c r="B304" i="13"/>
  <c r="C304" i="13"/>
  <c r="D304" i="13" s="1"/>
  <c r="E304" i="13"/>
  <c r="F304" i="13"/>
  <c r="G304" i="13"/>
  <c r="I304" i="13" s="1"/>
  <c r="J304" i="13"/>
  <c r="K304" i="13"/>
  <c r="A305" i="13"/>
  <c r="B305" i="13"/>
  <c r="D305" i="13"/>
  <c r="F305" i="13"/>
  <c r="I305" i="13"/>
  <c r="K305" i="13"/>
  <c r="N305" i="13" s="1"/>
  <c r="A306" i="13"/>
  <c r="B306" i="13"/>
  <c r="D306" i="13"/>
  <c r="F306" i="13"/>
  <c r="I306" i="13"/>
  <c r="K306" i="13"/>
  <c r="N306" i="13" s="1"/>
  <c r="A307" i="13"/>
  <c r="B307" i="13"/>
  <c r="D307" i="13"/>
  <c r="F307" i="13"/>
  <c r="I307" i="13"/>
  <c r="K307" i="13"/>
  <c r="N307" i="13" s="1"/>
  <c r="A308" i="13"/>
  <c r="B308" i="13"/>
  <c r="D308" i="13"/>
  <c r="F308" i="13"/>
  <c r="I308" i="13"/>
  <c r="K308" i="13"/>
  <c r="N308" i="13" s="1"/>
  <c r="A309" i="13"/>
  <c r="B309" i="13"/>
  <c r="D309" i="13"/>
  <c r="F309" i="13"/>
  <c r="I309" i="13"/>
  <c r="K309" i="13"/>
  <c r="N309" i="13" s="1"/>
  <c r="A310" i="13"/>
  <c r="B310" i="13"/>
  <c r="D310" i="13"/>
  <c r="F310" i="13"/>
  <c r="I310" i="13"/>
  <c r="K310" i="13"/>
  <c r="A311" i="13"/>
  <c r="B311" i="13"/>
  <c r="D311" i="13"/>
  <c r="F311" i="13"/>
  <c r="I311" i="13"/>
  <c r="K311" i="13"/>
  <c r="N311" i="13" s="1"/>
  <c r="A312" i="13"/>
  <c r="B312" i="13"/>
  <c r="D312" i="13"/>
  <c r="F312" i="13"/>
  <c r="I312" i="13"/>
  <c r="K312" i="13"/>
  <c r="N312" i="13" s="1"/>
  <c r="A313" i="13"/>
  <c r="B313" i="13"/>
  <c r="D313" i="13"/>
  <c r="F313" i="13"/>
  <c r="I313" i="13"/>
  <c r="K313" i="13"/>
  <c r="N313" i="13" s="1"/>
  <c r="A314" i="13"/>
  <c r="B314" i="13"/>
  <c r="D314" i="13"/>
  <c r="F314" i="13"/>
  <c r="I314" i="13"/>
  <c r="K314" i="13"/>
  <c r="N314" i="13" s="1"/>
  <c r="A315" i="13"/>
  <c r="B315" i="13"/>
  <c r="D315" i="13"/>
  <c r="F315" i="13"/>
  <c r="I315" i="13"/>
  <c r="K315" i="13"/>
  <c r="N315" i="13" s="1"/>
  <c r="A316" i="13"/>
  <c r="B316" i="13"/>
  <c r="D316" i="13"/>
  <c r="F316" i="13"/>
  <c r="I316" i="13"/>
  <c r="K316" i="13"/>
  <c r="N316" i="13" s="1"/>
  <c r="A317" i="13"/>
  <c r="B317" i="13"/>
  <c r="D317" i="13"/>
  <c r="F317" i="13"/>
  <c r="I317" i="13"/>
  <c r="K317" i="13"/>
  <c r="N317" i="13" s="1"/>
  <c r="A318" i="13"/>
  <c r="B318" i="13"/>
  <c r="D318" i="13"/>
  <c r="F318" i="13"/>
  <c r="I318" i="13"/>
  <c r="K318" i="13"/>
  <c r="N318" i="13" s="1"/>
  <c r="A319" i="13"/>
  <c r="B319" i="13"/>
  <c r="D319" i="13"/>
  <c r="F319" i="13"/>
  <c r="I319" i="13"/>
  <c r="K319" i="13"/>
  <c r="N319" i="13" s="1"/>
  <c r="A320" i="13"/>
  <c r="B320" i="13"/>
  <c r="D320" i="13"/>
  <c r="F320" i="13"/>
  <c r="I320" i="13"/>
  <c r="K320" i="13"/>
  <c r="N320" i="13" s="1"/>
  <c r="A321" i="13"/>
  <c r="B321" i="13"/>
  <c r="D321" i="13"/>
  <c r="F321" i="13"/>
  <c r="I321" i="13"/>
  <c r="K321" i="13"/>
  <c r="N321" i="13" s="1"/>
  <c r="A322" i="13"/>
  <c r="B322" i="13"/>
  <c r="D322" i="13"/>
  <c r="F322" i="13"/>
  <c r="I322" i="13"/>
  <c r="K322" i="13"/>
  <c r="N322" i="13" s="1"/>
  <c r="A323" i="13"/>
  <c r="B323" i="13"/>
  <c r="D323" i="13"/>
  <c r="F323" i="13"/>
  <c r="I323" i="13"/>
  <c r="K323" i="13"/>
  <c r="N323" i="13" s="1"/>
  <c r="A324" i="13"/>
  <c r="B324" i="13"/>
  <c r="D324" i="13"/>
  <c r="F324" i="13"/>
  <c r="I324" i="13"/>
  <c r="K324" i="13"/>
  <c r="N324" i="13" s="1"/>
  <c r="A325" i="13"/>
  <c r="B325" i="13"/>
  <c r="D325" i="13"/>
  <c r="F325" i="13"/>
  <c r="I325" i="13"/>
  <c r="K325" i="13"/>
  <c r="N325" i="13" s="1"/>
  <c r="A326" i="13"/>
  <c r="B326" i="13"/>
  <c r="D326" i="13"/>
  <c r="F326" i="13"/>
  <c r="I326" i="13"/>
  <c r="K326" i="13"/>
  <c r="N326" i="13" s="1"/>
  <c r="A327" i="13"/>
  <c r="B327" i="13"/>
  <c r="D327" i="13"/>
  <c r="F327" i="13"/>
  <c r="I327" i="13"/>
  <c r="K327" i="13"/>
  <c r="N327" i="13" s="1"/>
  <c r="A328" i="13"/>
  <c r="B328" i="13"/>
  <c r="D328" i="13"/>
  <c r="F328" i="13"/>
  <c r="I328" i="13"/>
  <c r="K328" i="13"/>
  <c r="N328" i="13" s="1"/>
  <c r="A329" i="13"/>
  <c r="B329" i="13"/>
  <c r="D329" i="13"/>
  <c r="F329" i="13"/>
  <c r="I329" i="13"/>
  <c r="K329" i="13"/>
  <c r="N329" i="13" s="1"/>
  <c r="A330" i="13"/>
  <c r="B330" i="13"/>
  <c r="D330" i="13"/>
  <c r="F330" i="13"/>
  <c r="I330" i="13"/>
  <c r="K330" i="13"/>
  <c r="N330" i="13" s="1"/>
  <c r="A331" i="13"/>
  <c r="B331" i="13"/>
  <c r="D331" i="13"/>
  <c r="F331" i="13"/>
  <c r="I331" i="13"/>
  <c r="K331" i="13"/>
  <c r="N331" i="13" s="1"/>
  <c r="A332" i="13"/>
  <c r="B332" i="13"/>
  <c r="D332" i="13"/>
  <c r="F332" i="13"/>
  <c r="I332" i="13"/>
  <c r="K332" i="13"/>
  <c r="N332" i="13" s="1"/>
  <c r="T332" i="13"/>
  <c r="A333" i="13"/>
  <c r="B333" i="13"/>
  <c r="D333" i="13"/>
  <c r="F333" i="13"/>
  <c r="I333" i="13"/>
  <c r="K333" i="13"/>
  <c r="N333" i="13" s="1"/>
  <c r="T333" i="13"/>
  <c r="A334" i="13"/>
  <c r="B334" i="13"/>
  <c r="D334" i="13"/>
  <c r="F334" i="13"/>
  <c r="I334" i="13"/>
  <c r="K334" i="13"/>
  <c r="N334" i="13" s="1"/>
  <c r="T334" i="13"/>
  <c r="A335" i="13"/>
  <c r="B335" i="13"/>
  <c r="D335" i="13"/>
  <c r="F335" i="13"/>
  <c r="I335" i="13"/>
  <c r="K335" i="13"/>
  <c r="N335" i="13" s="1"/>
  <c r="T335" i="13"/>
  <c r="A336" i="13"/>
  <c r="B336" i="13"/>
  <c r="D336" i="13"/>
  <c r="F336" i="13"/>
  <c r="I336" i="13"/>
  <c r="K336" i="13"/>
  <c r="N336" i="13" s="1"/>
  <c r="A337" i="13"/>
  <c r="B337" i="13"/>
  <c r="D337" i="13"/>
  <c r="F337" i="13"/>
  <c r="I337" i="13"/>
  <c r="K337" i="13"/>
  <c r="N337" i="13" s="1"/>
  <c r="A338" i="13"/>
  <c r="B338" i="13"/>
  <c r="D338" i="13"/>
  <c r="F338" i="13"/>
  <c r="I338" i="13"/>
  <c r="K338" i="13"/>
  <c r="N338" i="13" s="1"/>
  <c r="A339" i="13"/>
  <c r="B339" i="13"/>
  <c r="D339" i="13"/>
  <c r="F339" i="13"/>
  <c r="I339" i="13"/>
  <c r="K339" i="13"/>
  <c r="N339" i="13" s="1"/>
  <c r="G499" i="13"/>
  <c r="G479" i="13"/>
  <c r="G475" i="13"/>
  <c r="G469" i="13"/>
  <c r="G489" i="13"/>
  <c r="E428" i="13"/>
  <c r="E426" i="13"/>
  <c r="E442" i="13"/>
  <c r="E490" i="13"/>
  <c r="E487" i="13"/>
  <c r="E486" i="13"/>
  <c r="E482" i="13"/>
  <c r="E481" i="13"/>
  <c r="E478" i="13"/>
  <c r="E474" i="13"/>
  <c r="E469" i="13"/>
  <c r="E468" i="13"/>
  <c r="E465" i="13"/>
  <c r="E463" i="13"/>
  <c r="E461" i="13"/>
  <c r="E460" i="13"/>
  <c r="E455" i="13"/>
  <c r="E452" i="13"/>
  <c r="E498" i="13"/>
  <c r="G492" i="13"/>
  <c r="G478" i="13"/>
  <c r="G468" i="13"/>
  <c r="J456" i="13"/>
  <c r="G483" i="13"/>
  <c r="E425" i="13"/>
  <c r="G433" i="13"/>
  <c r="G449" i="13"/>
  <c r="G465" i="13"/>
  <c r="G441" i="13"/>
  <c r="G473" i="13"/>
  <c r="G453" i="13"/>
  <c r="G485" i="13"/>
  <c r="E432" i="13"/>
  <c r="E449" i="13"/>
  <c r="E451" i="13"/>
  <c r="E453" i="13"/>
  <c r="E457" i="13"/>
  <c r="E459" i="13"/>
  <c r="E467" i="13"/>
  <c r="E471" i="13"/>
  <c r="E473" i="13"/>
  <c r="E477" i="13"/>
  <c r="E479" i="13"/>
  <c r="J485" i="13"/>
  <c r="E485" i="13"/>
  <c r="E489" i="13"/>
  <c r="G486" i="13"/>
  <c r="G448" i="13"/>
  <c r="G456" i="13"/>
  <c r="G480" i="13"/>
  <c r="G434" i="13"/>
  <c r="G474" i="13"/>
  <c r="E492" i="13"/>
  <c r="J479" i="13"/>
  <c r="E436" i="13"/>
  <c r="E493" i="13"/>
  <c r="G500" i="13"/>
  <c r="G496" i="13"/>
  <c r="G471" i="13"/>
  <c r="G439" i="13"/>
  <c r="J476" i="13"/>
  <c r="E470" i="13"/>
  <c r="J473" i="13"/>
  <c r="G443" i="13"/>
  <c r="G426" i="13"/>
  <c r="C480" i="13"/>
  <c r="C478" i="13"/>
  <c r="C476" i="13"/>
  <c r="C468" i="13"/>
  <c r="C466" i="13"/>
  <c r="C464" i="13"/>
  <c r="C462" i="13"/>
  <c r="C460" i="13"/>
  <c r="C458" i="13"/>
  <c r="C456" i="13"/>
  <c r="C454" i="13"/>
  <c r="C452" i="13"/>
  <c r="C439" i="13"/>
  <c r="C431" i="13"/>
  <c r="C429" i="13"/>
  <c r="C425" i="13"/>
  <c r="C423" i="13"/>
  <c r="AC96" i="13"/>
  <c r="AB92" i="13"/>
  <c r="G84" i="13"/>
  <c r="E500" i="13"/>
  <c r="E495" i="13"/>
  <c r="E440" i="13"/>
  <c r="E438" i="13"/>
  <c r="E496" i="13"/>
  <c r="E446" i="13"/>
  <c r="J467" i="13"/>
  <c r="E458" i="13"/>
  <c r="J433" i="13"/>
  <c r="E433" i="13"/>
  <c r="E441" i="13"/>
  <c r="E447" i="13"/>
  <c r="E456" i="13"/>
  <c r="E472" i="13"/>
  <c r="E475" i="13"/>
  <c r="E480" i="13"/>
  <c r="E483" i="13"/>
  <c r="E488" i="13"/>
  <c r="E491" i="13"/>
  <c r="E430" i="13"/>
  <c r="E434" i="13"/>
  <c r="E448" i="13"/>
  <c r="E464" i="13"/>
  <c r="E476" i="13"/>
  <c r="E484" i="13"/>
  <c r="J486" i="13"/>
  <c r="E499" i="13"/>
  <c r="J443" i="13"/>
  <c r="E439" i="13"/>
  <c r="E450" i="13"/>
  <c r="G427" i="13"/>
  <c r="C427" i="13"/>
  <c r="E46" i="13"/>
  <c r="J432" i="13"/>
  <c r="J426" i="13"/>
  <c r="E443" i="13"/>
  <c r="C435" i="13"/>
  <c r="G423" i="13"/>
  <c r="Z96" i="13"/>
  <c r="C331" i="13"/>
  <c r="E445" i="13"/>
  <c r="E462" i="13"/>
  <c r="C445" i="13"/>
  <c r="C437" i="13"/>
  <c r="C450" i="13"/>
  <c r="C428" i="13"/>
  <c r="G425" i="13"/>
  <c r="J425" i="13"/>
  <c r="C433" i="13"/>
  <c r="E437" i="13"/>
  <c r="E435" i="13"/>
  <c r="G437" i="13"/>
  <c r="G451" i="13"/>
  <c r="G454" i="13"/>
  <c r="J453" i="13"/>
  <c r="E423" i="13"/>
  <c r="E431" i="13"/>
  <c r="E424" i="13"/>
  <c r="G431" i="13"/>
  <c r="E454" i="13"/>
  <c r="G445" i="13"/>
  <c r="E427" i="13"/>
  <c r="G442" i="13"/>
  <c r="G436" i="13"/>
  <c r="J463" i="13"/>
  <c r="J442" i="13"/>
  <c r="G490" i="13"/>
  <c r="G444" i="13"/>
  <c r="M486" i="13"/>
  <c r="J492" i="13"/>
  <c r="M473" i="13"/>
  <c r="J454" i="13"/>
  <c r="M441" i="13"/>
  <c r="G450" i="13"/>
  <c r="G462" i="13"/>
  <c r="J489" i="13"/>
  <c r="J465" i="13"/>
  <c r="J449" i="13"/>
  <c r="G491" i="13"/>
  <c r="G457" i="13"/>
  <c r="G432" i="13"/>
  <c r="G430" i="13"/>
  <c r="J427" i="13"/>
  <c r="J439" i="13"/>
  <c r="G435" i="13"/>
  <c r="J440" i="13"/>
  <c r="J500" i="13"/>
  <c r="G460" i="13"/>
  <c r="G476" i="13"/>
  <c r="J434" i="13"/>
  <c r="J445" i="13"/>
  <c r="J487" i="13"/>
  <c r="J470" i="13"/>
  <c r="J468" i="13"/>
  <c r="J482" i="13"/>
  <c r="J496" i="13"/>
  <c r="G452" i="13"/>
  <c r="G464" i="13"/>
  <c r="G472" i="13"/>
  <c r="J480" i="13"/>
  <c r="G458" i="13"/>
  <c r="G428" i="13"/>
  <c r="G429" i="13"/>
  <c r="G495" i="13"/>
  <c r="G498" i="13"/>
  <c r="J438" i="13"/>
  <c r="G487" i="13"/>
  <c r="G466" i="13"/>
  <c r="G438" i="13"/>
  <c r="G482" i="13"/>
  <c r="G488" i="13"/>
  <c r="G440" i="13"/>
  <c r="G477" i="13"/>
  <c r="G459" i="13"/>
  <c r="J447" i="13"/>
  <c r="G447" i="13"/>
  <c r="G461" i="13"/>
  <c r="M475" i="13"/>
  <c r="J475" i="13"/>
  <c r="G446" i="13"/>
  <c r="G467" i="13"/>
  <c r="G493" i="13"/>
  <c r="M453" i="13"/>
  <c r="M426" i="13"/>
  <c r="M454" i="13"/>
  <c r="J499" i="13"/>
  <c r="G455" i="13"/>
  <c r="J457" i="13"/>
  <c r="J441" i="13"/>
  <c r="G424" i="13"/>
  <c r="M479" i="13"/>
  <c r="M492" i="13"/>
  <c r="J446" i="13"/>
  <c r="G494" i="13"/>
  <c r="J452" i="13"/>
  <c r="G484" i="13"/>
  <c r="J490" i="13"/>
  <c r="E466" i="13"/>
  <c r="G470" i="13"/>
  <c r="G463" i="13"/>
  <c r="C497" i="13"/>
  <c r="C494" i="13"/>
  <c r="C444" i="13"/>
  <c r="C475" i="13"/>
  <c r="AB32" i="13"/>
  <c r="M425" i="13"/>
  <c r="M433" i="13"/>
  <c r="M443" i="13"/>
  <c r="J423" i="13"/>
  <c r="J436" i="13"/>
  <c r="J448" i="13"/>
  <c r="M476" i="13"/>
  <c r="M423" i="13"/>
  <c r="M457" i="13"/>
  <c r="M465" i="13"/>
  <c r="J471" i="13"/>
  <c r="M449" i="13"/>
  <c r="J430" i="13"/>
  <c r="J451" i="13"/>
  <c r="M500" i="13"/>
  <c r="J460" i="13"/>
  <c r="J450" i="13"/>
  <c r="M467" i="13"/>
  <c r="M445" i="13"/>
  <c r="M440" i="13"/>
  <c r="M447" i="13"/>
  <c r="J478" i="13"/>
  <c r="J469" i="13"/>
  <c r="M469" i="13"/>
  <c r="J495" i="13"/>
  <c r="J464" i="13"/>
  <c r="M452" i="13"/>
  <c r="M487" i="13"/>
  <c r="M442" i="13"/>
  <c r="M439" i="13"/>
  <c r="M430" i="13"/>
  <c r="J491" i="13"/>
  <c r="J493" i="13"/>
  <c r="J477" i="13"/>
  <c r="J488" i="13"/>
  <c r="J498" i="13"/>
  <c r="J458" i="13"/>
  <c r="J437" i="13"/>
  <c r="M489" i="13"/>
  <c r="J461" i="13"/>
  <c r="M468" i="13"/>
  <c r="M480" i="13"/>
  <c r="J472" i="13"/>
  <c r="J494" i="13"/>
  <c r="M499" i="13"/>
  <c r="E444" i="13"/>
  <c r="J459" i="13"/>
  <c r="J484" i="13"/>
  <c r="J483" i="13"/>
  <c r="M432" i="13"/>
  <c r="J428" i="13"/>
  <c r="J455" i="13"/>
  <c r="E494" i="13"/>
  <c r="E497" i="13"/>
  <c r="G497" i="13"/>
  <c r="M463" i="13"/>
  <c r="M456" i="13"/>
  <c r="M470" i="13"/>
  <c r="J474" i="13"/>
  <c r="M446" i="13"/>
  <c r="M496" i="13"/>
  <c r="J462" i="13"/>
  <c r="J424" i="13"/>
  <c r="E429" i="13"/>
  <c r="G481" i="13"/>
  <c r="M485" i="13"/>
  <c r="J466" i="13"/>
  <c r="M490" i="13"/>
  <c r="J435" i="13"/>
  <c r="J431" i="13"/>
  <c r="M448" i="13"/>
  <c r="M436" i="13"/>
  <c r="M471" i="13"/>
  <c r="M450" i="13"/>
  <c r="M460" i="13"/>
  <c r="M434" i="13"/>
  <c r="M451" i="13"/>
  <c r="M427" i="13"/>
  <c r="M488" i="13"/>
  <c r="M438" i="13"/>
  <c r="M477" i="13"/>
  <c r="M472" i="13"/>
  <c r="M461" i="13"/>
  <c r="M495" i="13"/>
  <c r="M478" i="13"/>
  <c r="M437" i="13"/>
  <c r="M493" i="13"/>
  <c r="M498" i="13"/>
  <c r="M458" i="13"/>
  <c r="M491" i="13"/>
  <c r="M464" i="13"/>
  <c r="M482" i="13"/>
  <c r="M494" i="13"/>
  <c r="M462" i="13"/>
  <c r="M483" i="13"/>
  <c r="J429" i="13"/>
  <c r="M428" i="13"/>
  <c r="M455" i="13"/>
  <c r="M431" i="13"/>
  <c r="M424" i="13"/>
  <c r="J481" i="13"/>
  <c r="M484" i="13"/>
  <c r="M459" i="13"/>
  <c r="M435" i="13"/>
  <c r="M474" i="13"/>
  <c r="M466" i="13"/>
  <c r="J497" i="13"/>
  <c r="J444" i="13"/>
  <c r="M497" i="13"/>
  <c r="M429" i="13"/>
  <c r="M481" i="13"/>
  <c r="M444" i="13"/>
  <c r="AB55" i="13"/>
  <c r="C327" i="13"/>
  <c r="AD28" i="13"/>
  <c r="AE28" i="13" s="1"/>
  <c r="G112" i="13"/>
  <c r="AB96" i="13"/>
  <c r="C375" i="13"/>
  <c r="Z73" i="13"/>
  <c r="AD100" i="13"/>
  <c r="AE100" i="13" s="1"/>
  <c r="AD124" i="13"/>
  <c r="AE124" i="13" s="1"/>
  <c r="G116" i="13"/>
  <c r="M116" i="13" s="1"/>
  <c r="R4" i="13" l="1"/>
  <c r="S4" i="13" s="1"/>
  <c r="W334" i="13"/>
  <c r="V117" i="13"/>
  <c r="V113" i="13"/>
  <c r="W333" i="13"/>
  <c r="V112" i="13"/>
  <c r="V48" i="13"/>
  <c r="AO17" i="13"/>
  <c r="V91" i="13"/>
  <c r="V67" i="13"/>
  <c r="W332" i="13"/>
  <c r="V66" i="13"/>
  <c r="V38" i="13"/>
  <c r="T4" i="13"/>
  <c r="AD111" i="13"/>
  <c r="AE111" i="13" s="1"/>
  <c r="AG120" i="13"/>
  <c r="AB63" i="13"/>
  <c r="G83" i="13"/>
  <c r="M83" i="13" s="1"/>
  <c r="AD38" i="13"/>
  <c r="AE38" i="13" s="1"/>
  <c r="E47" i="13"/>
  <c r="F47" i="13" s="1"/>
  <c r="AG67" i="13"/>
  <c r="AD115" i="13"/>
  <c r="AE115" i="13" s="1"/>
  <c r="AD63" i="13"/>
  <c r="AE63" i="13" s="1"/>
  <c r="AG88" i="13"/>
  <c r="AQ88" i="13" s="1"/>
  <c r="C373" i="13"/>
  <c r="AC50" i="13"/>
  <c r="Z62" i="13"/>
  <c r="AB51" i="13"/>
  <c r="C365" i="13"/>
  <c r="Z55" i="13"/>
  <c r="Z111" i="13"/>
  <c r="AC55" i="13"/>
  <c r="E58" i="13"/>
  <c r="E353" i="13" s="1"/>
  <c r="AD59" i="13"/>
  <c r="AE59" i="13" s="1"/>
  <c r="X17" i="13"/>
  <c r="V17" i="13" s="1"/>
  <c r="AB104" i="13"/>
  <c r="AD80" i="13"/>
  <c r="AE80" i="13" s="1"/>
  <c r="AC112" i="13"/>
  <c r="AC48" i="13"/>
  <c r="Z40" i="13"/>
  <c r="C367" i="13"/>
  <c r="G88" i="13"/>
  <c r="G383" i="13" s="1"/>
  <c r="X16" i="13"/>
  <c r="V16" i="13" s="1"/>
  <c r="AB84" i="13"/>
  <c r="X100" i="13"/>
  <c r="V100" i="13" s="1"/>
  <c r="E60" i="13"/>
  <c r="F60" i="13" s="1"/>
  <c r="G92" i="13"/>
  <c r="M92" i="13" s="1"/>
  <c r="X25" i="13"/>
  <c r="V25" i="13" s="1"/>
  <c r="C355" i="13"/>
  <c r="E88" i="13"/>
  <c r="E383" i="13" s="1"/>
  <c r="AB120" i="13"/>
  <c r="AB91" i="13"/>
  <c r="AD55" i="13"/>
  <c r="AE55" i="13" s="1"/>
  <c r="AB20" i="13"/>
  <c r="Z48" i="13"/>
  <c r="AD72" i="13"/>
  <c r="AE72" i="13" s="1"/>
  <c r="AB88" i="13"/>
  <c r="AB47" i="13"/>
  <c r="AG63" i="13"/>
  <c r="AQ63" i="13" s="1"/>
  <c r="Z92" i="13"/>
  <c r="X63" i="13"/>
  <c r="V63" i="13" s="1"/>
  <c r="AG122" i="13"/>
  <c r="AQ122" i="13" s="1"/>
  <c r="G34" i="13"/>
  <c r="M34" i="13" s="1"/>
  <c r="C369" i="13"/>
  <c r="Z66" i="13"/>
  <c r="AD78" i="13"/>
  <c r="AE78" i="13" s="1"/>
  <c r="AD66" i="13"/>
  <c r="AE66" i="13" s="1"/>
  <c r="G22" i="13"/>
  <c r="M22" i="13" s="1"/>
  <c r="X42" i="13"/>
  <c r="V42" i="13" s="1"/>
  <c r="C341" i="13"/>
  <c r="G54" i="13"/>
  <c r="M54" i="13" s="1"/>
  <c r="AC58" i="13"/>
  <c r="Z70" i="13"/>
  <c r="E74" i="13"/>
  <c r="F74" i="13" s="1"/>
  <c r="C357" i="13"/>
  <c r="AB34" i="13"/>
  <c r="AB74" i="13"/>
  <c r="AD113" i="13"/>
  <c r="AE113" i="13" s="1"/>
  <c r="AC66" i="13"/>
  <c r="AB66" i="13"/>
  <c r="E26" i="13"/>
  <c r="F26" i="13" s="1"/>
  <c r="Z10" i="13"/>
  <c r="AD85" i="13"/>
  <c r="AE85" i="13" s="1"/>
  <c r="AC42" i="13"/>
  <c r="Z46" i="13"/>
  <c r="AC54" i="13"/>
  <c r="Z74" i="13"/>
  <c r="G124" i="13"/>
  <c r="G419" i="13" s="1"/>
  <c r="X40" i="13"/>
  <c r="V40" i="13" s="1"/>
  <c r="C379" i="13"/>
  <c r="AC100" i="13"/>
  <c r="AC80" i="13"/>
  <c r="Z108" i="13"/>
  <c r="X20" i="13"/>
  <c r="V20" i="13" s="1"/>
  <c r="E66" i="13"/>
  <c r="E361" i="13" s="1"/>
  <c r="X78" i="13"/>
  <c r="V78" i="13" s="1"/>
  <c r="AB73" i="13"/>
  <c r="Z54" i="13"/>
  <c r="AD88" i="13"/>
  <c r="AE88" i="13" s="1"/>
  <c r="AB36" i="13"/>
  <c r="AC74" i="13"/>
  <c r="X92" i="13"/>
  <c r="V92" i="13" s="1"/>
  <c r="C420" i="13"/>
  <c r="E73" i="13"/>
  <c r="F73" i="13" s="1"/>
  <c r="E113" i="13"/>
  <c r="E408" i="13" s="1"/>
  <c r="G89" i="13"/>
  <c r="G384" i="13" s="1"/>
  <c r="AG125" i="13"/>
  <c r="AS125" i="13" s="1"/>
  <c r="E117" i="13"/>
  <c r="G125" i="13"/>
  <c r="G420" i="13" s="1"/>
  <c r="X81" i="13"/>
  <c r="V81" i="13" s="1"/>
  <c r="AD109" i="13"/>
  <c r="AE109" i="13" s="1"/>
  <c r="Z81" i="13"/>
  <c r="X97" i="13"/>
  <c r="V97" i="13" s="1"/>
  <c r="AB117" i="13"/>
  <c r="AD105" i="13"/>
  <c r="AE105" i="13" s="1"/>
  <c r="AB97" i="13"/>
  <c r="X73" i="13"/>
  <c r="V73" i="13" s="1"/>
  <c r="AB113" i="13"/>
  <c r="AC121" i="13"/>
  <c r="AD101" i="13"/>
  <c r="AE101" i="13" s="1"/>
  <c r="C340" i="13"/>
  <c r="E81" i="13"/>
  <c r="F81" i="13" s="1"/>
  <c r="AB81" i="13"/>
  <c r="AB65" i="13"/>
  <c r="AG93" i="13"/>
  <c r="AQ93" i="13" s="1"/>
  <c r="G121" i="13"/>
  <c r="M121" i="13" s="1"/>
  <c r="X125" i="13"/>
  <c r="V125" i="13" s="1"/>
  <c r="C392" i="13"/>
  <c r="E24" i="13"/>
  <c r="E319" i="13" s="1"/>
  <c r="X28" i="13"/>
  <c r="V28" i="13" s="1"/>
  <c r="Z32" i="13"/>
  <c r="AB48" i="13"/>
  <c r="X111" i="13"/>
  <c r="V111" i="13" s="1"/>
  <c r="AB115" i="13"/>
  <c r="AC64" i="13"/>
  <c r="Z20" i="13"/>
  <c r="AC40" i="13"/>
  <c r="AD56" i="13"/>
  <c r="AE56" i="13" s="1"/>
  <c r="AD36" i="13"/>
  <c r="AE36" i="13" s="1"/>
  <c r="G67" i="13"/>
  <c r="G362" i="13" s="1"/>
  <c r="C323" i="13"/>
  <c r="C414" i="13"/>
  <c r="AG99" i="13"/>
  <c r="AS99" i="13" s="1"/>
  <c r="AB44" i="13"/>
  <c r="X99" i="13"/>
  <c r="V99" i="13" s="1"/>
  <c r="Z44" i="13"/>
  <c r="Z99" i="13"/>
  <c r="G119" i="13"/>
  <c r="M119" i="13" s="1"/>
  <c r="AC107" i="13"/>
  <c r="AC91" i="13"/>
  <c r="AD103" i="13"/>
  <c r="AE103" i="13" s="1"/>
  <c r="AC28" i="13"/>
  <c r="X32" i="13"/>
  <c r="V32" i="13" s="1"/>
  <c r="E48" i="13"/>
  <c r="E343" i="13" s="1"/>
  <c r="E111" i="13"/>
  <c r="J111" i="13" s="1"/>
  <c r="AG115" i="13"/>
  <c r="AS115" i="13" s="1"/>
  <c r="C382" i="13"/>
  <c r="AB28" i="13"/>
  <c r="AD40" i="13"/>
  <c r="AE40" i="13" s="1"/>
  <c r="AG60" i="13"/>
  <c r="AQ60" i="13" s="1"/>
  <c r="Z36" i="13"/>
  <c r="E67" i="13"/>
  <c r="E362" i="13" s="1"/>
  <c r="E20" i="13"/>
  <c r="F20" i="13" s="1"/>
  <c r="C402" i="13"/>
  <c r="AC99" i="13"/>
  <c r="AD99" i="13"/>
  <c r="AE99" i="13" s="1"/>
  <c r="G28" i="13"/>
  <c r="M28" i="13" s="1"/>
  <c r="E32" i="13"/>
  <c r="F32" i="13" s="1"/>
  <c r="I32" i="13" s="1"/>
  <c r="AD48" i="13"/>
  <c r="AE48" i="13" s="1"/>
  <c r="AC32" i="13"/>
  <c r="AD44" i="13"/>
  <c r="X83" i="13"/>
  <c r="V83" i="13" s="1"/>
  <c r="AC36" i="13"/>
  <c r="E40" i="13"/>
  <c r="F40" i="13" s="1"/>
  <c r="G12" i="13"/>
  <c r="M12" i="13" s="1"/>
  <c r="AC12" i="13"/>
  <c r="E36" i="13"/>
  <c r="E331" i="13" s="1"/>
  <c r="G52" i="13"/>
  <c r="G347" i="13" s="1"/>
  <c r="C394" i="13"/>
  <c r="AC67" i="13"/>
  <c r="Z125" i="13"/>
  <c r="AE116" i="13"/>
  <c r="AG97" i="13"/>
  <c r="AQ97" i="13" s="1"/>
  <c r="X64" i="13"/>
  <c r="V64" i="13" s="1"/>
  <c r="AG29" i="13"/>
  <c r="AS29" i="13" s="1"/>
  <c r="M104" i="13"/>
  <c r="G399" i="13"/>
  <c r="E368" i="13"/>
  <c r="Z124" i="13"/>
  <c r="E84" i="13"/>
  <c r="E379" i="13" s="1"/>
  <c r="Z88" i="13"/>
  <c r="X104" i="13"/>
  <c r="V104" i="13" s="1"/>
  <c r="E37" i="13"/>
  <c r="F37" i="13" s="1"/>
  <c r="G73" i="13"/>
  <c r="AD73" i="13"/>
  <c r="AE73" i="13" s="1"/>
  <c r="AG87" i="13"/>
  <c r="AS87" i="13" s="1"/>
  <c r="E96" i="13"/>
  <c r="F96" i="13" s="1"/>
  <c r="X108" i="13"/>
  <c r="V108" i="13" s="1"/>
  <c r="AG112" i="13"/>
  <c r="AQ112" i="13" s="1"/>
  <c r="AG56" i="13"/>
  <c r="AS56" i="13" s="1"/>
  <c r="C361" i="13"/>
  <c r="AC73" i="13"/>
  <c r="AB77" i="13"/>
  <c r="E112" i="13"/>
  <c r="E407" i="13" s="1"/>
  <c r="C383" i="13"/>
  <c r="C358" i="13"/>
  <c r="Z63" i="13"/>
  <c r="Z84" i="13"/>
  <c r="X88" i="13"/>
  <c r="V88" i="13" s="1"/>
  <c r="C387" i="13"/>
  <c r="AD92" i="13"/>
  <c r="AE92" i="13" s="1"/>
  <c r="G63" i="13"/>
  <c r="E70" i="13"/>
  <c r="E365" i="13" s="1"/>
  <c r="AD84" i="13"/>
  <c r="AE84" i="13" s="1"/>
  <c r="X47" i="13"/>
  <c r="V47" i="13" s="1"/>
  <c r="AC125" i="13"/>
  <c r="G81" i="13"/>
  <c r="X84" i="13"/>
  <c r="V84" i="13" s="1"/>
  <c r="E100" i="13"/>
  <c r="E104" i="13"/>
  <c r="J104" i="13" s="1"/>
  <c r="AG92" i="13"/>
  <c r="AQ92" i="13" s="1"/>
  <c r="X96" i="13"/>
  <c r="V96" i="13" s="1"/>
  <c r="X55" i="13"/>
  <c r="V55" i="13" s="1"/>
  <c r="AG66" i="13"/>
  <c r="AQ66" i="13" s="1"/>
  <c r="G66" i="13"/>
  <c r="AC81" i="13"/>
  <c r="AD45" i="13"/>
  <c r="AE45" i="13" s="1"/>
  <c r="E63" i="13"/>
  <c r="E358" i="13" s="1"/>
  <c r="E92" i="13"/>
  <c r="F92" i="13" s="1"/>
  <c r="G70" i="13"/>
  <c r="X70" i="13"/>
  <c r="V70" i="13" s="1"/>
  <c r="C376" i="13"/>
  <c r="AC70" i="13"/>
  <c r="AG105" i="13"/>
  <c r="AS105" i="13" s="1"/>
  <c r="AG85" i="13"/>
  <c r="AQ85" i="13" s="1"/>
  <c r="AD70" i="13"/>
  <c r="AE70" i="13" s="1"/>
  <c r="AB61" i="13"/>
  <c r="C356" i="13"/>
  <c r="X61" i="13"/>
  <c r="V61" i="13" s="1"/>
  <c r="AC61" i="13"/>
  <c r="AB57" i="13"/>
  <c r="E57" i="13"/>
  <c r="E352" i="13" s="1"/>
  <c r="G57" i="13"/>
  <c r="G352" i="13" s="1"/>
  <c r="AB25" i="13"/>
  <c r="C320" i="13"/>
  <c r="Z25" i="13"/>
  <c r="AG25" i="13"/>
  <c r="AS25" i="13" s="1"/>
  <c r="AD21" i="13"/>
  <c r="AE21" i="13" s="1"/>
  <c r="G21" i="13"/>
  <c r="AB17" i="13"/>
  <c r="C312" i="13"/>
  <c r="AD17" i="13"/>
  <c r="AE17" i="13" s="1"/>
  <c r="AG45" i="13"/>
  <c r="AS45" i="13" s="1"/>
  <c r="AG61" i="13"/>
  <c r="E312" i="13"/>
  <c r="Z17" i="13"/>
  <c r="X49" i="13"/>
  <c r="V49" i="13" s="1"/>
  <c r="E21" i="13"/>
  <c r="F21" i="13" s="1"/>
  <c r="E25" i="13"/>
  <c r="F25" i="13" s="1"/>
  <c r="E53" i="13"/>
  <c r="G379" i="13"/>
  <c r="M84" i="13"/>
  <c r="G17" i="13"/>
  <c r="I17" i="13" s="1"/>
  <c r="C316" i="13"/>
  <c r="X21" i="13"/>
  <c r="V21" i="13" s="1"/>
  <c r="AB21" i="13"/>
  <c r="AC17" i="13"/>
  <c r="AG18" i="13"/>
  <c r="AS18" i="13" s="1"/>
  <c r="G53" i="13"/>
  <c r="M53" i="13" s="1"/>
  <c r="AD61" i="13"/>
  <c r="AE61" i="13" s="1"/>
  <c r="AC53" i="13"/>
  <c r="Z21" i="13"/>
  <c r="AD25" i="13"/>
  <c r="AE25" i="13" s="1"/>
  <c r="G49" i="13"/>
  <c r="Z53" i="13"/>
  <c r="Z61" i="13"/>
  <c r="X37" i="13"/>
  <c r="V37" i="13" s="1"/>
  <c r="AB37" i="13"/>
  <c r="AG53" i="13"/>
  <c r="AS53" i="13" s="1"/>
  <c r="Z126" i="13"/>
  <c r="AG49" i="13"/>
  <c r="AQ49" i="13" s="1"/>
  <c r="G25" i="13"/>
  <c r="M25" i="13" s="1"/>
  <c r="Z29" i="13"/>
  <c r="G41" i="13"/>
  <c r="M41" i="13" s="1"/>
  <c r="Z57" i="13"/>
  <c r="C324" i="13"/>
  <c r="AC119" i="13"/>
  <c r="E119" i="13"/>
  <c r="E414" i="13" s="1"/>
  <c r="AC115" i="13"/>
  <c r="Z115" i="13"/>
  <c r="X115" i="13"/>
  <c r="V115" i="13" s="1"/>
  <c r="C410" i="13"/>
  <c r="AB111" i="13"/>
  <c r="AC111" i="13"/>
  <c r="E107" i="13"/>
  <c r="X107" i="13"/>
  <c r="V107" i="13" s="1"/>
  <c r="G107" i="13"/>
  <c r="AB103" i="13"/>
  <c r="AC103" i="13"/>
  <c r="X103" i="13"/>
  <c r="V103" i="13" s="1"/>
  <c r="Z103" i="13"/>
  <c r="G95" i="13"/>
  <c r="M95" i="13" s="1"/>
  <c r="Z95" i="13"/>
  <c r="G91" i="13"/>
  <c r="Z91" i="13"/>
  <c r="AD91" i="13"/>
  <c r="AE91" i="13" s="1"/>
  <c r="X87" i="13"/>
  <c r="V87" i="13" s="1"/>
  <c r="G87" i="13"/>
  <c r="M87" i="13" s="1"/>
  <c r="E80" i="13"/>
  <c r="F80" i="13" s="1"/>
  <c r="I80" i="13" s="1"/>
  <c r="E76" i="13"/>
  <c r="AC76" i="13"/>
  <c r="AG72" i="13"/>
  <c r="AS72" i="13" s="1"/>
  <c r="AD58" i="13"/>
  <c r="AE58" i="13" s="1"/>
  <c r="G58" i="13"/>
  <c r="AB50" i="13"/>
  <c r="X50" i="13"/>
  <c r="V50" i="13" s="1"/>
  <c r="G50" i="13"/>
  <c r="M50" i="13" s="1"/>
  <c r="X46" i="13"/>
  <c r="V46" i="13" s="1"/>
  <c r="AC46" i="13"/>
  <c r="AB42" i="13"/>
  <c r="G42" i="13"/>
  <c r="G305" i="13"/>
  <c r="M10" i="13"/>
  <c r="AB101" i="13"/>
  <c r="Z105" i="13"/>
  <c r="AD97" i="13"/>
  <c r="AE97" i="13" s="1"/>
  <c r="AC113" i="13"/>
  <c r="AD32" i="13"/>
  <c r="AE32" i="13" s="1"/>
  <c r="Z78" i="13"/>
  <c r="AD64" i="13"/>
  <c r="AE64" i="13" s="1"/>
  <c r="Z28" i="13"/>
  <c r="AB40" i="13"/>
  <c r="X36" i="13"/>
  <c r="V36" i="13" s="1"/>
  <c r="G40" i="13"/>
  <c r="AG12" i="13"/>
  <c r="AS12" i="13" s="1"/>
  <c r="Z67" i="13"/>
  <c r="E64" i="13"/>
  <c r="G101" i="13"/>
  <c r="C307" i="13"/>
  <c r="C408" i="13"/>
  <c r="AB121" i="13"/>
  <c r="M112" i="13"/>
  <c r="F28" i="13"/>
  <c r="E323" i="13"/>
  <c r="M32" i="13"/>
  <c r="F55" i="13"/>
  <c r="E350" i="13"/>
  <c r="AC51" i="13"/>
  <c r="X51" i="13"/>
  <c r="V51" i="13" s="1"/>
  <c r="Z51" i="13"/>
  <c r="G51" i="13"/>
  <c r="G346" i="13" s="1"/>
  <c r="E51" i="13"/>
  <c r="AG51" i="13"/>
  <c r="AS51" i="13" s="1"/>
  <c r="AG47" i="13"/>
  <c r="AS47" i="13" s="1"/>
  <c r="AD47" i="13"/>
  <c r="AE47" i="13" s="1"/>
  <c r="G47" i="13"/>
  <c r="X43" i="13"/>
  <c r="V43" i="13" s="1"/>
  <c r="AC43" i="13"/>
  <c r="AD43" i="13"/>
  <c r="AE43" i="13" s="1"/>
  <c r="E43" i="13"/>
  <c r="E338" i="13" s="1"/>
  <c r="C338" i="13"/>
  <c r="C334" i="13"/>
  <c r="AG40" i="13"/>
  <c r="AQ40" i="13" s="1"/>
  <c r="AB39" i="13"/>
  <c r="X35" i="13"/>
  <c r="V35" i="13" s="1"/>
  <c r="G35" i="13"/>
  <c r="M35" i="13" s="1"/>
  <c r="G407" i="13"/>
  <c r="AG44" i="13"/>
  <c r="AS44" i="13" s="1"/>
  <c r="AC47" i="13"/>
  <c r="AB35" i="13"/>
  <c r="AG48" i="13"/>
  <c r="AS48" i="13" s="1"/>
  <c r="AC27" i="13"/>
  <c r="AB43" i="13"/>
  <c r="Z47" i="13"/>
  <c r="G39" i="13"/>
  <c r="AD62" i="13"/>
  <c r="AE62" i="13" s="1"/>
  <c r="AC62" i="13"/>
  <c r="E62" i="13"/>
  <c r="X62" i="13"/>
  <c r="V62" i="13" s="1"/>
  <c r="AB62" i="13"/>
  <c r="AG62" i="13"/>
  <c r="AQ62" i="13" s="1"/>
  <c r="AB58" i="13"/>
  <c r="AG58" i="13"/>
  <c r="AS58" i="13" s="1"/>
  <c r="X58" i="13"/>
  <c r="V58" i="13" s="1"/>
  <c r="C353" i="13"/>
  <c r="C349" i="13"/>
  <c r="AG54" i="13"/>
  <c r="AS54" i="13" s="1"/>
  <c r="X54" i="13"/>
  <c r="V54" i="13" s="1"/>
  <c r="AD54" i="13"/>
  <c r="AE54" i="13" s="1"/>
  <c r="E54" i="13"/>
  <c r="Z31" i="13"/>
  <c r="C326" i="13"/>
  <c r="G329" i="13"/>
  <c r="AG43" i="13"/>
  <c r="C330" i="13"/>
  <c r="Z43" i="13"/>
  <c r="AD51" i="13"/>
  <c r="AE51" i="13" s="1"/>
  <c r="G43" i="13"/>
  <c r="M62" i="13"/>
  <c r="G357" i="13"/>
  <c r="AB110" i="13"/>
  <c r="G110" i="13"/>
  <c r="G405" i="13" s="1"/>
  <c r="X75" i="13"/>
  <c r="V75" i="13" s="1"/>
  <c r="Z75" i="13"/>
  <c r="AG39" i="13"/>
  <c r="AS39" i="13" s="1"/>
  <c r="AB109" i="13"/>
  <c r="AD117" i="13"/>
  <c r="AE117" i="13" s="1"/>
  <c r="AB10" i="13"/>
  <c r="G97" i="13"/>
  <c r="AG101" i="13"/>
  <c r="AS101" i="13" s="1"/>
  <c r="X53" i="13"/>
  <c r="V53" i="13" s="1"/>
  <c r="AG57" i="13"/>
  <c r="AS57" i="13" s="1"/>
  <c r="G61" i="13"/>
  <c r="G356" i="13" s="1"/>
  <c r="Z113" i="13"/>
  <c r="AB78" i="13"/>
  <c r="E78" i="13"/>
  <c r="X89" i="13"/>
  <c r="V89" i="13" s="1"/>
  <c r="AC89" i="13"/>
  <c r="AB64" i="13"/>
  <c r="C305" i="13"/>
  <c r="Z38" i="13"/>
  <c r="E42" i="13"/>
  <c r="E337" i="13" s="1"/>
  <c r="Z42" i="13"/>
  <c r="AB46" i="13"/>
  <c r="C345" i="13"/>
  <c r="AG64" i="13"/>
  <c r="AS64" i="13" s="1"/>
  <c r="G14" i="13"/>
  <c r="G309" i="13" s="1"/>
  <c r="C348" i="13"/>
  <c r="AD53" i="13"/>
  <c r="AE53" i="13" s="1"/>
  <c r="AD57" i="13"/>
  <c r="AE57" i="13" s="1"/>
  <c r="C362" i="13"/>
  <c r="AD67" i="13"/>
  <c r="AE67" i="13" s="1"/>
  <c r="G74" i="13"/>
  <c r="G64" i="13"/>
  <c r="G359" i="13" s="1"/>
  <c r="E121" i="13"/>
  <c r="E416" i="13" s="1"/>
  <c r="AB125" i="13"/>
  <c r="X121" i="13"/>
  <c r="V121" i="13" s="1"/>
  <c r="C416" i="13"/>
  <c r="C404" i="13"/>
  <c r="AC109" i="13"/>
  <c r="AB119" i="13"/>
  <c r="Z121" i="13"/>
  <c r="X74" i="13"/>
  <c r="V74" i="13" s="1"/>
  <c r="C359" i="13"/>
  <c r="E50" i="13"/>
  <c r="C352" i="13"/>
  <c r="X57" i="13"/>
  <c r="V57" i="13" s="1"/>
  <c r="E61" i="13"/>
  <c r="G78" i="13"/>
  <c r="G373" i="13" s="1"/>
  <c r="C384" i="13"/>
  <c r="AB38" i="13"/>
  <c r="C337" i="13"/>
  <c r="G46" i="13"/>
  <c r="M46" i="13" s="1"/>
  <c r="Z50" i="13"/>
  <c r="AF5" i="13"/>
  <c r="AE6" i="13" s="1"/>
  <c r="AB67" i="13"/>
  <c r="E101" i="13"/>
  <c r="E125" i="13"/>
  <c r="E420" i="13" s="1"/>
  <c r="G117" i="13"/>
  <c r="AG73" i="13"/>
  <c r="AS73" i="13" s="1"/>
  <c r="AD126" i="13"/>
  <c r="AE126" i="13" s="1"/>
  <c r="C421" i="13"/>
  <c r="AG126" i="13"/>
  <c r="AQ126" i="13" s="1"/>
  <c r="G126" i="13"/>
  <c r="E126" i="13"/>
  <c r="AB122" i="13"/>
  <c r="C417" i="13"/>
  <c r="AD122" i="13"/>
  <c r="AE122" i="13" s="1"/>
  <c r="AD118" i="13"/>
  <c r="AE118" i="13" s="1"/>
  <c r="AG118" i="13"/>
  <c r="X118" i="13"/>
  <c r="V118" i="13" s="1"/>
  <c r="AB118" i="13"/>
  <c r="X114" i="13"/>
  <c r="V114" i="13" s="1"/>
  <c r="E114" i="13"/>
  <c r="C409" i="13"/>
  <c r="AB114" i="13"/>
  <c r="Z110" i="13"/>
  <c r="E110" i="13"/>
  <c r="F110" i="13" s="1"/>
  <c r="X110" i="13"/>
  <c r="V110" i="13" s="1"/>
  <c r="C405" i="13"/>
  <c r="AB102" i="13"/>
  <c r="AC102" i="13"/>
  <c r="E102" i="13"/>
  <c r="C397" i="13"/>
  <c r="AD98" i="13"/>
  <c r="AE98" i="13" s="1"/>
  <c r="G98" i="13"/>
  <c r="AG98" i="13"/>
  <c r="AQ98" i="13" s="1"/>
  <c r="AC94" i="13"/>
  <c r="X94" i="13"/>
  <c r="V94" i="13" s="1"/>
  <c r="C385" i="13"/>
  <c r="Z90" i="13"/>
  <c r="X90" i="13"/>
  <c r="V90" i="13" s="1"/>
  <c r="AD86" i="13"/>
  <c r="E86" i="13"/>
  <c r="AC86" i="13"/>
  <c r="Z86" i="13"/>
  <c r="AE86" i="13"/>
  <c r="X86" i="13"/>
  <c r="V86" i="13" s="1"/>
  <c r="C377" i="13"/>
  <c r="AC75" i="13"/>
  <c r="G75" i="13"/>
  <c r="AG75" i="13"/>
  <c r="AQ75" i="13" s="1"/>
  <c r="C366" i="13"/>
  <c r="AB71" i="13"/>
  <c r="Z15" i="13"/>
  <c r="AC15" i="13"/>
  <c r="G15" i="13"/>
  <c r="AB15" i="13"/>
  <c r="E15" i="13"/>
  <c r="AD15" i="13"/>
  <c r="AE15" i="13" s="1"/>
  <c r="X11" i="13"/>
  <c r="V11" i="13" s="1"/>
  <c r="AB11" i="13"/>
  <c r="C306" i="13"/>
  <c r="AC11" i="13"/>
  <c r="E122" i="13"/>
  <c r="V126" i="13"/>
  <c r="X102" i="13"/>
  <c r="V102" i="13" s="1"/>
  <c r="AD75" i="13"/>
  <c r="AE75" i="13" s="1"/>
  <c r="G86" i="13"/>
  <c r="C413" i="13"/>
  <c r="AG95" i="13"/>
  <c r="AQ95" i="13" s="1"/>
  <c r="AC110" i="13"/>
  <c r="Z71" i="13"/>
  <c r="AD82" i="13"/>
  <c r="AE82" i="13" s="1"/>
  <c r="C310" i="13"/>
  <c r="X71" i="13"/>
  <c r="V71" i="13" s="1"/>
  <c r="AG26" i="13"/>
  <c r="AS26" i="13" s="1"/>
  <c r="AC26" i="13"/>
  <c r="G26" i="13"/>
  <c r="G321" i="13" s="1"/>
  <c r="V26" i="13"/>
  <c r="C321" i="13"/>
  <c r="AB26" i="13"/>
  <c r="Z26" i="13"/>
  <c r="AD22" i="13"/>
  <c r="AE22" i="13" s="1"/>
  <c r="X22" i="13"/>
  <c r="V22" i="13" s="1"/>
  <c r="Z22" i="13"/>
  <c r="AG22" i="13"/>
  <c r="AS22" i="13" s="1"/>
  <c r="AB22" i="13"/>
  <c r="AC18" i="13"/>
  <c r="AB18" i="13"/>
  <c r="AE18" i="13"/>
  <c r="X18" i="13"/>
  <c r="V18" i="13" s="1"/>
  <c r="E18" i="13"/>
  <c r="F18" i="13" s="1"/>
  <c r="Z18" i="13"/>
  <c r="G410" i="13"/>
  <c r="X122" i="13"/>
  <c r="V122" i="13" s="1"/>
  <c r="Z118" i="13"/>
  <c r="AC126" i="13"/>
  <c r="C393" i="13"/>
  <c r="AB98" i="13"/>
  <c r="G102" i="13"/>
  <c r="C370" i="13"/>
  <c r="G331" i="13"/>
  <c r="AG11" i="13"/>
  <c r="AS11" i="13" s="1"/>
  <c r="G18" i="13"/>
  <c r="E22" i="13"/>
  <c r="AD26" i="13"/>
  <c r="AE26" i="13" s="1"/>
  <c r="X15" i="13"/>
  <c r="V15" i="13" s="1"/>
  <c r="AC118" i="13"/>
  <c r="AG110" i="13"/>
  <c r="AQ110" i="13" s="1"/>
  <c r="AG82" i="13"/>
  <c r="AS82" i="13" s="1"/>
  <c r="AB86" i="13"/>
  <c r="E98" i="13"/>
  <c r="G114" i="13"/>
  <c r="G122" i="13"/>
  <c r="E41" i="13"/>
  <c r="E336" i="13" s="1"/>
  <c r="AG42" i="13"/>
  <c r="C336" i="13"/>
  <c r="AC41" i="13"/>
  <c r="G37" i="13"/>
  <c r="G332" i="13" s="1"/>
  <c r="AG37" i="13"/>
  <c r="AS37" i="13" s="1"/>
  <c r="AC37" i="13"/>
  <c r="E33" i="13"/>
  <c r="F33" i="13" s="1"/>
  <c r="C328" i="13"/>
  <c r="G33" i="13"/>
  <c r="AG33" i="13"/>
  <c r="AS33" i="13" s="1"/>
  <c r="Z33" i="13"/>
  <c r="AB29" i="13"/>
  <c r="X29" i="13"/>
  <c r="V29" i="13" s="1"/>
  <c r="AD29" i="13"/>
  <c r="AE29" i="13" s="1"/>
  <c r="G29" i="13"/>
  <c r="AC29" i="13"/>
  <c r="E29" i="13"/>
  <c r="F75" i="13"/>
  <c r="E370" i="13"/>
  <c r="AB106" i="13"/>
  <c r="G106" i="13"/>
  <c r="AD106" i="13"/>
  <c r="AE106" i="13" s="1"/>
  <c r="AC106" i="13"/>
  <c r="E106" i="13"/>
  <c r="C401" i="13"/>
  <c r="E413" i="13"/>
  <c r="AG94" i="13"/>
  <c r="AQ94" i="13" s="1"/>
  <c r="AG107" i="13"/>
  <c r="AQ107" i="13" s="1"/>
  <c r="G377" i="13"/>
  <c r="X98" i="13"/>
  <c r="V98" i="13" s="1"/>
  <c r="AC98" i="13"/>
  <c r="AB75" i="13"/>
  <c r="Z122" i="13"/>
  <c r="AG103" i="13"/>
  <c r="AS103" i="13" s="1"/>
  <c r="G118" i="13"/>
  <c r="AB126" i="13"/>
  <c r="Z98" i="13"/>
  <c r="Z102" i="13"/>
  <c r="AD102" i="13"/>
  <c r="AE102" i="13" s="1"/>
  <c r="AG76" i="13"/>
  <c r="AG86" i="13"/>
  <c r="C313" i="13"/>
  <c r="AC22" i="13"/>
  <c r="AD110" i="13"/>
  <c r="AE110" i="13" s="1"/>
  <c r="Z82" i="13"/>
  <c r="X106" i="13"/>
  <c r="V106" i="13" s="1"/>
  <c r="AC114" i="13"/>
  <c r="AC122" i="13"/>
  <c r="Z114" i="13"/>
  <c r="X59" i="13"/>
  <c r="V59" i="13" s="1"/>
  <c r="G59" i="13"/>
  <c r="C354" i="13"/>
  <c r="AC59" i="13"/>
  <c r="C350" i="13"/>
  <c r="G55" i="13"/>
  <c r="J55" i="13" s="1"/>
  <c r="J350" i="13" s="1"/>
  <c r="AG55" i="13"/>
  <c r="AS55" i="13" s="1"/>
  <c r="C343" i="13"/>
  <c r="G48" i="13"/>
  <c r="X44" i="13"/>
  <c r="V44" i="13" s="1"/>
  <c r="C339" i="13"/>
  <c r="AE44" i="13"/>
  <c r="E44" i="13"/>
  <c r="AC44" i="13"/>
  <c r="X119" i="13"/>
  <c r="V119" i="13" s="1"/>
  <c r="Z107" i="13"/>
  <c r="C398" i="13"/>
  <c r="AG38" i="13"/>
  <c r="AS38" i="13" s="1"/>
  <c r="AG91" i="13"/>
  <c r="AS91" i="13" s="1"/>
  <c r="E103" i="13"/>
  <c r="C406" i="13"/>
  <c r="E115" i="13"/>
  <c r="J115" i="13" s="1"/>
  <c r="J410" i="13" s="1"/>
  <c r="AG77" i="13"/>
  <c r="AS77" i="13" s="1"/>
  <c r="AB107" i="13"/>
  <c r="Z119" i="13"/>
  <c r="AG119" i="13"/>
  <c r="AS119" i="13" s="1"/>
  <c r="AG111" i="13"/>
  <c r="G99" i="13"/>
  <c r="E99" i="13"/>
  <c r="AD95" i="13"/>
  <c r="AE95" i="13" s="1"/>
  <c r="AC95" i="13"/>
  <c r="X95" i="13"/>
  <c r="V95" i="13" s="1"/>
  <c r="E95" i="13"/>
  <c r="E390" i="13" s="1"/>
  <c r="AB95" i="13"/>
  <c r="C390" i="13"/>
  <c r="AD87" i="13"/>
  <c r="AE87" i="13" s="1"/>
  <c r="AC87" i="13"/>
  <c r="AB83" i="13"/>
  <c r="AG83" i="13"/>
  <c r="AS83" i="13" s="1"/>
  <c r="E83" i="13"/>
  <c r="AC83" i="13"/>
  <c r="Z80" i="13"/>
  <c r="X80" i="13"/>
  <c r="V80" i="13" s="1"/>
  <c r="G76" i="13"/>
  <c r="C371" i="13"/>
  <c r="X72" i="13"/>
  <c r="V72" i="13" s="1"/>
  <c r="AC72" i="13"/>
  <c r="E72" i="13"/>
  <c r="E367" i="13" s="1"/>
  <c r="AB72" i="13"/>
  <c r="G72" i="13"/>
  <c r="M72" i="13" s="1"/>
  <c r="AG70" i="13"/>
  <c r="AS70" i="13" s="1"/>
  <c r="AB69" i="13"/>
  <c r="E65" i="13"/>
  <c r="E360" i="13" s="1"/>
  <c r="X65" i="13"/>
  <c r="V65" i="13" s="1"/>
  <c r="AG65" i="13"/>
  <c r="AQ65" i="13" s="1"/>
  <c r="AC60" i="13"/>
  <c r="Z60" i="13"/>
  <c r="AC56" i="13"/>
  <c r="AB56" i="13"/>
  <c r="AE52" i="13"/>
  <c r="AC52" i="13"/>
  <c r="E49" i="13"/>
  <c r="E344" i="13" s="1"/>
  <c r="Z49" i="13"/>
  <c r="G45" i="13"/>
  <c r="AB45" i="13"/>
  <c r="X45" i="13"/>
  <c r="V45" i="13" s="1"/>
  <c r="G38" i="13"/>
  <c r="E38" i="13"/>
  <c r="C333" i="13"/>
  <c r="AC38" i="13"/>
  <c r="X34" i="13"/>
  <c r="V34" i="13" s="1"/>
  <c r="E34" i="13"/>
  <c r="AD34" i="13"/>
  <c r="AE34" i="13" s="1"/>
  <c r="Z12" i="13"/>
  <c r="AD12" i="13"/>
  <c r="AE12" i="13" s="1"/>
  <c r="E12" i="13"/>
  <c r="X12" i="13"/>
  <c r="V12" i="13" s="1"/>
  <c r="AD127" i="13"/>
  <c r="AE127" i="13" s="1"/>
  <c r="AC127" i="13"/>
  <c r="X127" i="13"/>
  <c r="V127" i="13" s="1"/>
  <c r="AB127" i="13"/>
  <c r="C422" i="13"/>
  <c r="AG127" i="13"/>
  <c r="AQ127" i="13" s="1"/>
  <c r="M111" i="13"/>
  <c r="AB93" i="13"/>
  <c r="AC93" i="13"/>
  <c r="E93" i="13"/>
  <c r="C388" i="13"/>
  <c r="AD93" i="13"/>
  <c r="AE93" i="13" s="1"/>
  <c r="G93" i="13"/>
  <c r="X93" i="13"/>
  <c r="V93" i="13" s="1"/>
  <c r="E89" i="13"/>
  <c r="AG90" i="13"/>
  <c r="AS90" i="13" s="1"/>
  <c r="AB89" i="13"/>
  <c r="Z89" i="13"/>
  <c r="AG89" i="13"/>
  <c r="X85" i="13"/>
  <c r="V85" i="13" s="1"/>
  <c r="G85" i="13"/>
  <c r="AC85" i="13"/>
  <c r="C380" i="13"/>
  <c r="E85" i="13"/>
  <c r="Z85" i="13"/>
  <c r="AD14" i="13"/>
  <c r="AE14" i="13" s="1"/>
  <c r="X14" i="13"/>
  <c r="V14" i="13" s="1"/>
  <c r="AG15" i="13"/>
  <c r="E14" i="13"/>
  <c r="AB14" i="13"/>
  <c r="Z14" i="13"/>
  <c r="C309" i="13"/>
  <c r="E10" i="13"/>
  <c r="J10" i="13" s="1"/>
  <c r="K10" i="13" s="1"/>
  <c r="AC10" i="13"/>
  <c r="AD10" i="13"/>
  <c r="AE10" i="13" s="1"/>
  <c r="X10" i="13"/>
  <c r="V10" i="13" s="1"/>
  <c r="AD123" i="13"/>
  <c r="AE123" i="13" s="1"/>
  <c r="Z123" i="13"/>
  <c r="X123" i="13"/>
  <c r="V123" i="13" s="1"/>
  <c r="E123" i="13"/>
  <c r="C418" i="13"/>
  <c r="AC123" i="13"/>
  <c r="AG124" i="13"/>
  <c r="AS124" i="13" s="1"/>
  <c r="G123" i="13"/>
  <c r="F108" i="13"/>
  <c r="AG123" i="13"/>
  <c r="G127" i="13"/>
  <c r="M67" i="13"/>
  <c r="G375" i="13"/>
  <c r="E127" i="13"/>
  <c r="F127" i="13" s="1"/>
  <c r="AB123" i="13"/>
  <c r="G339" i="13"/>
  <c r="M44" i="13"/>
  <c r="G120" i="13"/>
  <c r="X120" i="13"/>
  <c r="V120" i="13" s="1"/>
  <c r="Z120" i="13"/>
  <c r="E120" i="13"/>
  <c r="F120" i="13" s="1"/>
  <c r="AG121" i="13"/>
  <c r="AQ121" i="13" s="1"/>
  <c r="AC120" i="13"/>
  <c r="C415" i="13"/>
  <c r="E116" i="13"/>
  <c r="J116" i="13" s="1"/>
  <c r="AB116" i="13"/>
  <c r="AC116" i="13"/>
  <c r="Z116" i="13"/>
  <c r="C411" i="13"/>
  <c r="AG116" i="13"/>
  <c r="AS116" i="13" s="1"/>
  <c r="X116" i="13"/>
  <c r="V116" i="13" s="1"/>
  <c r="AD112" i="13"/>
  <c r="AE112" i="13" s="1"/>
  <c r="Z112" i="13"/>
  <c r="AB112" i="13"/>
  <c r="AG113" i="13"/>
  <c r="AQ113" i="13" s="1"/>
  <c r="C407" i="13"/>
  <c r="AD108" i="13"/>
  <c r="AE108" i="13" s="1"/>
  <c r="C403" i="13"/>
  <c r="G108" i="13"/>
  <c r="M108" i="13" s="1"/>
  <c r="AC108" i="13"/>
  <c r="AG108" i="13"/>
  <c r="AS108" i="13" s="1"/>
  <c r="AG109" i="13"/>
  <c r="AQ109" i="13" s="1"/>
  <c r="AB108" i="13"/>
  <c r="AD104" i="13"/>
  <c r="AE104" i="13" s="1"/>
  <c r="AG104" i="13"/>
  <c r="AS104" i="13" s="1"/>
  <c r="AC104" i="13"/>
  <c r="C399" i="13"/>
  <c r="Z104" i="13"/>
  <c r="AB100" i="13"/>
  <c r="G100" i="13"/>
  <c r="AG100" i="13"/>
  <c r="AQ100" i="13" s="1"/>
  <c r="C395" i="13"/>
  <c r="C391" i="13"/>
  <c r="AD96" i="13"/>
  <c r="AE96" i="13" s="1"/>
  <c r="G96" i="13"/>
  <c r="AG96" i="13"/>
  <c r="AQ96" i="13" s="1"/>
  <c r="AG35" i="13"/>
  <c r="AQ35" i="13" s="1"/>
  <c r="Z35" i="13"/>
  <c r="AD35" i="13"/>
  <c r="AE35" i="13" s="1"/>
  <c r="AG36" i="13"/>
  <c r="AS36" i="13" s="1"/>
  <c r="AC35" i="13"/>
  <c r="E35" i="13"/>
  <c r="E31" i="13"/>
  <c r="G31" i="13"/>
  <c r="AG32" i="13"/>
  <c r="AS32" i="13" s="1"/>
  <c r="AC31" i="13"/>
  <c r="AB31" i="13"/>
  <c r="AD31" i="13"/>
  <c r="AE31" i="13" s="1"/>
  <c r="V31" i="13"/>
  <c r="Z27" i="13"/>
  <c r="E27" i="13"/>
  <c r="X27" i="13"/>
  <c r="V27" i="13" s="1"/>
  <c r="AD27" i="13"/>
  <c r="AE27" i="13" s="1"/>
  <c r="C322" i="13"/>
  <c r="AG27" i="13"/>
  <c r="AS27" i="13" s="1"/>
  <c r="AB27" i="13"/>
  <c r="AG28" i="13"/>
  <c r="AS28" i="13" s="1"/>
  <c r="AC24" i="13"/>
  <c r="X24" i="13"/>
  <c r="V24" i="13" s="1"/>
  <c r="AD24" i="13"/>
  <c r="AE24" i="13" s="1"/>
  <c r="AB24" i="13"/>
  <c r="Z24" i="13"/>
  <c r="G24" i="13"/>
  <c r="AC20" i="13"/>
  <c r="AG21" i="13"/>
  <c r="C315" i="13"/>
  <c r="G20" i="13"/>
  <c r="AG17" i="13"/>
  <c r="AQ17" i="13" s="1"/>
  <c r="Z16" i="13"/>
  <c r="C311" i="13"/>
  <c r="G16" i="13"/>
  <c r="AC16" i="13"/>
  <c r="AG16" i="13"/>
  <c r="AS16" i="13" s="1"/>
  <c r="AD16" i="13"/>
  <c r="AE16" i="13" s="1"/>
  <c r="E16" i="13"/>
  <c r="E311" i="13" s="1"/>
  <c r="AB124" i="13"/>
  <c r="X124" i="13"/>
  <c r="V124" i="13" s="1"/>
  <c r="E124" i="13"/>
  <c r="C419" i="13"/>
  <c r="C412" i="13"/>
  <c r="AG117" i="13"/>
  <c r="AQ117" i="13" s="1"/>
  <c r="G113" i="13"/>
  <c r="AG114" i="13"/>
  <c r="AS114" i="13" s="1"/>
  <c r="X109" i="13"/>
  <c r="V109" i="13" s="1"/>
  <c r="G109" i="13"/>
  <c r="E109" i="13"/>
  <c r="X105" i="13"/>
  <c r="V105" i="13" s="1"/>
  <c r="AG106" i="13"/>
  <c r="AQ106" i="13" s="1"/>
  <c r="Z101" i="13"/>
  <c r="AG102" i="13"/>
  <c r="AQ102" i="13" s="1"/>
  <c r="C396" i="13"/>
  <c r="X101" i="13"/>
  <c r="V101" i="13" s="1"/>
  <c r="Z97" i="13"/>
  <c r="E97" i="13"/>
  <c r="G90" i="13"/>
  <c r="AB90" i="13"/>
  <c r="AD90" i="13"/>
  <c r="AE90" i="13" s="1"/>
  <c r="E90" i="13"/>
  <c r="AC82" i="13"/>
  <c r="E82" i="13"/>
  <c r="J82" i="13" s="1"/>
  <c r="AB82" i="13"/>
  <c r="X82" i="13"/>
  <c r="V82" i="13" s="1"/>
  <c r="AC71" i="13"/>
  <c r="AD71" i="13"/>
  <c r="AE71" i="13" s="1"/>
  <c r="E71" i="13"/>
  <c r="G71" i="13"/>
  <c r="AG71" i="13"/>
  <c r="AS71" i="13" s="1"/>
  <c r="E59" i="13"/>
  <c r="AG59" i="13"/>
  <c r="AS59" i="13" s="1"/>
  <c r="Z59" i="13"/>
  <c r="AG41" i="13"/>
  <c r="AS41" i="13" s="1"/>
  <c r="X41" i="13"/>
  <c r="V41" i="13" s="1"/>
  <c r="Z41" i="13"/>
  <c r="AB41" i="13"/>
  <c r="Z37" i="13"/>
  <c r="C332" i="13"/>
  <c r="Z83" i="13"/>
  <c r="AG84" i="13"/>
  <c r="AQ84" i="13" s="1"/>
  <c r="AD83" i="13"/>
  <c r="AE83" i="13" s="1"/>
  <c r="AG81" i="13"/>
  <c r="AB80" i="13"/>
  <c r="AB76" i="13"/>
  <c r="Z76" i="13"/>
  <c r="AD76" i="13"/>
  <c r="AE76" i="13" s="1"/>
  <c r="X76" i="13"/>
  <c r="V76" i="13" s="1"/>
  <c r="AC69" i="13"/>
  <c r="X69" i="13"/>
  <c r="V69" i="13" s="1"/>
  <c r="Z69" i="13"/>
  <c r="AD69" i="13"/>
  <c r="AE69" i="13" s="1"/>
  <c r="G69" i="13"/>
  <c r="J69" i="13" s="1"/>
  <c r="C364" i="13"/>
  <c r="Z65" i="13"/>
  <c r="AD65" i="13"/>
  <c r="AE65" i="13" s="1"/>
  <c r="G65" i="13"/>
  <c r="G60" i="13"/>
  <c r="X60" i="13"/>
  <c r="V60" i="13" s="1"/>
  <c r="G56" i="13"/>
  <c r="E56" i="13"/>
  <c r="X52" i="13"/>
  <c r="V52" i="13" s="1"/>
  <c r="E52" i="13"/>
  <c r="C347" i="13"/>
  <c r="C344" i="13"/>
  <c r="AG50" i="13"/>
  <c r="AD49" i="13"/>
  <c r="AE49" i="13" s="1"/>
  <c r="AB49" i="13"/>
  <c r="E45" i="13"/>
  <c r="AG46" i="13"/>
  <c r="AQ46" i="13" s="1"/>
  <c r="Z45" i="13"/>
  <c r="C329" i="13"/>
  <c r="AC34" i="13"/>
  <c r="AG34" i="13"/>
  <c r="AQ34" i="13" s="1"/>
  <c r="AE81" i="13"/>
  <c r="AG74" i="13"/>
  <c r="AS74" i="13" s="1"/>
  <c r="AD79" i="13"/>
  <c r="AE79" i="13" s="1"/>
  <c r="C374" i="13"/>
  <c r="G79" i="13"/>
  <c r="X79" i="13"/>
  <c r="V79" i="13" s="1"/>
  <c r="AG80" i="13"/>
  <c r="Z79" i="13"/>
  <c r="AB79" i="13"/>
  <c r="E79" i="13"/>
  <c r="AC79" i="13"/>
  <c r="G68" i="13"/>
  <c r="AG69" i="13"/>
  <c r="AD68" i="13"/>
  <c r="AE68" i="13" s="1"/>
  <c r="C363" i="13"/>
  <c r="Z68" i="13"/>
  <c r="X68" i="13"/>
  <c r="V68" i="13" s="1"/>
  <c r="AC68" i="13"/>
  <c r="AB68" i="13"/>
  <c r="E68" i="13"/>
  <c r="AG31" i="13"/>
  <c r="E30" i="13"/>
  <c r="AD30" i="13"/>
  <c r="AE30" i="13" s="1"/>
  <c r="G30" i="13"/>
  <c r="X30" i="13"/>
  <c r="V30" i="13" s="1"/>
  <c r="AC30" i="13"/>
  <c r="AB30" i="13"/>
  <c r="AG30" i="13"/>
  <c r="C325" i="13"/>
  <c r="Z30" i="13"/>
  <c r="AB23" i="13"/>
  <c r="G23" i="13"/>
  <c r="Z23" i="13"/>
  <c r="AC23" i="13"/>
  <c r="X23" i="13"/>
  <c r="V23" i="13" s="1"/>
  <c r="AD23" i="13"/>
  <c r="AE23" i="13" s="1"/>
  <c r="E23" i="13"/>
  <c r="AG23" i="13"/>
  <c r="AG24" i="13"/>
  <c r="X19" i="13"/>
  <c r="V19" i="13" s="1"/>
  <c r="E19" i="13"/>
  <c r="C314" i="13"/>
  <c r="AC19" i="13"/>
  <c r="AB19" i="13"/>
  <c r="AG20" i="13"/>
  <c r="AD19" i="13"/>
  <c r="AE19" i="13" s="1"/>
  <c r="AG19" i="13"/>
  <c r="Z19" i="13"/>
  <c r="X13" i="13"/>
  <c r="V13" i="13" s="1"/>
  <c r="E13" i="13"/>
  <c r="AG13" i="13"/>
  <c r="Z13" i="13"/>
  <c r="AB13" i="13"/>
  <c r="AC13" i="13"/>
  <c r="AD13" i="13"/>
  <c r="AE13" i="13" s="1"/>
  <c r="AG14" i="13"/>
  <c r="C308" i="13"/>
  <c r="M103" i="13"/>
  <c r="G398" i="13"/>
  <c r="AG79" i="13"/>
  <c r="AG68" i="13"/>
  <c r="G13" i="13"/>
  <c r="G19" i="13"/>
  <c r="G411" i="13"/>
  <c r="AS60" i="13"/>
  <c r="C318" i="13"/>
  <c r="G317" i="13"/>
  <c r="M27" i="13"/>
  <c r="E400" i="13"/>
  <c r="F105" i="13"/>
  <c r="G322" i="13"/>
  <c r="AS112" i="13"/>
  <c r="AS66" i="13"/>
  <c r="F49" i="13"/>
  <c r="AQ77" i="13"/>
  <c r="AS88" i="13"/>
  <c r="F69" i="13"/>
  <c r="M77" i="13"/>
  <c r="G372" i="13"/>
  <c r="F46" i="13"/>
  <c r="E341" i="13"/>
  <c r="AD94" i="13"/>
  <c r="AE94" i="13" s="1"/>
  <c r="C389" i="13"/>
  <c r="E94" i="13"/>
  <c r="G94" i="13"/>
  <c r="AB94" i="13"/>
  <c r="E91" i="13"/>
  <c r="C386" i="13"/>
  <c r="Z87" i="13"/>
  <c r="E87" i="13"/>
  <c r="AD77" i="13"/>
  <c r="AE77" i="13" s="1"/>
  <c r="X77" i="13"/>
  <c r="V77" i="13" s="1"/>
  <c r="AC77" i="13"/>
  <c r="E77" i="13"/>
  <c r="Z77" i="13"/>
  <c r="AG78" i="13"/>
  <c r="C372" i="13"/>
  <c r="AD39" i="13"/>
  <c r="AE39" i="13" s="1"/>
  <c r="AC39" i="13"/>
  <c r="X39" i="13"/>
  <c r="V39" i="13" s="1"/>
  <c r="E39" i="13"/>
  <c r="Z117" i="13"/>
  <c r="AC117" i="13"/>
  <c r="C400" i="13"/>
  <c r="G105" i="13"/>
  <c r="AB105" i="13"/>
  <c r="AC105" i="13"/>
  <c r="C351" i="13"/>
  <c r="X56" i="13"/>
  <c r="V56" i="13" s="1"/>
  <c r="AG52" i="13"/>
  <c r="AS52" i="13" s="1"/>
  <c r="Z52" i="13"/>
  <c r="AB52" i="13"/>
  <c r="AD11" i="13"/>
  <c r="AE11" i="13" s="1"/>
  <c r="E11" i="13"/>
  <c r="G11" i="13"/>
  <c r="Z11" i="13"/>
  <c r="AQ67" i="13"/>
  <c r="AS67" i="13"/>
  <c r="AQ119" i="13"/>
  <c r="AS120" i="13"/>
  <c r="AQ120" i="13"/>
  <c r="B423" i="13"/>
  <c r="AB60" i="13"/>
  <c r="AD33" i="13"/>
  <c r="AE33" i="13" s="1"/>
  <c r="X33" i="13"/>
  <c r="V33" i="13" s="1"/>
  <c r="AC33" i="13"/>
  <c r="Z127" i="13"/>
  <c r="AE5" i="13"/>
  <c r="G367" i="13" l="1"/>
  <c r="E316" i="13"/>
  <c r="F66" i="13"/>
  <c r="I66" i="13" s="1"/>
  <c r="F58" i="13"/>
  <c r="I58" i="13" s="1"/>
  <c r="E342" i="13"/>
  <c r="F43" i="13"/>
  <c r="I43" i="13" s="1"/>
  <c r="F57" i="13"/>
  <c r="I57" i="13" s="1"/>
  <c r="E327" i="13"/>
  <c r="E321" i="13"/>
  <c r="J47" i="13"/>
  <c r="J342" i="13" s="1"/>
  <c r="J73" i="13"/>
  <c r="K73" i="13" s="1"/>
  <c r="J34" i="13"/>
  <c r="K34" i="13" s="1"/>
  <c r="N34" i="13" s="1"/>
  <c r="O34" i="13" s="1"/>
  <c r="J54" i="13"/>
  <c r="J349" i="13" s="1"/>
  <c r="AQ48" i="13"/>
  <c r="AQ45" i="13"/>
  <c r="J83" i="13"/>
  <c r="J378" i="13" s="1"/>
  <c r="F84" i="13"/>
  <c r="I84" i="13" s="1"/>
  <c r="G378" i="13"/>
  <c r="E355" i="13"/>
  <c r="AS93" i="13"/>
  <c r="AS122" i="13"/>
  <c r="AS85" i="13"/>
  <c r="E376" i="13"/>
  <c r="G348" i="13"/>
  <c r="F88" i="13"/>
  <c r="I88" i="13" s="1"/>
  <c r="I47" i="13"/>
  <c r="AQ41" i="13"/>
  <c r="AQ99" i="13"/>
  <c r="E315" i="13"/>
  <c r="E320" i="13"/>
  <c r="G323" i="13"/>
  <c r="AS97" i="13"/>
  <c r="I49" i="13"/>
  <c r="J88" i="13"/>
  <c r="K88" i="13" s="1"/>
  <c r="G349" i="13"/>
  <c r="M88" i="13"/>
  <c r="AQ11" i="13"/>
  <c r="F112" i="13"/>
  <c r="I112" i="13" s="1"/>
  <c r="M64" i="13"/>
  <c r="G312" i="13"/>
  <c r="F36" i="13"/>
  <c r="I36" i="13" s="1"/>
  <c r="F65" i="13"/>
  <c r="I65" i="13" s="1"/>
  <c r="G390" i="13"/>
  <c r="G307" i="13"/>
  <c r="G387" i="13"/>
  <c r="AQ125" i="13"/>
  <c r="AS63" i="13"/>
  <c r="M14" i="13"/>
  <c r="J25" i="13"/>
  <c r="J320" i="13" s="1"/>
  <c r="J28" i="13"/>
  <c r="K28" i="13" s="1"/>
  <c r="N28" i="13" s="1"/>
  <c r="O28" i="13" s="1"/>
  <c r="J32" i="13"/>
  <c r="K32" i="13" s="1"/>
  <c r="N32" i="13" s="1"/>
  <c r="O32" i="13" s="1"/>
  <c r="M327" i="13" s="1"/>
  <c r="G345" i="13"/>
  <c r="M124" i="13"/>
  <c r="J70" i="13"/>
  <c r="K70" i="13" s="1"/>
  <c r="AQ115" i="13"/>
  <c r="G330" i="13"/>
  <c r="G365" i="13"/>
  <c r="J22" i="13"/>
  <c r="K22" i="13" s="1"/>
  <c r="N22" i="13" s="1"/>
  <c r="O22" i="13" s="1"/>
  <c r="G414" i="13"/>
  <c r="F48" i="13"/>
  <c r="I48" i="13" s="1"/>
  <c r="F70" i="13"/>
  <c r="I70" i="13" s="1"/>
  <c r="I28" i="13"/>
  <c r="J112" i="13"/>
  <c r="J407" i="13" s="1"/>
  <c r="I21" i="13"/>
  <c r="E332" i="13"/>
  <c r="I92" i="13"/>
  <c r="AQ64" i="13"/>
  <c r="M52" i="13"/>
  <c r="AS62" i="13"/>
  <c r="M70" i="13"/>
  <c r="G416" i="13"/>
  <c r="J74" i="13"/>
  <c r="J369" i="13" s="1"/>
  <c r="J81" i="13"/>
  <c r="J376" i="13" s="1"/>
  <c r="E369" i="13"/>
  <c r="AQ73" i="13"/>
  <c r="AS49" i="13"/>
  <c r="AQ105" i="13"/>
  <c r="E375" i="13"/>
  <c r="J67" i="13"/>
  <c r="K67" i="13" s="1"/>
  <c r="N67" i="13" s="1"/>
  <c r="O67" i="13" s="1"/>
  <c r="F67" i="13"/>
  <c r="I67" i="13" s="1"/>
  <c r="J84" i="13"/>
  <c r="J379" i="13" s="1"/>
  <c r="E328" i="13"/>
  <c r="AQ39" i="13"/>
  <c r="AQ33" i="13"/>
  <c r="AQ72" i="13"/>
  <c r="AQ18" i="13"/>
  <c r="J52" i="13"/>
  <c r="K52" i="13" s="1"/>
  <c r="F63" i="13"/>
  <c r="I63" i="13" s="1"/>
  <c r="E335" i="13"/>
  <c r="J121" i="13"/>
  <c r="J416" i="13" s="1"/>
  <c r="M89" i="13"/>
  <c r="E391" i="13"/>
  <c r="I73" i="13"/>
  <c r="M125" i="13"/>
  <c r="J36" i="13"/>
  <c r="J331" i="13" s="1"/>
  <c r="J63" i="13"/>
  <c r="K63" i="13" s="1"/>
  <c r="AQ32" i="13"/>
  <c r="J113" i="13"/>
  <c r="K113" i="13" s="1"/>
  <c r="J24" i="13"/>
  <c r="K24" i="13" s="1"/>
  <c r="AS106" i="13"/>
  <c r="AQ71" i="13"/>
  <c r="F113" i="13"/>
  <c r="I113" i="13" s="1"/>
  <c r="J110" i="13"/>
  <c r="K110" i="13" s="1"/>
  <c r="F24" i="13"/>
  <c r="I24" i="13" s="1"/>
  <c r="AQ51" i="13"/>
  <c r="J126" i="13"/>
  <c r="K126" i="13" s="1"/>
  <c r="E412" i="13"/>
  <c r="F117" i="13"/>
  <c r="I117" i="13" s="1"/>
  <c r="I127" i="13"/>
  <c r="G382" i="13"/>
  <c r="F119" i="13"/>
  <c r="I119" i="13" s="1"/>
  <c r="AS113" i="13"/>
  <c r="AQ25" i="13"/>
  <c r="G403" i="13"/>
  <c r="AQ12" i="13"/>
  <c r="J119" i="13"/>
  <c r="J414" i="13" s="1"/>
  <c r="N10" i="13"/>
  <c r="O10" i="13" s="1"/>
  <c r="AH10" i="13" s="1"/>
  <c r="G336" i="13"/>
  <c r="E406" i="13"/>
  <c r="F111" i="13"/>
  <c r="I111" i="13" s="1"/>
  <c r="J87" i="13"/>
  <c r="J382" i="13" s="1"/>
  <c r="AS92" i="13"/>
  <c r="AQ87" i="13"/>
  <c r="E387" i="13"/>
  <c r="G361" i="13"/>
  <c r="M66" i="13"/>
  <c r="G376" i="13"/>
  <c r="M81" i="13"/>
  <c r="F82" i="13"/>
  <c r="I82" i="13" s="1"/>
  <c r="J92" i="13"/>
  <c r="J387" i="13" s="1"/>
  <c r="F41" i="13"/>
  <c r="I41" i="13" s="1"/>
  <c r="AS46" i="13"/>
  <c r="E405" i="13"/>
  <c r="M78" i="13"/>
  <c r="J95" i="13"/>
  <c r="J390" i="13" s="1"/>
  <c r="E399" i="13"/>
  <c r="F104" i="13"/>
  <c r="I104" i="13" s="1"/>
  <c r="F100" i="13"/>
  <c r="I100" i="13" s="1"/>
  <c r="E395" i="13"/>
  <c r="G358" i="13"/>
  <c r="M63" i="13"/>
  <c r="G368" i="13"/>
  <c r="M73" i="13"/>
  <c r="AQ74" i="13"/>
  <c r="AQ91" i="13"/>
  <c r="E305" i="13"/>
  <c r="AS34" i="13"/>
  <c r="F95" i="13"/>
  <c r="I95" i="13" s="1"/>
  <c r="J80" i="13"/>
  <c r="J375" i="13" s="1"/>
  <c r="I81" i="13"/>
  <c r="J66" i="13"/>
  <c r="AS21" i="13"/>
  <c r="AQ21" i="13"/>
  <c r="AS123" i="13"/>
  <c r="AQ123" i="13"/>
  <c r="F12" i="13"/>
  <c r="I12" i="13" s="1"/>
  <c r="E307" i="13"/>
  <c r="J12" i="13"/>
  <c r="K12" i="13" s="1"/>
  <c r="N12" i="13" s="1"/>
  <c r="O12" i="13" s="1"/>
  <c r="M45" i="13"/>
  <c r="G340" i="13"/>
  <c r="AQ86" i="13"/>
  <c r="AS86" i="13"/>
  <c r="AS109" i="13"/>
  <c r="AQ104" i="13"/>
  <c r="AQ103" i="13"/>
  <c r="AS76" i="13"/>
  <c r="AQ76" i="13"/>
  <c r="G313" i="13"/>
  <c r="M18" i="13"/>
  <c r="F125" i="13"/>
  <c r="I125" i="13" s="1"/>
  <c r="J125" i="13"/>
  <c r="K125" i="13" s="1"/>
  <c r="G392" i="13"/>
  <c r="M97" i="13"/>
  <c r="J62" i="13"/>
  <c r="J357" i="13" s="1"/>
  <c r="F62" i="13"/>
  <c r="I62" i="13" s="1"/>
  <c r="M101" i="13"/>
  <c r="G396" i="13"/>
  <c r="G335" i="13"/>
  <c r="M40" i="13"/>
  <c r="J40" i="13"/>
  <c r="K40" i="13" s="1"/>
  <c r="M58" i="13"/>
  <c r="J58" i="13"/>
  <c r="G353" i="13"/>
  <c r="E371" i="13"/>
  <c r="F76" i="13"/>
  <c r="I76" i="13" s="1"/>
  <c r="F107" i="13"/>
  <c r="I107" i="13" s="1"/>
  <c r="E402" i="13"/>
  <c r="M57" i="13"/>
  <c r="J57" i="13"/>
  <c r="J352" i="13" s="1"/>
  <c r="AS35" i="13"/>
  <c r="AS81" i="13"/>
  <c r="AQ81" i="13"/>
  <c r="AQ42" i="13"/>
  <c r="AS42" i="13"/>
  <c r="AQ118" i="13"/>
  <c r="AS118" i="13"/>
  <c r="E396" i="13"/>
  <c r="F101" i="13"/>
  <c r="I101" i="13" s="1"/>
  <c r="AS43" i="13"/>
  <c r="AQ43" i="13"/>
  <c r="F64" i="13"/>
  <c r="I64" i="13" s="1"/>
  <c r="E359" i="13"/>
  <c r="J64" i="13"/>
  <c r="J359" i="13" s="1"/>
  <c r="M42" i="13"/>
  <c r="G337" i="13"/>
  <c r="G344" i="13"/>
  <c r="J49" i="13"/>
  <c r="K49" i="13" s="1"/>
  <c r="E348" i="13"/>
  <c r="F53" i="13"/>
  <c r="I53" i="13" s="1"/>
  <c r="AS61" i="13"/>
  <c r="AQ61" i="13"/>
  <c r="I40" i="13"/>
  <c r="AQ16" i="13"/>
  <c r="AQ38" i="13"/>
  <c r="G320" i="13"/>
  <c r="AS94" i="13"/>
  <c r="E357" i="13"/>
  <c r="J53" i="13"/>
  <c r="J348" i="13" s="1"/>
  <c r="J18" i="13"/>
  <c r="K18" i="13" s="1"/>
  <c r="AQ50" i="13"/>
  <c r="AS50" i="13"/>
  <c r="J50" i="13"/>
  <c r="J345" i="13" s="1"/>
  <c r="AQ15" i="13"/>
  <c r="AS15" i="13"/>
  <c r="M49" i="13"/>
  <c r="J118" i="13"/>
  <c r="J413" i="13" s="1"/>
  <c r="G413" i="13"/>
  <c r="J86" i="13"/>
  <c r="J381" i="13" s="1"/>
  <c r="M86" i="13"/>
  <c r="E421" i="13"/>
  <c r="F126" i="13"/>
  <c r="I126" i="13" s="1"/>
  <c r="I25" i="13"/>
  <c r="J45" i="13"/>
  <c r="J340" i="13" s="1"/>
  <c r="I37" i="13"/>
  <c r="J107" i="13"/>
  <c r="M107" i="13"/>
  <c r="G402" i="13"/>
  <c r="J399" i="13"/>
  <c r="K104" i="13"/>
  <c r="N104" i="13" s="1"/>
  <c r="O104" i="13" s="1"/>
  <c r="Q104" i="13" s="1"/>
  <c r="S104" i="13" s="1"/>
  <c r="U104" i="13" s="1"/>
  <c r="M17" i="13"/>
  <c r="J17" i="13"/>
  <c r="G316" i="13"/>
  <c r="M21" i="13"/>
  <c r="I46" i="13"/>
  <c r="J21" i="13"/>
  <c r="K21" i="13" s="1"/>
  <c r="I33" i="13"/>
  <c r="J78" i="13"/>
  <c r="G386" i="13"/>
  <c r="M91" i="13"/>
  <c r="F54" i="13"/>
  <c r="I54" i="13" s="1"/>
  <c r="E349" i="13"/>
  <c r="M39" i="13"/>
  <c r="G334" i="13"/>
  <c r="E422" i="13"/>
  <c r="I110" i="13"/>
  <c r="J46" i="13"/>
  <c r="K46" i="13" s="1"/>
  <c r="N46" i="13" s="1"/>
  <c r="O46" i="13" s="1"/>
  <c r="E313" i="13"/>
  <c r="M126" i="13"/>
  <c r="E345" i="13"/>
  <c r="F50" i="13"/>
  <c r="I50" i="13" s="1"/>
  <c r="E373" i="13"/>
  <c r="F78" i="13"/>
  <c r="I78" i="13" s="1"/>
  <c r="AQ26" i="13"/>
  <c r="AS65" i="13"/>
  <c r="AS117" i="13"/>
  <c r="AS17" i="13"/>
  <c r="AS98" i="13"/>
  <c r="AS107" i="13"/>
  <c r="AQ36" i="13"/>
  <c r="AQ70" i="13"/>
  <c r="AQ90" i="13"/>
  <c r="AQ101" i="13"/>
  <c r="AQ44" i="13"/>
  <c r="AS40" i="13"/>
  <c r="F121" i="13"/>
  <c r="I121" i="13" s="1"/>
  <c r="G341" i="13"/>
  <c r="J97" i="13"/>
  <c r="K97" i="13" s="1"/>
  <c r="J101" i="13"/>
  <c r="J396" i="13" s="1"/>
  <c r="M51" i="13"/>
  <c r="AS95" i="13"/>
  <c r="AQ47" i="13"/>
  <c r="AS126" i="13"/>
  <c r="M110" i="13"/>
  <c r="M117" i="13"/>
  <c r="G412" i="13"/>
  <c r="J117" i="13"/>
  <c r="F61" i="13"/>
  <c r="I61" i="13" s="1"/>
  <c r="E356" i="13"/>
  <c r="J42" i="13"/>
  <c r="F42" i="13"/>
  <c r="I42" i="13" s="1"/>
  <c r="G338" i="13"/>
  <c r="J43" i="13"/>
  <c r="M43" i="13"/>
  <c r="J51" i="13"/>
  <c r="J346" i="13" s="1"/>
  <c r="E377" i="13"/>
  <c r="F16" i="13"/>
  <c r="I16" i="13" s="1"/>
  <c r="AS96" i="13"/>
  <c r="AS127" i="13"/>
  <c r="AS110" i="13"/>
  <c r="J71" i="13"/>
  <c r="J366" i="13" s="1"/>
  <c r="M61" i="13"/>
  <c r="J61" i="13"/>
  <c r="M74" i="13"/>
  <c r="G369" i="13"/>
  <c r="I74" i="13"/>
  <c r="M47" i="13"/>
  <c r="G342" i="13"/>
  <c r="E346" i="13"/>
  <c r="F51" i="13"/>
  <c r="I51" i="13" s="1"/>
  <c r="M38" i="13"/>
  <c r="G333" i="13"/>
  <c r="J38" i="13"/>
  <c r="M76" i="13"/>
  <c r="G371" i="13"/>
  <c r="F103" i="13"/>
  <c r="I103" i="13" s="1"/>
  <c r="E398" i="13"/>
  <c r="G343" i="13"/>
  <c r="M48" i="13"/>
  <c r="E401" i="13"/>
  <c r="F106" i="13"/>
  <c r="I106" i="13" s="1"/>
  <c r="E397" i="13"/>
  <c r="F102" i="13"/>
  <c r="I102" i="13" s="1"/>
  <c r="AQ37" i="13"/>
  <c r="AQ108" i="13"/>
  <c r="J16" i="13"/>
  <c r="J311" i="13" s="1"/>
  <c r="I120" i="13"/>
  <c r="F98" i="13"/>
  <c r="I98" i="13" s="1"/>
  <c r="E393" i="13"/>
  <c r="F122" i="13"/>
  <c r="I122" i="13" s="1"/>
  <c r="E417" i="13"/>
  <c r="J15" i="13"/>
  <c r="E310" i="13"/>
  <c r="F15" i="13"/>
  <c r="I15" i="13" s="1"/>
  <c r="I75" i="13"/>
  <c r="M75" i="13"/>
  <c r="F86" i="13"/>
  <c r="I86" i="13" s="1"/>
  <c r="E381" i="13"/>
  <c r="G393" i="13"/>
  <c r="J98" i="13"/>
  <c r="M98" i="13"/>
  <c r="AQ83" i="13"/>
  <c r="AQ114" i="13"/>
  <c r="AQ124" i="13"/>
  <c r="AQ82" i="13"/>
  <c r="AS75" i="13"/>
  <c r="J26" i="13"/>
  <c r="J321" i="13" s="1"/>
  <c r="J76" i="13"/>
  <c r="K76" i="13" s="1"/>
  <c r="J37" i="13"/>
  <c r="K37" i="13" s="1"/>
  <c r="AS100" i="13"/>
  <c r="AQ22" i="13"/>
  <c r="K55" i="13"/>
  <c r="G421" i="13"/>
  <c r="J305" i="13"/>
  <c r="J48" i="13"/>
  <c r="K48" i="13" s="1"/>
  <c r="J41" i="13"/>
  <c r="K41" i="13" s="1"/>
  <c r="N41" i="13" s="1"/>
  <c r="O41" i="13" s="1"/>
  <c r="G381" i="13"/>
  <c r="F72" i="13"/>
  <c r="I72" i="13" s="1"/>
  <c r="F115" i="13"/>
  <c r="I115" i="13" s="1"/>
  <c r="E410" i="13"/>
  <c r="M29" i="13"/>
  <c r="J29" i="13"/>
  <c r="G324" i="13"/>
  <c r="I18" i="13"/>
  <c r="E409" i="13"/>
  <c r="F114" i="13"/>
  <c r="I114" i="13" s="1"/>
  <c r="F83" i="13"/>
  <c r="I83" i="13" s="1"/>
  <c r="E378" i="13"/>
  <c r="M99" i="13"/>
  <c r="G394" i="13"/>
  <c r="J99" i="13"/>
  <c r="G401" i="13"/>
  <c r="M106" i="13"/>
  <c r="J106" i="13"/>
  <c r="E324" i="13"/>
  <c r="F29" i="13"/>
  <c r="I29" i="13" s="1"/>
  <c r="G328" i="13"/>
  <c r="J33" i="13"/>
  <c r="M33" i="13"/>
  <c r="J114" i="13"/>
  <c r="G409" i="13"/>
  <c r="M114" i="13"/>
  <c r="G397" i="13"/>
  <c r="J102" i="13"/>
  <c r="M102" i="13"/>
  <c r="J406" i="13"/>
  <c r="K111" i="13"/>
  <c r="N111" i="13" s="1"/>
  <c r="O111" i="13" s="1"/>
  <c r="J103" i="13"/>
  <c r="I26" i="13"/>
  <c r="J72" i="13"/>
  <c r="K72" i="13" s="1"/>
  <c r="N72" i="13" s="1"/>
  <c r="O72" i="13" s="1"/>
  <c r="AQ111" i="13"/>
  <c r="AS111" i="13"/>
  <c r="AQ116" i="13"/>
  <c r="M26" i="13"/>
  <c r="M37" i="13"/>
  <c r="M118" i="13"/>
  <c r="E415" i="13"/>
  <c r="K115" i="13"/>
  <c r="N115" i="13" s="1"/>
  <c r="O115" i="13" s="1"/>
  <c r="AH115" i="13" s="1"/>
  <c r="J75" i="13"/>
  <c r="G370" i="13"/>
  <c r="F34" i="13"/>
  <c r="I34" i="13" s="1"/>
  <c r="E329" i="13"/>
  <c r="F38" i="13"/>
  <c r="I38" i="13" s="1"/>
  <c r="E333" i="13"/>
  <c r="F99" i="13"/>
  <c r="I99" i="13" s="1"/>
  <c r="E394" i="13"/>
  <c r="E339" i="13"/>
  <c r="F44" i="13"/>
  <c r="I44" i="13" s="1"/>
  <c r="J44" i="13"/>
  <c r="G350" i="13"/>
  <c r="I55" i="13"/>
  <c r="M55" i="13"/>
  <c r="M59" i="13"/>
  <c r="G354" i="13"/>
  <c r="G417" i="13"/>
  <c r="J122" i="13"/>
  <c r="M122" i="13"/>
  <c r="E317" i="13"/>
  <c r="F22" i="13"/>
  <c r="I22" i="13" s="1"/>
  <c r="M15" i="13"/>
  <c r="G310" i="13"/>
  <c r="I118" i="13"/>
  <c r="M65" i="13"/>
  <c r="G360" i="13"/>
  <c r="E385" i="13"/>
  <c r="F90" i="13"/>
  <c r="I90" i="13" s="1"/>
  <c r="E404" i="13"/>
  <c r="F109" i="13"/>
  <c r="I109" i="13" s="1"/>
  <c r="E326" i="13"/>
  <c r="F31" i="13"/>
  <c r="I31" i="13" s="1"/>
  <c r="G415" i="13"/>
  <c r="M120" i="13"/>
  <c r="E418" i="13"/>
  <c r="F123" i="13"/>
  <c r="I123" i="13" s="1"/>
  <c r="M56" i="13"/>
  <c r="G351" i="13"/>
  <c r="J56" i="13"/>
  <c r="M109" i="13"/>
  <c r="J109" i="13"/>
  <c r="G404" i="13"/>
  <c r="E330" i="13"/>
  <c r="F35" i="13"/>
  <c r="I35" i="13" s="1"/>
  <c r="G422" i="13"/>
  <c r="M127" i="13"/>
  <c r="M85" i="13"/>
  <c r="G380" i="13"/>
  <c r="J85" i="13"/>
  <c r="F93" i="13"/>
  <c r="I93" i="13" s="1"/>
  <c r="E388" i="13"/>
  <c r="AQ59" i="13"/>
  <c r="AS84" i="13"/>
  <c r="AS121" i="13"/>
  <c r="J65" i="13"/>
  <c r="K65" i="13" s="1"/>
  <c r="J127" i="13"/>
  <c r="K127" i="13" s="1"/>
  <c r="F10" i="13"/>
  <c r="I10" i="13" s="1"/>
  <c r="F45" i="13"/>
  <c r="I45" i="13" s="1"/>
  <c r="E340" i="13"/>
  <c r="M60" i="13"/>
  <c r="I60" i="13"/>
  <c r="G355" i="13"/>
  <c r="J60" i="13"/>
  <c r="J90" i="13"/>
  <c r="M90" i="13"/>
  <c r="G385" i="13"/>
  <c r="M31" i="13"/>
  <c r="J31" i="13"/>
  <c r="G326" i="13"/>
  <c r="J35" i="13"/>
  <c r="M123" i="13"/>
  <c r="G418" i="13"/>
  <c r="J123" i="13"/>
  <c r="AS89" i="13"/>
  <c r="AQ89" i="13"/>
  <c r="F89" i="13"/>
  <c r="I89" i="13" s="1"/>
  <c r="E384" i="13"/>
  <c r="J89" i="13"/>
  <c r="F56" i="13"/>
  <c r="I56" i="13" s="1"/>
  <c r="E351" i="13"/>
  <c r="M69" i="13"/>
  <c r="G364" i="13"/>
  <c r="E392" i="13"/>
  <c r="F97" i="13"/>
  <c r="I97" i="13" s="1"/>
  <c r="G408" i="13"/>
  <c r="M113" i="13"/>
  <c r="F124" i="13"/>
  <c r="I124" i="13" s="1"/>
  <c r="E419" i="13"/>
  <c r="J124" i="13"/>
  <c r="M16" i="13"/>
  <c r="G311" i="13"/>
  <c r="M20" i="13"/>
  <c r="G315" i="13"/>
  <c r="M24" i="13"/>
  <c r="G319" i="13"/>
  <c r="E322" i="13"/>
  <c r="F27" i="13"/>
  <c r="I27" i="13" s="1"/>
  <c r="M96" i="13"/>
  <c r="J96" i="13"/>
  <c r="G391" i="13"/>
  <c r="AS102" i="13"/>
  <c r="G366" i="13"/>
  <c r="J27" i="13"/>
  <c r="J322" i="13" s="1"/>
  <c r="F71" i="13"/>
  <c r="I71" i="13" s="1"/>
  <c r="E366" i="13"/>
  <c r="M100" i="13"/>
  <c r="G395" i="13"/>
  <c r="J100" i="13"/>
  <c r="E411" i="13"/>
  <c r="F116" i="13"/>
  <c r="I116" i="13" s="1"/>
  <c r="E309" i="13"/>
  <c r="F14" i="13"/>
  <c r="I14" i="13" s="1"/>
  <c r="J14" i="13"/>
  <c r="M71" i="13"/>
  <c r="I69" i="13"/>
  <c r="J20" i="13"/>
  <c r="J315" i="13" s="1"/>
  <c r="J120" i="13"/>
  <c r="K120" i="13" s="1"/>
  <c r="I96" i="13"/>
  <c r="F52" i="13"/>
  <c r="I52" i="13" s="1"/>
  <c r="E347" i="13"/>
  <c r="E354" i="13"/>
  <c r="J59" i="13"/>
  <c r="F59" i="13"/>
  <c r="I59" i="13" s="1"/>
  <c r="K82" i="13"/>
  <c r="N82" i="13" s="1"/>
  <c r="O82" i="13" s="1"/>
  <c r="J377" i="13"/>
  <c r="J108" i="13"/>
  <c r="I108" i="13"/>
  <c r="E380" i="13"/>
  <c r="F85" i="13"/>
  <c r="I85" i="13" s="1"/>
  <c r="G388" i="13"/>
  <c r="M93" i="13"/>
  <c r="J93" i="13"/>
  <c r="I20" i="13"/>
  <c r="I105" i="13"/>
  <c r="M105" i="13"/>
  <c r="G400" i="13"/>
  <c r="J105" i="13"/>
  <c r="E372" i="13"/>
  <c r="F77" i="13"/>
  <c r="I77" i="13" s="1"/>
  <c r="J77" i="13"/>
  <c r="E389" i="13"/>
  <c r="F94" i="13"/>
  <c r="I94" i="13" s="1"/>
  <c r="AS13" i="13"/>
  <c r="AQ13" i="13"/>
  <c r="AS20" i="13"/>
  <c r="AQ20" i="13"/>
  <c r="G318" i="13"/>
  <c r="M23" i="13"/>
  <c r="J23" i="13"/>
  <c r="AS31" i="13"/>
  <c r="AQ31" i="13"/>
  <c r="J79" i="13"/>
  <c r="G374" i="13"/>
  <c r="M79" i="13"/>
  <c r="J6" i="13"/>
  <c r="E382" i="13"/>
  <c r="F87" i="13"/>
  <c r="I87" i="13" s="1"/>
  <c r="E386" i="13"/>
  <c r="F91" i="13"/>
  <c r="I91" i="13" s="1"/>
  <c r="J91" i="13"/>
  <c r="K92" i="13"/>
  <c r="N92" i="13" s="1"/>
  <c r="O92" i="13" s="1"/>
  <c r="J411" i="13"/>
  <c r="K116" i="13"/>
  <c r="N116" i="13" s="1"/>
  <c r="O116" i="13" s="1"/>
  <c r="G308" i="13"/>
  <c r="J13" i="13"/>
  <c r="M13" i="13"/>
  <c r="AS19" i="13"/>
  <c r="AQ19" i="13"/>
  <c r="F19" i="13"/>
  <c r="I19" i="13" s="1"/>
  <c r="E314" i="13"/>
  <c r="AS24" i="13"/>
  <c r="AQ24" i="13"/>
  <c r="AS30" i="13"/>
  <c r="AQ30" i="13"/>
  <c r="G325" i="13"/>
  <c r="M30" i="13"/>
  <c r="J30" i="13"/>
  <c r="F68" i="13"/>
  <c r="I68" i="13" s="1"/>
  <c r="E363" i="13"/>
  <c r="E374" i="13"/>
  <c r="F79" i="13"/>
  <c r="I79" i="13" s="1"/>
  <c r="AS80" i="13"/>
  <c r="AQ80" i="13"/>
  <c r="G314" i="13"/>
  <c r="J19" i="13"/>
  <c r="M19" i="13"/>
  <c r="F424" i="13"/>
  <c r="D424" i="13"/>
  <c r="B424" i="13"/>
  <c r="I424" i="13"/>
  <c r="K424" i="13"/>
  <c r="N424" i="13" s="1"/>
  <c r="M11" i="13"/>
  <c r="J11" i="13"/>
  <c r="G306" i="13"/>
  <c r="AS78" i="13"/>
  <c r="AQ78" i="13"/>
  <c r="AS68" i="13"/>
  <c r="AQ68" i="13"/>
  <c r="AS14" i="13"/>
  <c r="AQ14" i="13"/>
  <c r="E308" i="13"/>
  <c r="F13" i="13"/>
  <c r="I13" i="13" s="1"/>
  <c r="AS23" i="13"/>
  <c r="AQ23" i="13"/>
  <c r="AS69" i="13"/>
  <c r="AQ69" i="13"/>
  <c r="E306" i="13"/>
  <c r="F11" i="13"/>
  <c r="I11" i="13" s="1"/>
  <c r="F39" i="13"/>
  <c r="I39" i="13" s="1"/>
  <c r="E334" i="13"/>
  <c r="J39" i="13"/>
  <c r="G389" i="13"/>
  <c r="J94" i="13"/>
  <c r="M94" i="13"/>
  <c r="K69" i="13"/>
  <c r="J364" i="13"/>
  <c r="AQ79" i="13"/>
  <c r="AS79" i="13"/>
  <c r="E318" i="13"/>
  <c r="F23" i="13"/>
  <c r="I23" i="13" s="1"/>
  <c r="E325" i="13"/>
  <c r="F30" i="13"/>
  <c r="I30" i="13" s="1"/>
  <c r="M68" i="13"/>
  <c r="G363" i="13"/>
  <c r="J68" i="13"/>
  <c r="K47" i="13" l="1"/>
  <c r="J408" i="13"/>
  <c r="J317" i="13"/>
  <c r="J368" i="13"/>
  <c r="K54" i="13"/>
  <c r="N54" i="13" s="1"/>
  <c r="O54" i="13" s="1"/>
  <c r="Q54" i="13" s="1"/>
  <c r="S54" i="13" s="1"/>
  <c r="U54" i="13" s="1"/>
  <c r="J336" i="13"/>
  <c r="J358" i="13"/>
  <c r="J323" i="13"/>
  <c r="J329" i="13"/>
  <c r="J392" i="13"/>
  <c r="J421" i="13"/>
  <c r="J383" i="13"/>
  <c r="N88" i="13"/>
  <c r="O88" i="13" s="1"/>
  <c r="AH88" i="13" s="1"/>
  <c r="N69" i="13"/>
  <c r="O69" i="13" s="1"/>
  <c r="Q69" i="13" s="1"/>
  <c r="S69" i="13" s="1"/>
  <c r="U69" i="13" s="1"/>
  <c r="K83" i="13"/>
  <c r="N83" i="13" s="1"/>
  <c r="O83" i="13" s="1"/>
  <c r="M378" i="13" s="1"/>
  <c r="K53" i="13"/>
  <c r="N53" i="13" s="1"/>
  <c r="O53" i="13" s="1"/>
  <c r="Q53" i="13" s="1"/>
  <c r="S53" i="13" s="1"/>
  <c r="U53" i="13" s="1"/>
  <c r="J422" i="13"/>
  <c r="K71" i="13"/>
  <c r="N71" i="13" s="1"/>
  <c r="O71" i="13" s="1"/>
  <c r="Q71" i="13" s="1"/>
  <c r="S71" i="13" s="1"/>
  <c r="U71" i="13" s="1"/>
  <c r="N125" i="13"/>
  <c r="O125" i="13" s="1"/>
  <c r="Q125" i="13" s="1"/>
  <c r="S125" i="13" s="1"/>
  <c r="U125" i="13" s="1"/>
  <c r="K81" i="13"/>
  <c r="N81" i="13" s="1"/>
  <c r="O81" i="13" s="1"/>
  <c r="Q81" i="13" s="1"/>
  <c r="S81" i="13" s="1"/>
  <c r="U81" i="13" s="1"/>
  <c r="K25" i="13"/>
  <c r="N25" i="13" s="1"/>
  <c r="O25" i="13" s="1"/>
  <c r="M320" i="13" s="1"/>
  <c r="K27" i="13"/>
  <c r="N27" i="13" s="1"/>
  <c r="O27" i="13" s="1"/>
  <c r="Q27" i="13" s="1"/>
  <c r="S27" i="13" s="1"/>
  <c r="U27" i="13" s="1"/>
  <c r="K74" i="13"/>
  <c r="N74" i="13" s="1"/>
  <c r="O74" i="13" s="1"/>
  <c r="M369" i="13" s="1"/>
  <c r="K119" i="13"/>
  <c r="N119" i="13" s="1"/>
  <c r="O119" i="13" s="1"/>
  <c r="AH119" i="13" s="1"/>
  <c r="N52" i="13"/>
  <c r="O52" i="13" s="1"/>
  <c r="Q52" i="13" s="1"/>
  <c r="S52" i="13" s="1"/>
  <c r="U52" i="13" s="1"/>
  <c r="J327" i="13"/>
  <c r="N70" i="13"/>
  <c r="O70" i="13" s="1"/>
  <c r="Q70" i="13" s="1"/>
  <c r="S70" i="13" s="1"/>
  <c r="U70" i="13" s="1"/>
  <c r="J365" i="13"/>
  <c r="K112" i="13"/>
  <c r="N112" i="13" s="1"/>
  <c r="O112" i="13" s="1"/>
  <c r="AH112" i="13" s="1"/>
  <c r="J341" i="13"/>
  <c r="J335" i="13"/>
  <c r="J344" i="13"/>
  <c r="Q115" i="13"/>
  <c r="S115" i="13" s="1"/>
  <c r="U115" i="13" s="1"/>
  <c r="M399" i="13"/>
  <c r="M410" i="13"/>
  <c r="K86" i="13"/>
  <c r="N86" i="13" s="1"/>
  <c r="O86" i="13" s="1"/>
  <c r="Q67" i="13"/>
  <c r="S67" i="13" s="1"/>
  <c r="U67" i="13" s="1"/>
  <c r="M362" i="13"/>
  <c r="AH67" i="13"/>
  <c r="J313" i="13"/>
  <c r="J347" i="13"/>
  <c r="N76" i="13"/>
  <c r="O76" i="13" s="1"/>
  <c r="M371" i="13" s="1"/>
  <c r="J362" i="13"/>
  <c r="K121" i="13"/>
  <c r="N121" i="13" s="1"/>
  <c r="O121" i="13" s="1"/>
  <c r="M416" i="13" s="1"/>
  <c r="J319" i="13"/>
  <c r="N37" i="13"/>
  <c r="O37" i="13" s="1"/>
  <c r="Q37" i="13" s="1"/>
  <c r="S37" i="13" s="1"/>
  <c r="U37" i="13" s="1"/>
  <c r="K36" i="13"/>
  <c r="N36" i="13" s="1"/>
  <c r="O36" i="13" s="1"/>
  <c r="Q36" i="13" s="1"/>
  <c r="S36" i="13" s="1"/>
  <c r="U36" i="13" s="1"/>
  <c r="J307" i="13"/>
  <c r="J415" i="13"/>
  <c r="K84" i="13"/>
  <c r="N84" i="13" s="1"/>
  <c r="O84" i="13" s="1"/>
  <c r="J405" i="13"/>
  <c r="K51" i="13"/>
  <c r="N51" i="13" s="1"/>
  <c r="O51" i="13" s="1"/>
  <c r="K64" i="13"/>
  <c r="N64" i="13" s="1"/>
  <c r="O64" i="13" s="1"/>
  <c r="AH64" i="13" s="1"/>
  <c r="N73" i="13"/>
  <c r="O73" i="13" s="1"/>
  <c r="AH73" i="13" s="1"/>
  <c r="K45" i="13"/>
  <c r="N45" i="13" s="1"/>
  <c r="O45" i="13" s="1"/>
  <c r="J420" i="13"/>
  <c r="K95" i="13"/>
  <c r="N95" i="13" s="1"/>
  <c r="O95" i="13" s="1"/>
  <c r="Q10" i="13"/>
  <c r="S10" i="13" s="1"/>
  <c r="K57" i="13"/>
  <c r="N57" i="13" s="1"/>
  <c r="O57" i="13" s="1"/>
  <c r="Q57" i="13" s="1"/>
  <c r="S57" i="13" s="1"/>
  <c r="U57" i="13" s="1"/>
  <c r="K87" i="13"/>
  <c r="N87" i="13" s="1"/>
  <c r="O87" i="13" s="1"/>
  <c r="AH87" i="13" s="1"/>
  <c r="K80" i="13"/>
  <c r="N80" i="13" s="1"/>
  <c r="O80" i="13" s="1"/>
  <c r="Q80" i="13" s="1"/>
  <c r="S80" i="13" s="1"/>
  <c r="U80" i="13" s="1"/>
  <c r="N63" i="13"/>
  <c r="O63" i="13" s="1"/>
  <c r="Q63" i="13" s="1"/>
  <c r="S63" i="13" s="1"/>
  <c r="U63" i="13" s="1"/>
  <c r="N21" i="13"/>
  <c r="O21" i="13" s="1"/>
  <c r="M316" i="13" s="1"/>
  <c r="N18" i="13"/>
  <c r="O18" i="13" s="1"/>
  <c r="AH18" i="13" s="1"/>
  <c r="N49" i="13"/>
  <c r="O49" i="13" s="1"/>
  <c r="Q49" i="13" s="1"/>
  <c r="S49" i="13" s="1"/>
  <c r="U49" i="13" s="1"/>
  <c r="M305" i="13"/>
  <c r="N126" i="13"/>
  <c r="O126" i="13" s="1"/>
  <c r="M421" i="13" s="1"/>
  <c r="J361" i="13"/>
  <c r="K66" i="13"/>
  <c r="N66" i="13" s="1"/>
  <c r="O66" i="13" s="1"/>
  <c r="J316" i="13"/>
  <c r="AH104" i="13"/>
  <c r="J367" i="13"/>
  <c r="N40" i="13"/>
  <c r="O40" i="13" s="1"/>
  <c r="K58" i="13"/>
  <c r="N58" i="13" s="1"/>
  <c r="O58" i="13" s="1"/>
  <c r="J353" i="13"/>
  <c r="K20" i="13"/>
  <c r="N20" i="13" s="1"/>
  <c r="O20" i="13" s="1"/>
  <c r="J332" i="13"/>
  <c r="J360" i="13"/>
  <c r="K17" i="13"/>
  <c r="N17" i="13" s="1"/>
  <c r="O17" i="13" s="1"/>
  <c r="J312" i="13"/>
  <c r="J371" i="13"/>
  <c r="K62" i="13"/>
  <c r="N62" i="13" s="1"/>
  <c r="O62" i="13" s="1"/>
  <c r="M357" i="13" s="1"/>
  <c r="K50" i="13"/>
  <c r="N50" i="13" s="1"/>
  <c r="O50" i="13" s="1"/>
  <c r="M345" i="13" s="1"/>
  <c r="N113" i="13"/>
  <c r="O113" i="13" s="1"/>
  <c r="Q113" i="13" s="1"/>
  <c r="S113" i="13" s="1"/>
  <c r="U113" i="13" s="1"/>
  <c r="N97" i="13"/>
  <c r="O97" i="13" s="1"/>
  <c r="AH97" i="13" s="1"/>
  <c r="N47" i="13"/>
  <c r="O47" i="13" s="1"/>
  <c r="M342" i="13" s="1"/>
  <c r="N127" i="13"/>
  <c r="O127" i="13" s="1"/>
  <c r="Q127" i="13" s="1"/>
  <c r="S127" i="13" s="1"/>
  <c r="U127" i="13" s="1"/>
  <c r="N48" i="13"/>
  <c r="O48" i="13" s="1"/>
  <c r="AH48" i="13" s="1"/>
  <c r="K118" i="13"/>
  <c r="N118" i="13" s="1"/>
  <c r="O118" i="13" s="1"/>
  <c r="M413" i="13" s="1"/>
  <c r="K78" i="13"/>
  <c r="N78" i="13" s="1"/>
  <c r="O78" i="13" s="1"/>
  <c r="AH78" i="13" s="1"/>
  <c r="J373" i="13"/>
  <c r="J402" i="13"/>
  <c r="K107" i="13"/>
  <c r="N107" i="13" s="1"/>
  <c r="O107" i="13" s="1"/>
  <c r="J343" i="13"/>
  <c r="K117" i="13"/>
  <c r="N117" i="13" s="1"/>
  <c r="O117" i="13" s="1"/>
  <c r="J412" i="13"/>
  <c r="K101" i="13"/>
  <c r="N101" i="13" s="1"/>
  <c r="O101" i="13" s="1"/>
  <c r="M396" i="13" s="1"/>
  <c r="N110" i="13"/>
  <c r="O110" i="13" s="1"/>
  <c r="Q110" i="13" s="1"/>
  <c r="S110" i="13" s="1"/>
  <c r="U110" i="13" s="1"/>
  <c r="K16" i="13"/>
  <c r="N16" i="13" s="1"/>
  <c r="O16" i="13" s="1"/>
  <c r="AH16" i="13" s="1"/>
  <c r="K42" i="13"/>
  <c r="N42" i="13" s="1"/>
  <c r="O42" i="13" s="1"/>
  <c r="J337" i="13"/>
  <c r="J356" i="13"/>
  <c r="K61" i="13"/>
  <c r="N61" i="13" s="1"/>
  <c r="O61" i="13" s="1"/>
  <c r="Q61" i="13" s="1"/>
  <c r="S61" i="13" s="1"/>
  <c r="U61" i="13" s="1"/>
  <c r="K43" i="13"/>
  <c r="N43" i="13" s="1"/>
  <c r="O43" i="13" s="1"/>
  <c r="J338" i="13"/>
  <c r="AH111" i="13"/>
  <c r="Q111" i="13"/>
  <c r="S111" i="13" s="1"/>
  <c r="U111" i="13" s="1"/>
  <c r="M406" i="13"/>
  <c r="K122" i="13"/>
  <c r="N122" i="13" s="1"/>
  <c r="O122" i="13" s="1"/>
  <c r="J417" i="13"/>
  <c r="K103" i="13"/>
  <c r="N103" i="13" s="1"/>
  <c r="O103" i="13" s="1"/>
  <c r="J398" i="13"/>
  <c r="J393" i="13"/>
  <c r="K98" i="13"/>
  <c r="N98" i="13" s="1"/>
  <c r="O98" i="13" s="1"/>
  <c r="K38" i="13"/>
  <c r="N38" i="13" s="1"/>
  <c r="O38" i="13" s="1"/>
  <c r="J333" i="13"/>
  <c r="Q32" i="13"/>
  <c r="S32" i="13" s="1"/>
  <c r="U32" i="13" s="1"/>
  <c r="K75" i="13"/>
  <c r="N75" i="13" s="1"/>
  <c r="O75" i="13" s="1"/>
  <c r="J370" i="13"/>
  <c r="J397" i="13"/>
  <c r="K102" i="13"/>
  <c r="N102" i="13" s="1"/>
  <c r="O102" i="13" s="1"/>
  <c r="K29" i="13"/>
  <c r="N29" i="13" s="1"/>
  <c r="O29" i="13" s="1"/>
  <c r="J324" i="13"/>
  <c r="N55" i="13"/>
  <c r="O55" i="13" s="1"/>
  <c r="AH32" i="13"/>
  <c r="N120" i="13"/>
  <c r="O120" i="13" s="1"/>
  <c r="Q120" i="13" s="1"/>
  <c r="S120" i="13" s="1"/>
  <c r="U120" i="13" s="1"/>
  <c r="K26" i="13"/>
  <c r="N26" i="13" s="1"/>
  <c r="O26" i="13" s="1"/>
  <c r="Q26" i="13" s="1"/>
  <c r="S26" i="13" s="1"/>
  <c r="U26" i="13" s="1"/>
  <c r="N24" i="13"/>
  <c r="O24" i="13" s="1"/>
  <c r="Q24" i="13" s="1"/>
  <c r="S24" i="13" s="1"/>
  <c r="U24" i="13" s="1"/>
  <c r="K99" i="13"/>
  <c r="N99" i="13" s="1"/>
  <c r="O99" i="13" s="1"/>
  <c r="J394" i="13"/>
  <c r="J310" i="13"/>
  <c r="K15" i="13"/>
  <c r="N15" i="13" s="1"/>
  <c r="O15" i="13" s="1"/>
  <c r="J409" i="13"/>
  <c r="K114" i="13"/>
  <c r="N65" i="13"/>
  <c r="O65" i="13" s="1"/>
  <c r="AH65" i="13" s="1"/>
  <c r="K44" i="13"/>
  <c r="N44" i="13" s="1"/>
  <c r="O44" i="13" s="1"/>
  <c r="J339" i="13"/>
  <c r="N114" i="13"/>
  <c r="O114" i="13" s="1"/>
  <c r="K33" i="13"/>
  <c r="N33" i="13" s="1"/>
  <c r="O33" i="13" s="1"/>
  <c r="J328" i="13"/>
  <c r="K106" i="13"/>
  <c r="N106" i="13" s="1"/>
  <c r="O106" i="13" s="1"/>
  <c r="J401" i="13"/>
  <c r="Q72" i="13"/>
  <c r="S72" i="13" s="1"/>
  <c r="U72" i="13" s="1"/>
  <c r="M367" i="13"/>
  <c r="AH72" i="13"/>
  <c r="J388" i="13"/>
  <c r="K93" i="13"/>
  <c r="N93" i="13" s="1"/>
  <c r="O93" i="13" s="1"/>
  <c r="J354" i="13"/>
  <c r="K59" i="13"/>
  <c r="N59" i="13" s="1"/>
  <c r="O59" i="13" s="1"/>
  <c r="J418" i="13"/>
  <c r="K123" i="13"/>
  <c r="N123" i="13" s="1"/>
  <c r="O123" i="13" s="1"/>
  <c r="J326" i="13"/>
  <c r="K31" i="13"/>
  <c r="N31" i="13" s="1"/>
  <c r="O31" i="13" s="1"/>
  <c r="K14" i="13"/>
  <c r="N14" i="13" s="1"/>
  <c r="O14" i="13" s="1"/>
  <c r="J309" i="13"/>
  <c r="K96" i="13"/>
  <c r="N96" i="13" s="1"/>
  <c r="O96" i="13" s="1"/>
  <c r="J391" i="13"/>
  <c r="AH82" i="13"/>
  <c r="M377" i="13"/>
  <c r="Q82" i="13"/>
  <c r="S82" i="13" s="1"/>
  <c r="U82" i="13" s="1"/>
  <c r="J395" i="13"/>
  <c r="K100" i="13"/>
  <c r="N100" i="13" s="1"/>
  <c r="O100" i="13" s="1"/>
  <c r="J384" i="13"/>
  <c r="K89" i="13"/>
  <c r="N89" i="13" s="1"/>
  <c r="O89" i="13" s="1"/>
  <c r="J355" i="13"/>
  <c r="K60" i="13"/>
  <c r="N60" i="13" s="1"/>
  <c r="O60" i="13" s="1"/>
  <c r="J403" i="13"/>
  <c r="K108" i="13"/>
  <c r="N108" i="13" s="1"/>
  <c r="O108" i="13" s="1"/>
  <c r="M336" i="13"/>
  <c r="Q41" i="13"/>
  <c r="S41" i="13" s="1"/>
  <c r="U41" i="13" s="1"/>
  <c r="AH41" i="13"/>
  <c r="M323" i="13"/>
  <c r="AH28" i="13"/>
  <c r="Q28" i="13"/>
  <c r="S28" i="13" s="1"/>
  <c r="U28" i="13" s="1"/>
  <c r="K90" i="13"/>
  <c r="N90" i="13" s="1"/>
  <c r="O90" i="13" s="1"/>
  <c r="J385" i="13"/>
  <c r="K56" i="13"/>
  <c r="N56" i="13" s="1"/>
  <c r="O56" i="13" s="1"/>
  <c r="J351" i="13"/>
  <c r="AH34" i="13"/>
  <c r="M329" i="13"/>
  <c r="Q34" i="13"/>
  <c r="S34" i="13" s="1"/>
  <c r="U34" i="13" s="1"/>
  <c r="J419" i="13"/>
  <c r="K124" i="13"/>
  <c r="N124" i="13" s="1"/>
  <c r="O124" i="13" s="1"/>
  <c r="K35" i="13"/>
  <c r="N35" i="13" s="1"/>
  <c r="O35" i="13" s="1"/>
  <c r="J330" i="13"/>
  <c r="K85" i="13"/>
  <c r="N85" i="13" s="1"/>
  <c r="O85" i="13" s="1"/>
  <c r="J380" i="13"/>
  <c r="J404" i="13"/>
  <c r="K109" i="13"/>
  <c r="N109" i="13" s="1"/>
  <c r="O109" i="13" s="1"/>
  <c r="J325" i="13"/>
  <c r="K30" i="13"/>
  <c r="N30" i="13" s="1"/>
  <c r="O30" i="13" s="1"/>
  <c r="Q116" i="13"/>
  <c r="S116" i="13" s="1"/>
  <c r="U116" i="13" s="1"/>
  <c r="AH116" i="13"/>
  <c r="M411" i="13"/>
  <c r="K77" i="13"/>
  <c r="N77" i="13" s="1"/>
  <c r="O77" i="13" s="1"/>
  <c r="J372" i="13"/>
  <c r="J363" i="13"/>
  <c r="K68" i="13"/>
  <c r="N68" i="13" s="1"/>
  <c r="O68" i="13" s="1"/>
  <c r="M307" i="13"/>
  <c r="AH12" i="13"/>
  <c r="Q12" i="13"/>
  <c r="S12" i="13" s="1"/>
  <c r="U12" i="13" s="1"/>
  <c r="J386" i="13"/>
  <c r="K91" i="13"/>
  <c r="N91" i="13" s="1"/>
  <c r="O91" i="13" s="1"/>
  <c r="M317" i="13"/>
  <c r="AH22" i="13"/>
  <c r="Q22" i="13"/>
  <c r="S22" i="13" s="1"/>
  <c r="U22" i="13" s="1"/>
  <c r="Q92" i="13"/>
  <c r="S92" i="13" s="1"/>
  <c r="U92" i="13" s="1"/>
  <c r="AH92" i="13"/>
  <c r="M387" i="13"/>
  <c r="Q46" i="13"/>
  <c r="S46" i="13" s="1"/>
  <c r="U46" i="13" s="1"/>
  <c r="AH46" i="13"/>
  <c r="M341" i="13"/>
  <c r="K39" i="13"/>
  <c r="N39" i="13" s="1"/>
  <c r="O39" i="13" s="1"/>
  <c r="J334" i="13"/>
  <c r="K11" i="13"/>
  <c r="N11" i="13" s="1"/>
  <c r="O11" i="13" s="1"/>
  <c r="J306" i="13"/>
  <c r="K13" i="13"/>
  <c r="N13" i="13" s="1"/>
  <c r="O13" i="13" s="1"/>
  <c r="J308" i="13"/>
  <c r="O5" i="13"/>
  <c r="O6" i="13"/>
  <c r="M6" i="13"/>
  <c r="K94" i="13"/>
  <c r="N94" i="13" s="1"/>
  <c r="O94" i="13" s="1"/>
  <c r="J389" i="13"/>
  <c r="B425" i="13"/>
  <c r="I425" i="13"/>
  <c r="D425" i="13"/>
  <c r="K425" i="13"/>
  <c r="N425" i="13" s="1"/>
  <c r="F425" i="13"/>
  <c r="J314" i="13"/>
  <c r="K19" i="13"/>
  <c r="N19" i="13" s="1"/>
  <c r="O19" i="13" s="1"/>
  <c r="K79" i="13"/>
  <c r="N79" i="13" s="1"/>
  <c r="O79" i="13" s="1"/>
  <c r="J374" i="13"/>
  <c r="K23" i="13"/>
  <c r="N23" i="13" s="1"/>
  <c r="O23" i="13" s="1"/>
  <c r="J318" i="13"/>
  <c r="K105" i="13"/>
  <c r="N105" i="13" s="1"/>
  <c r="O105" i="13" s="1"/>
  <c r="J400" i="13"/>
  <c r="U10" i="13" l="1"/>
  <c r="AH54" i="13"/>
  <c r="Q119" i="13"/>
  <c r="S119" i="13" s="1"/>
  <c r="U119" i="13" s="1"/>
  <c r="M349" i="13"/>
  <c r="Q76" i="13"/>
  <c r="S76" i="13" s="1"/>
  <c r="U76" i="13" s="1"/>
  <c r="AH69" i="13"/>
  <c r="M383" i="13"/>
  <c r="Q88" i="13"/>
  <c r="S88" i="13" s="1"/>
  <c r="U88" i="13" s="1"/>
  <c r="AH83" i="13"/>
  <c r="AH125" i="13"/>
  <c r="AH101" i="13"/>
  <c r="M364" i="13"/>
  <c r="Q83" i="13"/>
  <c r="S83" i="13" s="1"/>
  <c r="U83" i="13" s="1"/>
  <c r="M322" i="13"/>
  <c r="M420" i="13"/>
  <c r="AH52" i="13"/>
  <c r="M375" i="13"/>
  <c r="AH110" i="13"/>
  <c r="AI111" i="13" s="1"/>
  <c r="M348" i="13"/>
  <c r="AH81" i="13"/>
  <c r="AI82" i="13" s="1"/>
  <c r="AH21" i="13"/>
  <c r="AI22" i="13" s="1"/>
  <c r="AH121" i="13"/>
  <c r="AH24" i="13"/>
  <c r="M376" i="13"/>
  <c r="M352" i="13"/>
  <c r="AH37" i="13"/>
  <c r="AH53" i="13"/>
  <c r="Q65" i="13"/>
  <c r="S65" i="13" s="1"/>
  <c r="U65" i="13" s="1"/>
  <c r="AH127" i="13"/>
  <c r="M344" i="13"/>
  <c r="M422" i="13"/>
  <c r="M347" i="13"/>
  <c r="M414" i="13"/>
  <c r="AH25" i="13"/>
  <c r="M331" i="13"/>
  <c r="Q86" i="13"/>
  <c r="S86" i="13" s="1"/>
  <c r="U86" i="13" s="1"/>
  <c r="AH86" i="13"/>
  <c r="Q21" i="13"/>
  <c r="S21" i="13" s="1"/>
  <c r="U21" i="13" s="1"/>
  <c r="Q74" i="13"/>
  <c r="S74" i="13" s="1"/>
  <c r="U74" i="13" s="1"/>
  <c r="Q121" i="13"/>
  <c r="S121" i="13" s="1"/>
  <c r="U121" i="13" s="1"/>
  <c r="M407" i="13"/>
  <c r="AH74" i="13"/>
  <c r="AI74" i="13" s="1"/>
  <c r="AH126" i="13"/>
  <c r="AH27" i="13"/>
  <c r="AI28" i="13" s="1"/>
  <c r="M368" i="13"/>
  <c r="Q112" i="13"/>
  <c r="S112" i="13" s="1"/>
  <c r="U112" i="13" s="1"/>
  <c r="M365" i="13"/>
  <c r="Q97" i="13"/>
  <c r="S97" i="13" s="1"/>
  <c r="U97" i="13" s="1"/>
  <c r="Q64" i="13"/>
  <c r="S64" i="13" s="1"/>
  <c r="U64" i="13" s="1"/>
  <c r="AH57" i="13"/>
  <c r="Q73" i="13"/>
  <c r="S73" i="13" s="1"/>
  <c r="U73" i="13" s="1"/>
  <c r="AH63" i="13"/>
  <c r="Q25" i="13"/>
  <c r="S25" i="13" s="1"/>
  <c r="U25" i="13" s="1"/>
  <c r="AI112" i="13"/>
  <c r="AH70" i="13"/>
  <c r="AH61" i="13"/>
  <c r="AH80" i="13"/>
  <c r="AH36" i="13"/>
  <c r="AI37" i="13" s="1"/>
  <c r="AH71" i="13"/>
  <c r="AI72" i="13" s="1"/>
  <c r="M359" i="13"/>
  <c r="AH49" i="13"/>
  <c r="AI49" i="13" s="1"/>
  <c r="M366" i="13"/>
  <c r="M415" i="13"/>
  <c r="M321" i="13"/>
  <c r="M319" i="13"/>
  <c r="Q50" i="13"/>
  <c r="S50" i="13" s="1"/>
  <c r="U50" i="13" s="1"/>
  <c r="AH45" i="13"/>
  <c r="AI46" i="13" s="1"/>
  <c r="Q45" i="13"/>
  <c r="S45" i="13" s="1"/>
  <c r="U45" i="13" s="1"/>
  <c r="AI87" i="13"/>
  <c r="M313" i="13"/>
  <c r="AH76" i="13"/>
  <c r="Q101" i="13"/>
  <c r="S101" i="13" s="1"/>
  <c r="U101" i="13" s="1"/>
  <c r="M332" i="13"/>
  <c r="Q126" i="13"/>
  <c r="S126" i="13" s="1"/>
  <c r="U126" i="13" s="1"/>
  <c r="AI71" i="13"/>
  <c r="M381" i="13"/>
  <c r="M379" i="13"/>
  <c r="Q84" i="13"/>
  <c r="S84" i="13" s="1"/>
  <c r="U84" i="13" s="1"/>
  <c r="AH84" i="13"/>
  <c r="M382" i="13"/>
  <c r="M346" i="13"/>
  <c r="Q51" i="13"/>
  <c r="S51" i="13" s="1"/>
  <c r="U51" i="13" s="1"/>
  <c r="AH51" i="13"/>
  <c r="Q18" i="13"/>
  <c r="S18" i="13" s="1"/>
  <c r="U18" i="13" s="1"/>
  <c r="Q87" i="13"/>
  <c r="S87" i="13" s="1"/>
  <c r="U87" i="13" s="1"/>
  <c r="Q47" i="13"/>
  <c r="S47" i="13" s="1"/>
  <c r="U47" i="13" s="1"/>
  <c r="Q62" i="13"/>
  <c r="S62" i="13" s="1"/>
  <c r="U62" i="13" s="1"/>
  <c r="AH47" i="13"/>
  <c r="AI48" i="13" s="1"/>
  <c r="Q95" i="13"/>
  <c r="S95" i="13" s="1"/>
  <c r="U95" i="13" s="1"/>
  <c r="AH95" i="13"/>
  <c r="M390" i="13"/>
  <c r="M408" i="13"/>
  <c r="M358" i="13"/>
  <c r="AH40" i="13"/>
  <c r="AI41" i="13" s="1"/>
  <c r="Q40" i="13"/>
  <c r="S40" i="13" s="1"/>
  <c r="U40" i="13" s="1"/>
  <c r="M335" i="13"/>
  <c r="M340" i="13"/>
  <c r="AH66" i="13"/>
  <c r="AI67" i="13" s="1"/>
  <c r="M361" i="13"/>
  <c r="Q66" i="13"/>
  <c r="S66" i="13" s="1"/>
  <c r="U66" i="13" s="1"/>
  <c r="AH118" i="13"/>
  <c r="AH113" i="13"/>
  <c r="AI113" i="13" s="1"/>
  <c r="M356" i="13"/>
  <c r="M312" i="13"/>
  <c r="Q17" i="13"/>
  <c r="S17" i="13" s="1"/>
  <c r="U17" i="13" s="1"/>
  <c r="AH17" i="13"/>
  <c r="AI18" i="13" s="1"/>
  <c r="Q58" i="13"/>
  <c r="S58" i="13" s="1"/>
  <c r="U58" i="13" s="1"/>
  <c r="M353" i="13"/>
  <c r="AH58" i="13"/>
  <c r="AH20" i="13"/>
  <c r="Q20" i="13"/>
  <c r="S20" i="13" s="1"/>
  <c r="U20" i="13" s="1"/>
  <c r="M392" i="13"/>
  <c r="M343" i="13"/>
  <c r="Q118" i="13"/>
  <c r="S118" i="13" s="1"/>
  <c r="U118" i="13" s="1"/>
  <c r="AH62" i="13"/>
  <c r="AH50" i="13"/>
  <c r="Q48" i="13"/>
  <c r="S48" i="13" s="1"/>
  <c r="U48" i="13" s="1"/>
  <c r="Q78" i="13"/>
  <c r="S78" i="13" s="1"/>
  <c r="U78" i="13" s="1"/>
  <c r="M373" i="13"/>
  <c r="AH107" i="13"/>
  <c r="M402" i="13"/>
  <c r="Q107" i="13"/>
  <c r="S107" i="13" s="1"/>
  <c r="U107" i="13" s="1"/>
  <c r="M405" i="13"/>
  <c r="Q117" i="13"/>
  <c r="S117" i="13" s="1"/>
  <c r="U117" i="13" s="1"/>
  <c r="AH117" i="13"/>
  <c r="AI117" i="13" s="1"/>
  <c r="M412" i="13"/>
  <c r="AH26" i="13"/>
  <c r="M311" i="13"/>
  <c r="AH42" i="13"/>
  <c r="AI42" i="13" s="1"/>
  <c r="Q42" i="13"/>
  <c r="S42" i="13" s="1"/>
  <c r="U42" i="13" s="1"/>
  <c r="M337" i="13"/>
  <c r="Q16" i="13"/>
  <c r="S16" i="13" s="1"/>
  <c r="U16" i="13" s="1"/>
  <c r="AI65" i="13"/>
  <c r="M338" i="13"/>
  <c r="Q43" i="13"/>
  <c r="S43" i="13" s="1"/>
  <c r="U43" i="13" s="1"/>
  <c r="AH43" i="13"/>
  <c r="AH99" i="13"/>
  <c r="M394" i="13"/>
  <c r="Q99" i="13"/>
  <c r="S99" i="13" s="1"/>
  <c r="U99" i="13" s="1"/>
  <c r="AH29" i="13"/>
  <c r="Q29" i="13"/>
  <c r="S29" i="13" s="1"/>
  <c r="U29" i="13" s="1"/>
  <c r="M324" i="13"/>
  <c r="M339" i="13"/>
  <c r="AH44" i="13"/>
  <c r="AI44" i="13" s="1"/>
  <c r="Q44" i="13"/>
  <c r="S44" i="13" s="1"/>
  <c r="U44" i="13" s="1"/>
  <c r="Q106" i="13"/>
  <c r="S106" i="13" s="1"/>
  <c r="U106" i="13" s="1"/>
  <c r="AH106" i="13"/>
  <c r="M401" i="13"/>
  <c r="M328" i="13"/>
  <c r="Q33" i="13"/>
  <c r="S33" i="13" s="1"/>
  <c r="U33" i="13" s="1"/>
  <c r="AH33" i="13"/>
  <c r="AI33" i="13" s="1"/>
  <c r="AH120" i="13"/>
  <c r="AI120" i="13" s="1"/>
  <c r="M360" i="13"/>
  <c r="AH114" i="13"/>
  <c r="M409" i="13"/>
  <c r="Q114" i="13"/>
  <c r="S114" i="13" s="1"/>
  <c r="U114" i="13" s="1"/>
  <c r="AH98" i="13"/>
  <c r="AI98" i="13" s="1"/>
  <c r="Q98" i="13"/>
  <c r="S98" i="13" s="1"/>
  <c r="U98" i="13" s="1"/>
  <c r="M393" i="13"/>
  <c r="Q75" i="13"/>
  <c r="S75" i="13" s="1"/>
  <c r="U75" i="13" s="1"/>
  <c r="M370" i="13"/>
  <c r="AH75" i="13"/>
  <c r="M333" i="13"/>
  <c r="Q38" i="13"/>
  <c r="S38" i="13" s="1"/>
  <c r="U38" i="13" s="1"/>
  <c r="AH38" i="13"/>
  <c r="Q103" i="13"/>
  <c r="S103" i="13" s="1"/>
  <c r="U103" i="13" s="1"/>
  <c r="M398" i="13"/>
  <c r="AH103" i="13"/>
  <c r="AH15" i="13"/>
  <c r="AI16" i="13" s="1"/>
  <c r="M310" i="13"/>
  <c r="Q15" i="13"/>
  <c r="S15" i="13" s="1"/>
  <c r="U15" i="13" s="1"/>
  <c r="M417" i="13"/>
  <c r="AH122" i="13"/>
  <c r="Q122" i="13"/>
  <c r="S122" i="13" s="1"/>
  <c r="U122" i="13" s="1"/>
  <c r="M315" i="13"/>
  <c r="AI29" i="13"/>
  <c r="Q55" i="13"/>
  <c r="S55" i="13" s="1"/>
  <c r="U55" i="13" s="1"/>
  <c r="AH55" i="13"/>
  <c r="AI55" i="13" s="1"/>
  <c r="M350" i="13"/>
  <c r="AH102" i="13"/>
  <c r="M397" i="13"/>
  <c r="Q102" i="13"/>
  <c r="S102" i="13" s="1"/>
  <c r="U102" i="13" s="1"/>
  <c r="AH60" i="13"/>
  <c r="Q60" i="13"/>
  <c r="S60" i="13" s="1"/>
  <c r="U60" i="13" s="1"/>
  <c r="M355" i="13"/>
  <c r="Q109" i="13"/>
  <c r="S109" i="13" s="1"/>
  <c r="U109" i="13" s="1"/>
  <c r="M404" i="13"/>
  <c r="AH109" i="13"/>
  <c r="M380" i="13"/>
  <c r="AH85" i="13"/>
  <c r="Q85" i="13"/>
  <c r="S85" i="13" s="1"/>
  <c r="U85" i="13" s="1"/>
  <c r="M351" i="13"/>
  <c r="AH56" i="13"/>
  <c r="Q56" i="13"/>
  <c r="S56" i="13" s="1"/>
  <c r="U56" i="13" s="1"/>
  <c r="Q89" i="13"/>
  <c r="S89" i="13" s="1"/>
  <c r="U89" i="13" s="1"/>
  <c r="M384" i="13"/>
  <c r="AH89" i="13"/>
  <c r="AI89" i="13" s="1"/>
  <c r="M354" i="13"/>
  <c r="AH59" i="13"/>
  <c r="Q59" i="13"/>
  <c r="S59" i="13" s="1"/>
  <c r="U59" i="13" s="1"/>
  <c r="AH31" i="13"/>
  <c r="AI32" i="13" s="1"/>
  <c r="Q31" i="13"/>
  <c r="S31" i="13" s="1"/>
  <c r="U31" i="13" s="1"/>
  <c r="M326" i="13"/>
  <c r="M330" i="13"/>
  <c r="Q35" i="13"/>
  <c r="S35" i="13" s="1"/>
  <c r="U35" i="13" s="1"/>
  <c r="AH35" i="13"/>
  <c r="AH90" i="13"/>
  <c r="M385" i="13"/>
  <c r="Q90" i="13"/>
  <c r="S90" i="13" s="1"/>
  <c r="U90" i="13" s="1"/>
  <c r="AI73" i="13"/>
  <c r="Q14" i="13"/>
  <c r="S14" i="13" s="1"/>
  <c r="U14" i="13" s="1"/>
  <c r="AH14" i="13"/>
  <c r="M309" i="13"/>
  <c r="M418" i="13"/>
  <c r="AH123" i="13"/>
  <c r="Q123" i="13"/>
  <c r="S123" i="13" s="1"/>
  <c r="U123" i="13" s="1"/>
  <c r="AH124" i="13"/>
  <c r="Q124" i="13"/>
  <c r="S124" i="13" s="1"/>
  <c r="U124" i="13" s="1"/>
  <c r="M419" i="13"/>
  <c r="M391" i="13"/>
  <c r="Q96" i="13"/>
  <c r="S96" i="13" s="1"/>
  <c r="U96" i="13" s="1"/>
  <c r="AH96" i="13"/>
  <c r="AH108" i="13"/>
  <c r="Q108" i="13"/>
  <c r="S108" i="13" s="1"/>
  <c r="U108" i="13" s="1"/>
  <c r="M403" i="13"/>
  <c r="Q100" i="13"/>
  <c r="S100" i="13" s="1"/>
  <c r="U100" i="13" s="1"/>
  <c r="AH100" i="13"/>
  <c r="M395" i="13"/>
  <c r="AH93" i="13"/>
  <c r="AI93" i="13" s="1"/>
  <c r="Q93" i="13"/>
  <c r="S93" i="13" s="1"/>
  <c r="U93" i="13" s="1"/>
  <c r="M388" i="13"/>
  <c r="AH94" i="13"/>
  <c r="M389" i="13"/>
  <c r="Q94" i="13"/>
  <c r="S94" i="13" s="1"/>
  <c r="U94" i="13" s="1"/>
  <c r="Q13" i="13"/>
  <c r="S13" i="13" s="1"/>
  <c r="U13" i="13" s="1"/>
  <c r="M308" i="13"/>
  <c r="AH13" i="13"/>
  <c r="Q79" i="13"/>
  <c r="S79" i="13" s="1"/>
  <c r="U79" i="13" s="1"/>
  <c r="M374" i="13"/>
  <c r="AH79" i="13"/>
  <c r="Q105" i="13"/>
  <c r="S105" i="13" s="1"/>
  <c r="U105" i="13" s="1"/>
  <c r="AH105" i="13"/>
  <c r="M400" i="13"/>
  <c r="M318" i="13"/>
  <c r="AH23" i="13"/>
  <c r="Q23" i="13"/>
  <c r="S23" i="13" s="1"/>
  <c r="U23" i="13" s="1"/>
  <c r="M314" i="13"/>
  <c r="AH19" i="13"/>
  <c r="AI19" i="13" s="1"/>
  <c r="Q19" i="13"/>
  <c r="S19" i="13" s="1"/>
  <c r="U19" i="13" s="1"/>
  <c r="M363" i="13"/>
  <c r="AH68" i="13"/>
  <c r="AI68" i="13" s="1"/>
  <c r="Q68" i="13"/>
  <c r="S68" i="13" s="1"/>
  <c r="U68" i="13" s="1"/>
  <c r="AI83" i="13"/>
  <c r="AI116" i="13"/>
  <c r="Q11" i="13"/>
  <c r="S11" i="13" s="1"/>
  <c r="AH11" i="13"/>
  <c r="AI11" i="13" s="1"/>
  <c r="M306" i="13"/>
  <c r="M386" i="13"/>
  <c r="AH91" i="13"/>
  <c r="Q91" i="13"/>
  <c r="S91" i="13" s="1"/>
  <c r="U91" i="13" s="1"/>
  <c r="AI88" i="13"/>
  <c r="D426" i="13"/>
  <c r="I426" i="13"/>
  <c r="K426" i="13"/>
  <c r="N426" i="13" s="1"/>
  <c r="F426" i="13"/>
  <c r="B426" i="13"/>
  <c r="M334" i="13"/>
  <c r="AH39" i="13"/>
  <c r="Q39" i="13"/>
  <c r="S39" i="13" s="1"/>
  <c r="U39" i="13" s="1"/>
  <c r="AH30" i="13"/>
  <c r="M325" i="13"/>
  <c r="Q30" i="13"/>
  <c r="S30" i="13" s="1"/>
  <c r="U30" i="13" s="1"/>
  <c r="M372" i="13"/>
  <c r="Q77" i="13"/>
  <c r="S77" i="13" s="1"/>
  <c r="U77" i="13" s="1"/>
  <c r="AH77" i="13"/>
  <c r="AI54" i="13" l="1"/>
  <c r="AI70" i="13"/>
  <c r="AJ73" i="13" s="1"/>
  <c r="AI21" i="13"/>
  <c r="AI102" i="13"/>
  <c r="AI63" i="13"/>
  <c r="AI76" i="13"/>
  <c r="AI122" i="13"/>
  <c r="AI38" i="13"/>
  <c r="AI52" i="13"/>
  <c r="AI84" i="13"/>
  <c r="AI127" i="13"/>
  <c r="AK127" i="13" s="1"/>
  <c r="AI25" i="13"/>
  <c r="AI64" i="13"/>
  <c r="AI62" i="13"/>
  <c r="AI53" i="13"/>
  <c r="AI58" i="13"/>
  <c r="AI81" i="13"/>
  <c r="AI75" i="13"/>
  <c r="AK72" i="13" s="1"/>
  <c r="AI66" i="13"/>
  <c r="AJ68" i="13" s="1"/>
  <c r="AI123" i="13"/>
  <c r="AI61" i="13"/>
  <c r="AI26" i="13"/>
  <c r="AI126" i="13"/>
  <c r="AK126" i="13" s="1"/>
  <c r="AI47" i="13"/>
  <c r="AI51" i="13"/>
  <c r="AI50" i="13"/>
  <c r="AI96" i="13"/>
  <c r="AI45" i="13"/>
  <c r="AJ48" i="13" s="1"/>
  <c r="AI12" i="13"/>
  <c r="AJ12" i="13" s="1"/>
  <c r="AI118" i="13"/>
  <c r="AI119" i="13"/>
  <c r="AI56" i="13"/>
  <c r="AI108" i="13"/>
  <c r="AI17" i="13"/>
  <c r="AJ19" i="13" s="1"/>
  <c r="AI100" i="13"/>
  <c r="AI69" i="13"/>
  <c r="AI59" i="13"/>
  <c r="AI107" i="13"/>
  <c r="AI97" i="13"/>
  <c r="AI124" i="13"/>
  <c r="AI20" i="13"/>
  <c r="AJ74" i="13"/>
  <c r="AI27" i="13"/>
  <c r="AI121" i="13"/>
  <c r="AI43" i="13"/>
  <c r="AI91" i="13"/>
  <c r="AI109" i="13"/>
  <c r="AI101" i="13"/>
  <c r="AI103" i="13"/>
  <c r="AI104" i="13"/>
  <c r="AI15" i="13"/>
  <c r="AI114" i="13"/>
  <c r="AJ114" i="13" s="1"/>
  <c r="AI115" i="13"/>
  <c r="AI34" i="13"/>
  <c r="AI99" i="13"/>
  <c r="AI35" i="13"/>
  <c r="AI36" i="13"/>
  <c r="AI57" i="13"/>
  <c r="AI90" i="13"/>
  <c r="AJ90" i="13" s="1"/>
  <c r="AI125" i="13"/>
  <c r="AI85" i="13"/>
  <c r="AI86" i="13"/>
  <c r="AK86" i="13" s="1"/>
  <c r="AI110" i="13"/>
  <c r="AI60" i="13"/>
  <c r="AI30" i="13"/>
  <c r="AI31" i="13"/>
  <c r="F427" i="13"/>
  <c r="K427" i="13"/>
  <c r="N427" i="13" s="1"/>
  <c r="B427" i="13"/>
  <c r="I427" i="13"/>
  <c r="D427" i="13"/>
  <c r="U11" i="13"/>
  <c r="AI23" i="13"/>
  <c r="AI24" i="13"/>
  <c r="AI105" i="13"/>
  <c r="AI106" i="13"/>
  <c r="AI77" i="13"/>
  <c r="AI78" i="13"/>
  <c r="AI92" i="13"/>
  <c r="AI39" i="13"/>
  <c r="AI40" i="13"/>
  <c r="AI79" i="13"/>
  <c r="AI80" i="13"/>
  <c r="AI13" i="13"/>
  <c r="AI14" i="13"/>
  <c r="AK71" i="13"/>
  <c r="AJ11" i="13"/>
  <c r="AI94" i="13"/>
  <c r="AI95" i="13"/>
  <c r="AK111" i="13" l="1"/>
  <c r="AK70" i="13"/>
  <c r="AK18" i="13"/>
  <c r="AJ70" i="13"/>
  <c r="AK62" i="13"/>
  <c r="AK73" i="13"/>
  <c r="AL73" i="13" s="1"/>
  <c r="AM73" i="13" s="1"/>
  <c r="AJ29" i="13"/>
  <c r="AK52" i="13"/>
  <c r="AJ65" i="13"/>
  <c r="AK81" i="13"/>
  <c r="AK43" i="13"/>
  <c r="AK63" i="13"/>
  <c r="AJ76" i="13"/>
  <c r="AJ67" i="13"/>
  <c r="AJ84" i="13"/>
  <c r="AJ122" i="13"/>
  <c r="AJ55" i="13"/>
  <c r="AJ89" i="13"/>
  <c r="AJ77" i="13"/>
  <c r="AK64" i="13"/>
  <c r="AK65" i="13"/>
  <c r="AL65" i="13" s="1"/>
  <c r="AM65" i="13" s="1"/>
  <c r="AJ56" i="13"/>
  <c r="AK51" i="13"/>
  <c r="AJ64" i="13"/>
  <c r="AL64" i="13" s="1"/>
  <c r="AM64" i="13" s="1"/>
  <c r="AJ75" i="13"/>
  <c r="AJ63" i="13"/>
  <c r="AK61" i="13"/>
  <c r="AJ66" i="13"/>
  <c r="AJ23" i="13"/>
  <c r="AJ47" i="13"/>
  <c r="AJ120" i="13"/>
  <c r="AK69" i="13"/>
  <c r="AJ50" i="13"/>
  <c r="AJ49" i="13"/>
  <c r="AJ22" i="13"/>
  <c r="AK53" i="13"/>
  <c r="AK46" i="13"/>
  <c r="AK68" i="13"/>
  <c r="AL68" i="13" s="1"/>
  <c r="AM68" i="13" s="1"/>
  <c r="AK47" i="13"/>
  <c r="AJ51" i="13"/>
  <c r="AJ119" i="13"/>
  <c r="AJ53" i="13"/>
  <c r="AJ54" i="13"/>
  <c r="AK48" i="13"/>
  <c r="AL48" i="13" s="1"/>
  <c r="AM48" i="13" s="1"/>
  <c r="AK50" i="13"/>
  <c r="AL50" i="13" s="1"/>
  <c r="AM50" i="13" s="1"/>
  <c r="AK49" i="13"/>
  <c r="AJ69" i="13"/>
  <c r="AK118" i="13"/>
  <c r="AJ52" i="13"/>
  <c r="AK102" i="13"/>
  <c r="AK44" i="13"/>
  <c r="AJ62" i="13"/>
  <c r="AJ111" i="13"/>
  <c r="AL111" i="13" s="1"/>
  <c r="AK45" i="13"/>
  <c r="AK87" i="13"/>
  <c r="AK88" i="13"/>
  <c r="AK117" i="13"/>
  <c r="AJ110" i="13"/>
  <c r="AK115" i="13"/>
  <c r="AK116" i="13"/>
  <c r="AJ59" i="13"/>
  <c r="AK121" i="13"/>
  <c r="AJ123" i="13"/>
  <c r="AK66" i="13"/>
  <c r="AK16" i="13"/>
  <c r="AJ71" i="13"/>
  <c r="AL71" i="13" s="1"/>
  <c r="AM71" i="13" s="1"/>
  <c r="AJ72" i="13"/>
  <c r="AL72" i="13" s="1"/>
  <c r="AM72" i="13" s="1"/>
  <c r="AJ41" i="13"/>
  <c r="AK119" i="13"/>
  <c r="AJ124" i="13"/>
  <c r="AK67" i="13"/>
  <c r="AJ28" i="13"/>
  <c r="AJ92" i="13"/>
  <c r="AJ103" i="13"/>
  <c r="AJ118" i="13"/>
  <c r="AK56" i="13"/>
  <c r="AJ88" i="13"/>
  <c r="AK99" i="13"/>
  <c r="AK15" i="13"/>
  <c r="AK109" i="13"/>
  <c r="AJ125" i="13"/>
  <c r="AK110" i="13"/>
  <c r="AK34" i="13"/>
  <c r="AJ44" i="13"/>
  <c r="AJ21" i="13"/>
  <c r="AK27" i="13"/>
  <c r="AK26" i="13"/>
  <c r="AJ46" i="13"/>
  <c r="AJ30" i="13"/>
  <c r="AK101" i="13"/>
  <c r="AJ100" i="13"/>
  <c r="AJ20" i="13"/>
  <c r="AK120" i="13"/>
  <c r="AJ121" i="13"/>
  <c r="AJ45" i="13"/>
  <c r="AK25" i="13"/>
  <c r="AK17" i="13"/>
  <c r="AJ14" i="13"/>
  <c r="AJ113" i="13"/>
  <c r="AK20" i="13"/>
  <c r="AK19" i="13"/>
  <c r="AL19" i="13" s="1"/>
  <c r="AM19" i="13" s="1"/>
  <c r="AJ91" i="13"/>
  <c r="AK41" i="13"/>
  <c r="AK42" i="13"/>
  <c r="AJ99" i="13"/>
  <c r="AK58" i="13"/>
  <c r="AJ112" i="13"/>
  <c r="AK100" i="13"/>
  <c r="AK84" i="13"/>
  <c r="AJ101" i="13"/>
  <c r="AJ104" i="13"/>
  <c r="AJ38" i="13"/>
  <c r="AJ102" i="13"/>
  <c r="AK96" i="13"/>
  <c r="AJ15" i="13"/>
  <c r="AJ18" i="13"/>
  <c r="AK85" i="13"/>
  <c r="AK98" i="13"/>
  <c r="AK97" i="13"/>
  <c r="AK114" i="13"/>
  <c r="AL114" i="13" s="1"/>
  <c r="AJ115" i="13"/>
  <c r="AK113" i="13"/>
  <c r="AJ117" i="13"/>
  <c r="AK112" i="13"/>
  <c r="AJ116" i="13"/>
  <c r="AK55" i="13"/>
  <c r="AJ87" i="13"/>
  <c r="AK36" i="13"/>
  <c r="AK125" i="13"/>
  <c r="AJ126" i="13"/>
  <c r="AL126" i="13" s="1"/>
  <c r="AK123" i="13"/>
  <c r="AK124" i="13"/>
  <c r="AK33" i="13"/>
  <c r="AJ36" i="13"/>
  <c r="AJ35" i="13"/>
  <c r="AK32" i="13"/>
  <c r="AK35" i="13"/>
  <c r="AJ86" i="13"/>
  <c r="AL86" i="13" s="1"/>
  <c r="AM86" i="13" s="1"/>
  <c r="AJ58" i="13"/>
  <c r="AK59" i="13"/>
  <c r="AK60" i="13"/>
  <c r="AK90" i="13"/>
  <c r="AL90" i="13" s="1"/>
  <c r="AM90" i="13" s="1"/>
  <c r="AJ85" i="13"/>
  <c r="AK57" i="13"/>
  <c r="AJ37" i="13"/>
  <c r="AJ57" i="13"/>
  <c r="AJ60" i="13"/>
  <c r="AK83" i="13"/>
  <c r="AK122" i="13"/>
  <c r="AJ61" i="13"/>
  <c r="AK89" i="13"/>
  <c r="AK82" i="13"/>
  <c r="AK54" i="13"/>
  <c r="AK108" i="13"/>
  <c r="AK107" i="13"/>
  <c r="AJ127" i="13"/>
  <c r="AL127" i="13" s="1"/>
  <c r="AJ81" i="13"/>
  <c r="AK78" i="13"/>
  <c r="AK106" i="13"/>
  <c r="AJ109" i="13"/>
  <c r="AK31" i="13"/>
  <c r="AJ34" i="13"/>
  <c r="AJ98" i="13"/>
  <c r="AK95" i="13"/>
  <c r="AK11" i="13"/>
  <c r="AL11" i="13" s="1"/>
  <c r="AK80" i="13"/>
  <c r="AJ83" i="13"/>
  <c r="AJ42" i="13"/>
  <c r="AK39" i="13"/>
  <c r="AK77" i="13"/>
  <c r="AJ80" i="13"/>
  <c r="AK76" i="13"/>
  <c r="AJ79" i="13"/>
  <c r="AJ31" i="13"/>
  <c r="AJ108" i="13"/>
  <c r="AK105" i="13"/>
  <c r="AK104" i="13"/>
  <c r="AK103" i="13"/>
  <c r="AJ107" i="13"/>
  <c r="AJ106" i="13"/>
  <c r="AJ93" i="13"/>
  <c r="AK74" i="13"/>
  <c r="AL74" i="13" s="1"/>
  <c r="AM74" i="13" s="1"/>
  <c r="AK30" i="13"/>
  <c r="AJ33" i="13"/>
  <c r="AJ32" i="13"/>
  <c r="AK29" i="13"/>
  <c r="AJ78" i="13"/>
  <c r="AK13" i="13"/>
  <c r="AJ16" i="13"/>
  <c r="AK40" i="13"/>
  <c r="AJ43" i="13"/>
  <c r="AJ97" i="13"/>
  <c r="AK94" i="13"/>
  <c r="AK10" i="13"/>
  <c r="AL10" i="13" s="1"/>
  <c r="AJ13" i="13"/>
  <c r="AJ82" i="13"/>
  <c r="AK79" i="13"/>
  <c r="AK92" i="13"/>
  <c r="AJ95" i="13"/>
  <c r="AK28" i="13"/>
  <c r="AK24" i="13"/>
  <c r="AJ27" i="13"/>
  <c r="AJ94" i="13"/>
  <c r="B428" i="13"/>
  <c r="I428" i="13"/>
  <c r="F428" i="13"/>
  <c r="D428" i="13"/>
  <c r="K428" i="13"/>
  <c r="N428" i="13" s="1"/>
  <c r="AK37" i="13"/>
  <c r="AK12" i="13"/>
  <c r="AL12" i="13" s="1"/>
  <c r="AM12" i="13" s="1"/>
  <c r="AK93" i="13"/>
  <c r="AK75" i="13"/>
  <c r="AJ39" i="13"/>
  <c r="AK38" i="13"/>
  <c r="AK14" i="13"/>
  <c r="AJ17" i="13"/>
  <c r="AK23" i="13"/>
  <c r="AJ26" i="13"/>
  <c r="AK21" i="13"/>
  <c r="AJ24" i="13"/>
  <c r="AK22" i="13"/>
  <c r="AJ25" i="13"/>
  <c r="AK91" i="13"/>
  <c r="AJ40" i="13"/>
  <c r="AJ96" i="13"/>
  <c r="AJ105" i="13"/>
  <c r="AL81" i="13" l="1"/>
  <c r="AM81" i="13" s="1"/>
  <c r="AL117" i="13"/>
  <c r="AL70" i="13"/>
  <c r="AM70" i="13" s="1"/>
  <c r="AL84" i="13"/>
  <c r="AM84" i="13" s="1"/>
  <c r="AL120" i="13"/>
  <c r="AL49" i="13"/>
  <c r="AM49" i="13" s="1"/>
  <c r="AL47" i="13"/>
  <c r="AM47" i="13" s="1"/>
  <c r="AL18" i="13"/>
  <c r="AM18" i="13" s="1"/>
  <c r="AL52" i="13"/>
  <c r="AM52" i="13" s="1"/>
  <c r="AL75" i="13"/>
  <c r="AM75" i="13" s="1"/>
  <c r="AL76" i="13"/>
  <c r="AM76" i="13" s="1"/>
  <c r="AL55" i="13"/>
  <c r="AM55" i="13" s="1"/>
  <c r="AL62" i="13"/>
  <c r="AM62" i="13" s="1"/>
  <c r="AL119" i="13"/>
  <c r="AL29" i="13"/>
  <c r="AM29" i="13" s="1"/>
  <c r="AL56" i="13"/>
  <c r="AM56" i="13" s="1"/>
  <c r="AL21" i="13"/>
  <c r="AM21" i="13" s="1"/>
  <c r="AL61" i="13"/>
  <c r="AM61" i="13" s="1"/>
  <c r="AL102" i="13"/>
  <c r="AL51" i="13"/>
  <c r="AM51" i="13" s="1"/>
  <c r="AL43" i="13"/>
  <c r="AM43" i="13" s="1"/>
  <c r="AL122" i="13"/>
  <c r="AL63" i="13"/>
  <c r="AM63" i="13" s="1"/>
  <c r="AL77" i="13"/>
  <c r="AM77" i="13" s="1"/>
  <c r="AL67" i="13"/>
  <c r="AM67" i="13" s="1"/>
  <c r="AL66" i="13"/>
  <c r="AM66" i="13" s="1"/>
  <c r="AL89" i="13"/>
  <c r="AM89" i="13" s="1"/>
  <c r="AL23" i="13"/>
  <c r="AM23" i="13" s="1"/>
  <c r="AL124" i="13"/>
  <c r="AL88" i="13"/>
  <c r="AM88" i="13" s="1"/>
  <c r="AL69" i="13"/>
  <c r="AM69" i="13" s="1"/>
  <c r="AL59" i="13"/>
  <c r="AM59" i="13" s="1"/>
  <c r="AL45" i="13"/>
  <c r="AM45" i="13" s="1"/>
  <c r="AL46" i="13"/>
  <c r="AM46" i="13" s="1"/>
  <c r="AL53" i="13"/>
  <c r="AM53" i="13" s="1"/>
  <c r="AL110" i="13"/>
  <c r="AL22" i="13"/>
  <c r="AM22" i="13" s="1"/>
  <c r="AL17" i="13"/>
  <c r="AM17" i="13" s="1"/>
  <c r="AL115" i="13"/>
  <c r="AL118" i="13"/>
  <c r="AL54" i="13"/>
  <c r="AM54" i="13" s="1"/>
  <c r="AL41" i="13"/>
  <c r="AM41" i="13" s="1"/>
  <c r="AL87" i="13"/>
  <c r="AM87" i="13" s="1"/>
  <c r="AL121" i="13"/>
  <c r="AL32" i="13"/>
  <c r="AM32" i="13" s="1"/>
  <c r="AL44" i="13"/>
  <c r="AM44" i="13" s="1"/>
  <c r="AL16" i="13"/>
  <c r="AM16" i="13" s="1"/>
  <c r="AL95" i="13"/>
  <c r="AM95" i="13" s="1"/>
  <c r="AL116" i="13"/>
  <c r="AL99" i="13"/>
  <c r="AM99" i="13" s="1"/>
  <c r="AL26" i="13"/>
  <c r="AM26" i="13" s="1"/>
  <c r="AL123" i="13"/>
  <c r="AL80" i="13"/>
  <c r="AM80" i="13" s="1"/>
  <c r="AL20" i="13"/>
  <c r="AM20" i="13" s="1"/>
  <c r="AL104" i="13"/>
  <c r="AL98" i="13"/>
  <c r="AM98" i="13" s="1"/>
  <c r="AL101" i="13"/>
  <c r="AM101" i="13" s="1"/>
  <c r="AL96" i="13"/>
  <c r="AM96" i="13" s="1"/>
  <c r="AL82" i="13"/>
  <c r="AM82" i="13" s="1"/>
  <c r="AL34" i="13"/>
  <c r="AM34" i="13" s="1"/>
  <c r="AL100" i="13"/>
  <c r="AM100" i="13" s="1"/>
  <c r="AL25" i="13"/>
  <c r="AM25" i="13" s="1"/>
  <c r="AL39" i="13"/>
  <c r="AM39" i="13" s="1"/>
  <c r="AL92" i="13"/>
  <c r="AM92" i="13" s="1"/>
  <c r="AL83" i="13"/>
  <c r="AM83" i="13" s="1"/>
  <c r="AL125" i="13"/>
  <c r="AL113" i="13"/>
  <c r="AL91" i="13"/>
  <c r="AM91" i="13" s="1"/>
  <c r="AL14" i="13"/>
  <c r="AM14" i="13" s="1"/>
  <c r="AL28" i="13"/>
  <c r="AM28" i="13" s="1"/>
  <c r="AL103" i="13"/>
  <c r="AM103" i="13" s="1"/>
  <c r="AL109" i="13"/>
  <c r="AL85" i="13"/>
  <c r="AM85" i="13" s="1"/>
  <c r="AL15" i="13"/>
  <c r="AM15" i="13" s="1"/>
  <c r="AL42" i="13"/>
  <c r="AM42" i="13" s="1"/>
  <c r="AL27" i="13"/>
  <c r="AM27" i="13" s="1"/>
  <c r="AL107" i="13"/>
  <c r="AL108" i="13"/>
  <c r="AL30" i="13"/>
  <c r="AM30" i="13" s="1"/>
  <c r="AL60" i="13"/>
  <c r="AM60" i="13" s="1"/>
  <c r="AL38" i="13"/>
  <c r="AM38" i="13" s="1"/>
  <c r="AL97" i="13"/>
  <c r="AM97" i="13" s="1"/>
  <c r="AL33" i="13"/>
  <c r="AM33" i="13" s="1"/>
  <c r="AL35" i="13"/>
  <c r="AM35" i="13" s="1"/>
  <c r="AL58" i="13"/>
  <c r="AM58" i="13" s="1"/>
  <c r="AL57" i="13"/>
  <c r="AM57" i="13" s="1"/>
  <c r="AL112" i="13"/>
  <c r="AL94" i="13"/>
  <c r="AM94" i="13" s="1"/>
  <c r="AL36" i="13"/>
  <c r="AM36" i="13" s="1"/>
  <c r="AL37" i="13"/>
  <c r="AM37" i="13" s="1"/>
  <c r="AL93" i="13"/>
  <c r="AM93" i="13" s="1"/>
  <c r="AL79" i="13"/>
  <c r="AM79" i="13" s="1"/>
  <c r="AL78" i="13"/>
  <c r="AM78" i="13" s="1"/>
  <c r="AL106" i="13"/>
  <c r="AM106" i="13" s="1"/>
  <c r="B429" i="13"/>
  <c r="D429" i="13"/>
  <c r="K429" i="13"/>
  <c r="N429" i="13" s="1"/>
  <c r="I429" i="13"/>
  <c r="F429" i="13"/>
  <c r="AL24" i="13"/>
  <c r="AM24" i="13" s="1"/>
  <c r="AL13" i="13"/>
  <c r="AM13" i="13" s="1"/>
  <c r="AL105" i="13"/>
  <c r="AL40" i="13"/>
  <c r="AM40" i="13" s="1"/>
  <c r="AL31" i="13"/>
  <c r="AM31" i="13" s="1"/>
  <c r="B430" i="13" l="1"/>
  <c r="F430" i="13"/>
  <c r="I430" i="13"/>
  <c r="D430" i="13"/>
  <c r="K430" i="13"/>
  <c r="N430" i="13" s="1"/>
  <c r="B431" i="13" l="1"/>
  <c r="I431" i="13"/>
  <c r="F431" i="13"/>
  <c r="K431" i="13"/>
  <c r="N431" i="13" s="1"/>
  <c r="D431" i="13"/>
  <c r="I432" i="13" l="1"/>
  <c r="B432" i="13"/>
  <c r="F432" i="13"/>
  <c r="D432" i="13"/>
  <c r="K432" i="13"/>
  <c r="N432" i="13" s="1"/>
  <c r="B433" i="13" l="1"/>
  <c r="D433" i="13"/>
  <c r="F433" i="13"/>
  <c r="K433" i="13"/>
  <c r="N433" i="13" s="1"/>
  <c r="I433" i="13"/>
  <c r="F434" i="13" l="1"/>
  <c r="B434" i="13"/>
  <c r="D434" i="13"/>
  <c r="K434" i="13"/>
  <c r="N434" i="13" s="1"/>
  <c r="I434" i="13"/>
  <c r="F435" i="13" l="1"/>
  <c r="K435" i="13"/>
  <c r="N435" i="13" s="1"/>
  <c r="I435" i="13"/>
  <c r="D435" i="13"/>
  <c r="B435" i="13"/>
  <c r="B436" i="13" l="1"/>
  <c r="F436" i="13"/>
  <c r="I436" i="13"/>
  <c r="D436" i="13"/>
  <c r="K436" i="13"/>
  <c r="N436" i="13" s="1"/>
  <c r="I437" i="13" l="1"/>
  <c r="D437" i="13"/>
  <c r="B437" i="13"/>
  <c r="F437" i="13"/>
  <c r="K437" i="13"/>
  <c r="N437" i="13" s="1"/>
  <c r="D438" i="13" l="1"/>
  <c r="K438" i="13"/>
  <c r="N438" i="13" s="1"/>
  <c r="I438" i="13"/>
  <c r="B438" i="13"/>
  <c r="F438" i="13"/>
  <c r="D439" i="13" l="1"/>
  <c r="F439" i="13"/>
  <c r="I439" i="13"/>
  <c r="B439" i="13"/>
  <c r="K439" i="13"/>
  <c r="N439" i="13" s="1"/>
  <c r="K440" i="13" l="1"/>
  <c r="N440" i="13" s="1"/>
  <c r="F440" i="13"/>
  <c r="D440" i="13"/>
  <c r="I440" i="13"/>
  <c r="B440" i="13"/>
  <c r="K441" i="13" l="1"/>
  <c r="N441" i="13" s="1"/>
  <c r="F441" i="13"/>
  <c r="D441" i="13"/>
  <c r="I441" i="13"/>
  <c r="B441" i="13"/>
  <c r="F442" i="13" l="1"/>
  <c r="I442" i="13"/>
  <c r="B442" i="13"/>
  <c r="D442" i="13"/>
  <c r="K442" i="13"/>
  <c r="N442" i="13" s="1"/>
  <c r="I443" i="13" l="1"/>
  <c r="D443" i="13"/>
  <c r="F443" i="13"/>
  <c r="K443" i="13"/>
  <c r="N443" i="13" s="1"/>
  <c r="B443" i="13"/>
  <c r="K444" i="13" l="1"/>
  <c r="N444" i="13" s="1"/>
  <c r="D444" i="13"/>
  <c r="F444" i="13"/>
  <c r="I444" i="13"/>
  <c r="B444" i="13"/>
  <c r="D445" i="13" l="1"/>
  <c r="F445" i="13"/>
  <c r="B445" i="13"/>
  <c r="I445" i="13"/>
  <c r="K445" i="13"/>
  <c r="N445" i="13" s="1"/>
  <c r="I446" i="13" l="1"/>
  <c r="D446" i="13"/>
  <c r="B446" i="13"/>
  <c r="K446" i="13"/>
  <c r="N446" i="13" s="1"/>
  <c r="F446" i="13"/>
  <c r="D447" i="13" l="1"/>
  <c r="K447" i="13"/>
  <c r="N447" i="13" s="1"/>
  <c r="B447" i="13"/>
  <c r="I447" i="13"/>
  <c r="F447" i="13"/>
  <c r="B448" i="13" l="1"/>
  <c r="I448" i="13"/>
  <c r="K448" i="13"/>
  <c r="N448" i="13" s="1"/>
  <c r="F448" i="13"/>
  <c r="D448" i="13"/>
  <c r="B449" i="13" l="1"/>
  <c r="K449" i="13"/>
  <c r="N449" i="13" s="1"/>
  <c r="I449" i="13"/>
  <c r="F449" i="13"/>
  <c r="D449" i="13"/>
  <c r="F450" i="13" l="1"/>
  <c r="K450" i="13"/>
  <c r="N450" i="13" s="1"/>
  <c r="D450" i="13"/>
  <c r="B450" i="13"/>
  <c r="I450" i="13"/>
  <c r="B451" i="13" l="1"/>
  <c r="I451" i="13"/>
  <c r="D451" i="13"/>
  <c r="K451" i="13"/>
  <c r="N451" i="13" s="1"/>
  <c r="F451" i="13"/>
  <c r="K452" i="13" l="1"/>
  <c r="N452" i="13" s="1"/>
  <c r="I452" i="13"/>
  <c r="D452" i="13"/>
  <c r="B452" i="13"/>
  <c r="F452" i="13"/>
  <c r="B453" i="13" l="1"/>
  <c r="D453" i="13"/>
  <c r="F453" i="13"/>
  <c r="I453" i="13"/>
  <c r="K453" i="13"/>
  <c r="N453" i="13" s="1"/>
  <c r="D454" i="13" l="1"/>
  <c r="F454" i="13"/>
  <c r="B454" i="13"/>
  <c r="I454" i="13"/>
  <c r="K454" i="13"/>
  <c r="N454" i="13" s="1"/>
  <c r="F455" i="13" l="1"/>
  <c r="K455" i="13"/>
  <c r="N455" i="13" s="1"/>
  <c r="B455" i="13"/>
  <c r="I455" i="13"/>
  <c r="D455" i="13"/>
  <c r="K456" i="13" l="1"/>
  <c r="N456" i="13" s="1"/>
  <c r="D456" i="13"/>
  <c r="B456" i="13"/>
  <c r="F456" i="13"/>
  <c r="I456" i="13"/>
  <c r="I457" i="13" l="1"/>
  <c r="D457" i="13"/>
  <c r="B457" i="13"/>
  <c r="F457" i="13"/>
  <c r="K457" i="13"/>
  <c r="N457" i="13" s="1"/>
  <c r="I458" i="13" l="1"/>
  <c r="F458" i="13"/>
  <c r="K458" i="13"/>
  <c r="N458" i="13" s="1"/>
  <c r="D458" i="13"/>
  <c r="B458" i="13"/>
  <c r="I459" i="13" l="1"/>
  <c r="D459" i="13"/>
  <c r="F459" i="13"/>
  <c r="K459" i="13"/>
  <c r="N459" i="13" s="1"/>
  <c r="B459" i="13"/>
  <c r="K460" i="13" l="1"/>
  <c r="N460" i="13" s="1"/>
  <c r="D460" i="13"/>
  <c r="F460" i="13"/>
  <c r="B460" i="13"/>
  <c r="I460" i="13"/>
  <c r="B461" i="13" l="1"/>
  <c r="I461" i="13"/>
  <c r="D461" i="13"/>
  <c r="F461" i="13"/>
  <c r="K461" i="13"/>
  <c r="N461" i="13" s="1"/>
  <c r="B462" i="13" l="1"/>
  <c r="D462" i="13"/>
  <c r="F462" i="13"/>
  <c r="I462" i="13"/>
  <c r="K462" i="13"/>
  <c r="N462" i="13" s="1"/>
  <c r="D463" i="13" l="1"/>
  <c r="K463" i="13"/>
  <c r="N463" i="13" s="1"/>
  <c r="I463" i="13"/>
  <c r="B463" i="13"/>
  <c r="F463" i="13"/>
  <c r="F464" i="13" l="1"/>
  <c r="B464" i="13"/>
  <c r="D464" i="13"/>
  <c r="K464" i="13"/>
  <c r="N464" i="13" s="1"/>
  <c r="I464" i="13"/>
  <c r="I465" i="13" l="1"/>
  <c r="K465" i="13"/>
  <c r="N465" i="13" s="1"/>
  <c r="D465" i="13"/>
  <c r="B465" i="13"/>
  <c r="F465" i="13"/>
  <c r="I466" i="13" l="1"/>
  <c r="B466" i="13"/>
  <c r="K466" i="13"/>
  <c r="N466" i="13" s="1"/>
  <c r="F466" i="13"/>
  <c r="D466" i="13"/>
  <c r="B467" i="13" l="1"/>
  <c r="I467" i="13"/>
  <c r="F467" i="13"/>
  <c r="D467" i="13"/>
  <c r="K467" i="13"/>
  <c r="N467" i="13" s="1"/>
  <c r="F468" i="13" l="1"/>
  <c r="D468" i="13"/>
  <c r="K468" i="13"/>
  <c r="N468" i="13" s="1"/>
  <c r="I468" i="13"/>
  <c r="B468" i="13"/>
  <c r="B469" i="13" l="1"/>
  <c r="D469" i="13"/>
  <c r="K469" i="13"/>
  <c r="N469" i="13" s="1"/>
  <c r="F469" i="13"/>
  <c r="I469" i="13"/>
  <c r="K470" i="13" l="1"/>
  <c r="N470" i="13" s="1"/>
  <c r="I470" i="13"/>
  <c r="D470" i="13"/>
  <c r="F470" i="13"/>
  <c r="B470" i="13"/>
  <c r="B471" i="13" l="1"/>
  <c r="I471" i="13"/>
  <c r="K471" i="13"/>
  <c r="N471" i="13" s="1"/>
  <c r="F471" i="13"/>
  <c r="D471" i="13"/>
  <c r="K472" i="13" l="1"/>
  <c r="N472" i="13" s="1"/>
  <c r="D472" i="13"/>
  <c r="B472" i="13"/>
  <c r="F472" i="13"/>
  <c r="I472" i="13"/>
  <c r="K473" i="13" l="1"/>
  <c r="N473" i="13" s="1"/>
  <c r="B473" i="13"/>
  <c r="D473" i="13"/>
  <c r="I473" i="13"/>
  <c r="F473" i="13"/>
  <c r="B474" i="13" l="1"/>
  <c r="K474" i="13"/>
  <c r="N474" i="13" s="1"/>
  <c r="I474" i="13"/>
  <c r="D474" i="13"/>
  <c r="F474" i="13"/>
  <c r="F475" i="13" l="1"/>
  <c r="K475" i="13"/>
  <c r="N475" i="13" s="1"/>
  <c r="B475" i="13"/>
  <c r="I475" i="13"/>
  <c r="D475" i="13"/>
  <c r="F476" i="13" l="1"/>
  <c r="I476" i="13"/>
  <c r="D476" i="13"/>
  <c r="K476" i="13"/>
  <c r="N476" i="13" s="1"/>
  <c r="B476" i="13"/>
  <c r="F477" i="13" l="1"/>
  <c r="B477" i="13"/>
  <c r="I477" i="13"/>
  <c r="D477" i="13"/>
  <c r="K477" i="13"/>
  <c r="N477" i="13" s="1"/>
  <c r="I478" i="13" l="1"/>
  <c r="F478" i="13"/>
  <c r="D478" i="13"/>
  <c r="K478" i="13"/>
  <c r="N478" i="13" s="1"/>
  <c r="B478" i="13"/>
  <c r="D479" i="13" l="1"/>
  <c r="I479" i="13"/>
  <c r="K479" i="13"/>
  <c r="N479" i="13" s="1"/>
  <c r="F479" i="13"/>
  <c r="B479" i="13"/>
  <c r="K480" i="13" l="1"/>
  <c r="N480" i="13" s="1"/>
  <c r="I480" i="13"/>
  <c r="D480" i="13"/>
  <c r="F480" i="13"/>
  <c r="B480" i="13"/>
  <c r="B481" i="13" l="1"/>
  <c r="K481" i="13"/>
  <c r="N481" i="13" s="1"/>
  <c r="D481" i="13"/>
  <c r="I481" i="13"/>
  <c r="F481" i="13"/>
  <c r="B482" i="13" l="1"/>
  <c r="D482" i="13"/>
  <c r="K482" i="13"/>
  <c r="N482" i="13" s="1"/>
  <c r="I482" i="13"/>
  <c r="F482" i="13"/>
  <c r="B483" i="13" l="1"/>
  <c r="I483" i="13"/>
  <c r="F483" i="13"/>
  <c r="D483" i="13"/>
  <c r="K483" i="13"/>
  <c r="N483" i="13" s="1"/>
  <c r="B484" i="13" l="1"/>
  <c r="K484" i="13"/>
  <c r="N484" i="13" s="1"/>
  <c r="D484" i="13"/>
  <c r="F484" i="13"/>
  <c r="I484" i="13"/>
  <c r="K485" i="13" l="1"/>
  <c r="N485" i="13" s="1"/>
  <c r="I485" i="13"/>
  <c r="D485" i="13"/>
  <c r="F485" i="13"/>
  <c r="B485" i="13"/>
  <c r="B486" i="13" l="1"/>
  <c r="I486" i="13"/>
  <c r="D486" i="13"/>
  <c r="K486" i="13"/>
  <c r="N486" i="13" s="1"/>
  <c r="F486" i="13"/>
  <c r="B487" i="13" l="1"/>
  <c r="I487" i="13"/>
  <c r="F487" i="13"/>
  <c r="D487" i="13"/>
  <c r="K487" i="13"/>
  <c r="N487" i="13" s="1"/>
  <c r="F488" i="13" l="1"/>
  <c r="B488" i="13"/>
  <c r="K488" i="13"/>
  <c r="N488" i="13" s="1"/>
  <c r="I488" i="13"/>
  <c r="D488" i="13"/>
  <c r="B489" i="13" l="1"/>
  <c r="I489" i="13"/>
  <c r="K489" i="13"/>
  <c r="N489" i="13" s="1"/>
  <c r="F489" i="13"/>
  <c r="D489" i="13"/>
  <c r="K490" i="13" l="1"/>
  <c r="N490" i="13" s="1"/>
  <c r="B490" i="13"/>
  <c r="I490" i="13"/>
  <c r="F490" i="13"/>
  <c r="D490" i="13"/>
  <c r="D491" i="13" l="1"/>
  <c r="I491" i="13"/>
  <c r="F491" i="13"/>
  <c r="K491" i="13"/>
  <c r="N491" i="13" s="1"/>
  <c r="B491" i="13"/>
  <c r="I492" i="13" l="1"/>
  <c r="D492" i="13"/>
  <c r="B492" i="13"/>
  <c r="F492" i="13"/>
  <c r="K492" i="13"/>
  <c r="N492" i="13" s="1"/>
  <c r="B493" i="13" l="1"/>
  <c r="F493" i="13"/>
  <c r="I493" i="13"/>
  <c r="D493" i="13"/>
  <c r="K493" i="13"/>
  <c r="N493" i="13" s="1"/>
  <c r="K494" i="13" l="1"/>
  <c r="N494" i="13" s="1"/>
  <c r="I494" i="13"/>
  <c r="B494" i="13"/>
  <c r="D494" i="13"/>
  <c r="F494" i="13"/>
  <c r="I495" i="13" l="1"/>
  <c r="D495" i="13"/>
  <c r="B495" i="13"/>
  <c r="K495" i="13"/>
  <c r="N495" i="13" s="1"/>
  <c r="F495" i="13"/>
  <c r="B496" i="13" l="1"/>
  <c r="F496" i="13"/>
  <c r="D496" i="13"/>
  <c r="I496" i="13"/>
  <c r="K496" i="13"/>
  <c r="N496" i="13" s="1"/>
  <c r="F497" i="13" l="1"/>
  <c r="D497" i="13"/>
  <c r="K497" i="13"/>
  <c r="N497" i="13" s="1"/>
  <c r="B497" i="13"/>
  <c r="I497" i="13"/>
  <c r="K498" i="13" l="1"/>
  <c r="N498" i="13" s="1"/>
  <c r="B498" i="13"/>
  <c r="D498" i="13"/>
  <c r="F498" i="13"/>
  <c r="I498" i="13"/>
  <c r="F499" i="13" l="1"/>
  <c r="I499" i="13"/>
  <c r="B499" i="13"/>
  <c r="K499" i="13"/>
  <c r="N499" i="13" s="1"/>
  <c r="D499" i="13"/>
  <c r="I500" i="13" l="1"/>
  <c r="D500" i="13"/>
  <c r="N500" i="13" s="1"/>
  <c r="F500" i="13"/>
  <c r="K500" i="13"/>
  <c r="B500" i="13"/>
</calcChain>
</file>

<file path=xl/sharedStrings.xml><?xml version="1.0" encoding="utf-8"?>
<sst xmlns="http://schemas.openxmlformats.org/spreadsheetml/2006/main" count="142" uniqueCount="111">
  <si>
    <t xml:space="preserve"> </t>
  </si>
  <si>
    <t>PASTE DATA INTO COLUMNS A AND B</t>
  </si>
  <si>
    <t>CONVERT Pc TO HEIGHT ABOVE FREE WATER LEVEL</t>
  </si>
  <si>
    <t xml:space="preserve">G Factor = </t>
  </si>
  <si>
    <t xml:space="preserve">Pd = </t>
  </si>
  <si>
    <t>BV(inf)=</t>
  </si>
  <si>
    <t xml:space="preserve">Porosity </t>
  </si>
  <si>
    <t>Brine Dens.gm/cc(resv)</t>
  </si>
  <si>
    <t xml:space="preserve">Perm (md)  </t>
  </si>
  <si>
    <t>HC Dens.gm/cc(resv)</t>
  </si>
  <si>
    <t>Pc</t>
  </si>
  <si>
    <t>%BVocc</t>
  </si>
  <si>
    <t>%BVoccCORR</t>
  </si>
  <si>
    <t>THOMEER BV1</t>
  </si>
  <si>
    <t>BV1_RESIDUAL</t>
  </si>
  <si>
    <t>THOMEER BV2</t>
  </si>
  <si>
    <t>BV2_RESIDUAL</t>
  </si>
  <si>
    <t xml:space="preserve"> BV1+BV2</t>
  </si>
  <si>
    <t>TOTAL RESIDUAL</t>
  </si>
  <si>
    <t>THOMEER BV3</t>
  </si>
  <si>
    <t>BV3 RESIDUAL</t>
  </si>
  <si>
    <t>BV1+BV2+BV3</t>
  </si>
  <si>
    <t>1-HG SATURATION</t>
  </si>
  <si>
    <t>H above FWL (Ft)</t>
  </si>
  <si>
    <t>PORE THROAT(CM)</t>
  </si>
  <si>
    <t>(MICRON)</t>
  </si>
  <si>
    <t>delta %Bvocc</t>
  </si>
  <si>
    <t>delta %Bvocc corr</t>
  </si>
  <si>
    <t>BV tot</t>
  </si>
  <si>
    <t>delta BV tot</t>
  </si>
  <si>
    <t>SAMPLE NO.:</t>
  </si>
  <si>
    <t>Phi:</t>
  </si>
  <si>
    <t>BVTot:</t>
  </si>
  <si>
    <t>Perm:</t>
  </si>
  <si>
    <t>PORE SYSTEM 1:</t>
  </si>
  <si>
    <t>G1:</t>
  </si>
  <si>
    <t>Pd1:</t>
  </si>
  <si>
    <t>BV1:</t>
  </si>
  <si>
    <t>Closure Corr:</t>
  </si>
  <si>
    <t>PORE SYSTEM 2:</t>
  </si>
  <si>
    <t>G2:</t>
  </si>
  <si>
    <t>Pd2:</t>
  </si>
  <si>
    <t>BV2:</t>
  </si>
  <si>
    <t>PORE SYSTEM 3:</t>
  </si>
  <si>
    <t>G3:</t>
  </si>
  <si>
    <t>Pd3:</t>
  </si>
  <si>
    <t>BV3:</t>
  </si>
  <si>
    <t>Note:  These values below this line link to the graphics portion of this spreadsheet and shouldn't be altered.</t>
  </si>
  <si>
    <t>PC</t>
  </si>
  <si>
    <t>FWL SCALE</t>
  </si>
  <si>
    <t>Hg saturation</t>
  </si>
  <si>
    <t>Ht. above FWL</t>
  </si>
  <si>
    <t>Hg. Saturation%</t>
  </si>
  <si>
    <t>swanson</t>
  </si>
  <si>
    <t>Bvocc Cor</t>
  </si>
  <si>
    <t xml:space="preserve">Pc = </t>
  </si>
  <si>
    <t>Description</t>
  </si>
  <si>
    <t xml:space="preserve">      Closure Pc = </t>
  </si>
  <si>
    <t>cont.angle [degrees]=</t>
  </si>
  <si>
    <t>INTERFACIAL TENSION OF a/Hg [dynes/cm2]  =</t>
  </si>
  <si>
    <t xml:space="preserve">   PS1 (LARGE PORE SYSTEM)</t>
  </si>
  <si>
    <t xml:space="preserve">   PS2 (FINE PORE SYSTEM)</t>
  </si>
  <si>
    <t xml:space="preserve">   PS3 (FINE PORE SYSTEM)</t>
  </si>
  <si>
    <t>Description:</t>
  </si>
  <si>
    <t>Buiting-Clerke Perm:</t>
  </si>
  <si>
    <t>Swanson Point is at max of  Bvcorr / Pc =</t>
  </si>
  <si>
    <t xml:space="preserve">Closure Correction </t>
  </si>
  <si>
    <t xml:space="preserve">      Closure Vol =</t>
  </si>
  <si>
    <t>USER INPUT IS IN YELLOW AREAS</t>
  </si>
  <si>
    <t>Bv =</t>
  </si>
  <si>
    <t>Bar Height =</t>
  </si>
  <si>
    <t>Clerke, E.A. and P.R. Martin 2004. Thomeer Swanson excel spreadsheet and FAQ’s and user comments.</t>
  </si>
  <si>
    <t>Presented and distributed at the SPWLA 2004 Carbonate Workshop, Noordwijk.</t>
  </si>
  <si>
    <t>This spreadsheet is free for use provided you acknowledge:  Ed Clerke and Paul Martin - builders</t>
  </si>
  <si>
    <t xml:space="preserve">Graphics </t>
  </si>
  <si>
    <t>Bar Location from D5</t>
  </si>
  <si>
    <t>Minimize Target Low Range</t>
  </si>
  <si>
    <t>Minimize Target  High Range</t>
  </si>
  <si>
    <t xml:space="preserve">             QC Cells</t>
  </si>
  <si>
    <t xml:space="preserve">Closure Corr on Pore Throat Radius </t>
  </si>
  <si>
    <t>Permeability        0.3 - 3.0</t>
  </si>
  <si>
    <t>Por Diff     &lt; 3</t>
  </si>
  <si>
    <t>BV*(inf)=</t>
  </si>
  <si>
    <t>Swanson K,md</t>
  </si>
  <si>
    <t>Thomeer K,md</t>
  </si>
  <si>
    <t>BV*(inf) TOTAL =</t>
  </si>
  <si>
    <t>BV(inf) TOTAL =</t>
  </si>
  <si>
    <t>Microns</t>
  </si>
  <si>
    <t>BV</t>
  </si>
  <si>
    <t>INTERFACIAL TENSION OF w/hc [dynes/cm] =</t>
  </si>
  <si>
    <t>14</t>
  </si>
  <si>
    <t>1.15</t>
  </si>
  <si>
    <t>Clerke GeoArabia 2008 Trimodal</t>
  </si>
  <si>
    <t xml:space="preserve">  Buiting-Clerke K md</t>
  </si>
  <si>
    <r>
      <rPr>
        <b/>
        <sz val="12"/>
        <rFont val="Geneva"/>
      </rPr>
      <t>Buiting Clerke Permeability;</t>
    </r>
    <r>
      <rPr>
        <sz val="12"/>
        <rFont val="Geneva"/>
      </rPr>
      <t xml:space="preserve"> Buiting, J. J. M., Clerke, E. A., Permeability from Porosimetry Measurements, Derivation for a Tortuous and Fractal Tubular Bundle, Journal of Petroleum Science and Engineering, in press, May 2013</t>
    </r>
  </si>
  <si>
    <t>Well_Snum_depth</t>
  </si>
  <si>
    <t xml:space="preserve">BV*(inf) is the BV(inf) corrected to He Por equivalent using Arab limestone Rosetta Stone Data. </t>
  </si>
  <si>
    <t xml:space="preserve"> The fuzzy blue areas indicate regions of potential data glitches from poor low to high pressure tranducer data splices.</t>
  </si>
  <si>
    <t>up smt delta % BV occ corr</t>
  </si>
  <si>
    <t>dn smt delta % BV occ corr</t>
  </si>
  <si>
    <t>ave smt delta % BV occ corr</t>
  </si>
  <si>
    <t>Weight (1 or 0)</t>
  </si>
  <si>
    <t>Weight            (1 or 0)</t>
  </si>
  <si>
    <t>delta% Bvocc_corr_edt</t>
  </si>
  <si>
    <t>Weight Inverse</t>
  </si>
  <si>
    <t>Points to remove</t>
  </si>
  <si>
    <t>Example</t>
  </si>
  <si>
    <t>%BVoccCORR EDT</t>
  </si>
  <si>
    <t>deriv resid error</t>
  </si>
  <si>
    <t>BV SQUR.TOT.RESID * weight</t>
  </si>
  <si>
    <t>BV SQUR.TOT.RESID)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</si>
</sst>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#,##0.0"/>
  </numFmts>
  <fonts count="20">
    <font>
      <sz val="10"/>
      <name val="Arial"/>
    </font>
    <font>
      <sz val="10"/>
      <name val="Geneva"/>
    </font>
    <font>
      <b/>
      <sz val="10"/>
      <name val="Geneva"/>
    </font>
    <font>
      <b/>
      <sz val="12"/>
      <name val="Geneva"/>
    </font>
    <font>
      <b/>
      <sz val="14"/>
      <name val="Geneva"/>
    </font>
    <font>
      <b/>
      <sz val="9"/>
      <name val="Helv"/>
    </font>
    <font>
      <b/>
      <sz val="9"/>
      <name val="Geneva"/>
    </font>
    <font>
      <b/>
      <sz val="8"/>
      <name val="Geneva"/>
    </font>
    <font>
      <b/>
      <sz val="10"/>
      <color indexed="10"/>
      <name val="Geneva"/>
    </font>
    <font>
      <b/>
      <sz val="18"/>
      <name val="Geneva"/>
    </font>
    <font>
      <sz val="12"/>
      <name val="Geneva"/>
    </font>
    <font>
      <b/>
      <sz val="12"/>
      <name val="Tms Rmn"/>
    </font>
    <font>
      <b/>
      <sz val="12"/>
      <name val="Palatino"/>
      <family val="1"/>
    </font>
    <font>
      <b/>
      <i/>
      <sz val="12"/>
      <name val="Palatino"/>
      <family val="1"/>
    </font>
    <font>
      <i/>
      <sz val="12"/>
      <name val="Palatino"/>
      <family val="1"/>
    </font>
    <font>
      <sz val="16"/>
      <name val="Geneva"/>
    </font>
    <font>
      <b/>
      <sz val="12"/>
      <name val="Arial"/>
      <family val="2"/>
    </font>
    <font>
      <b/>
      <sz val="14"/>
      <name val="Tms Rmn"/>
    </font>
    <font>
      <b/>
      <sz val="14"/>
      <name val="Arial"/>
      <family val="2"/>
    </font>
    <font>
      <sz val="14"/>
      <name val="Geneva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</patternFill>
    </fill>
    <fill>
      <patternFill patternType="solid">
        <fgColor indexed="44"/>
        <bgColor indexed="64"/>
      </patternFill>
    </fill>
    <fill>
      <patternFill patternType="mediumGray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10"/>
      </right>
      <top style="medium">
        <color indexed="64"/>
      </top>
      <bottom/>
      <diagonal/>
    </border>
    <border>
      <left style="medium">
        <color indexed="1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thick">
        <color indexed="10"/>
      </top>
      <bottom/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2">
    <xf numFmtId="0" fontId="0" fillId="0" borderId="0"/>
    <xf numFmtId="0" fontId="1" fillId="0" borderId="0"/>
  </cellStyleXfs>
  <cellXfs count="179">
    <xf numFmtId="0" fontId="0" fillId="0" borderId="0" xfId="0"/>
    <xf numFmtId="0" fontId="1" fillId="0" borderId="0" xfId="1"/>
    <xf numFmtId="167" fontId="1" fillId="0" borderId="0" xfId="1" applyNumberFormat="1"/>
    <xf numFmtId="0" fontId="3" fillId="0" borderId="0" xfId="1" applyFont="1"/>
    <xf numFmtId="2" fontId="1" fillId="0" borderId="0" xfId="1" applyNumberFormat="1"/>
    <xf numFmtId="0" fontId="1" fillId="0" borderId="0" xfId="1" applyFill="1"/>
    <xf numFmtId="0" fontId="5" fillId="0" borderId="1" xfId="1" applyFont="1" applyFill="1" applyBorder="1"/>
    <xf numFmtId="11" fontId="1" fillId="0" borderId="0" xfId="1" applyNumberFormat="1"/>
    <xf numFmtId="4" fontId="1" fillId="0" borderId="0" xfId="1" applyNumberFormat="1"/>
    <xf numFmtId="2" fontId="1" fillId="0" borderId="0" xfId="1" applyNumberFormat="1" applyProtection="1">
      <protection hidden="1"/>
    </xf>
    <xf numFmtId="166" fontId="1" fillId="0" borderId="0" xfId="1" applyNumberFormat="1"/>
    <xf numFmtId="0" fontId="3" fillId="0" borderId="0" xfId="1" applyFont="1" applyAlignment="1">
      <alignment horizontal="right"/>
    </xf>
    <xf numFmtId="2" fontId="3" fillId="0" borderId="0" xfId="1" applyNumberFormat="1" applyFont="1"/>
    <xf numFmtId="169" fontId="3" fillId="0" borderId="0" xfId="1" applyNumberFormat="1" applyFont="1"/>
    <xf numFmtId="11" fontId="8" fillId="0" borderId="0" xfId="1" applyNumberFormat="1" applyFont="1"/>
    <xf numFmtId="0" fontId="9" fillId="0" borderId="0" xfId="1" applyFont="1"/>
    <xf numFmtId="1" fontId="1" fillId="0" borderId="0" xfId="1" applyNumberFormat="1"/>
    <xf numFmtId="0" fontId="1" fillId="0" borderId="0" xfId="1" applyFont="1" applyFill="1" applyBorder="1"/>
    <xf numFmtId="2" fontId="1" fillId="0" borderId="0" xfId="1" applyNumberFormat="1" applyFill="1"/>
    <xf numFmtId="49" fontId="2" fillId="0" borderId="0" xfId="1" applyNumberFormat="1" applyFont="1" applyFill="1" applyBorder="1" applyAlignment="1" applyProtection="1">
      <alignment vertical="center"/>
      <protection locked="0"/>
    </xf>
    <xf numFmtId="49" fontId="1" fillId="0" borderId="0" xfId="1" applyNumberFormat="1" applyAlignment="1">
      <alignment vertical="center"/>
    </xf>
    <xf numFmtId="49" fontId="3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49" fontId="10" fillId="0" borderId="2" xfId="1" applyNumberFormat="1" applyFont="1" applyBorder="1" applyAlignment="1">
      <alignment vertical="center"/>
    </xf>
    <xf numFmtId="49" fontId="10" fillId="0" borderId="0" xfId="1" applyNumberFormat="1" applyFont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7" fillId="0" borderId="0" xfId="1" applyNumberFormat="1" applyFont="1" applyAlignment="1">
      <alignment vertical="center"/>
    </xf>
    <xf numFmtId="49" fontId="3" fillId="2" borderId="3" xfId="1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vertical="center"/>
    </xf>
    <xf numFmtId="49" fontId="11" fillId="0" borderId="0" xfId="1" applyNumberFormat="1" applyFont="1" applyBorder="1" applyAlignment="1">
      <alignment horizontal="right" vertical="center"/>
    </xf>
    <xf numFmtId="49" fontId="1" fillId="2" borderId="4" xfId="1" applyNumberFormat="1" applyFill="1" applyBorder="1" applyAlignment="1">
      <alignment vertical="center"/>
    </xf>
    <xf numFmtId="49" fontId="1" fillId="2" borderId="5" xfId="1" applyNumberFormat="1" applyFill="1" applyBorder="1" applyAlignment="1">
      <alignment vertical="center"/>
    </xf>
    <xf numFmtId="49" fontId="1" fillId="2" borderId="6" xfId="1" applyNumberFormat="1" applyFill="1" applyBorder="1" applyAlignment="1">
      <alignment vertical="center"/>
    </xf>
    <xf numFmtId="168" fontId="10" fillId="0" borderId="0" xfId="1" applyNumberFormat="1" applyFont="1" applyAlignment="1">
      <alignment vertical="center"/>
    </xf>
    <xf numFmtId="49" fontId="3" fillId="3" borderId="0" xfId="1" applyNumberFormat="1" applyFont="1" applyFill="1" applyAlignment="1">
      <alignment vertical="center"/>
    </xf>
    <xf numFmtId="49" fontId="1" fillId="4" borderId="0" xfId="1" applyNumberFormat="1" applyFill="1" applyBorder="1" applyAlignment="1">
      <alignment vertical="center"/>
    </xf>
    <xf numFmtId="49" fontId="4" fillId="4" borderId="7" xfId="1" applyNumberFormat="1" applyFont="1" applyFill="1" applyBorder="1" applyAlignment="1">
      <alignment vertical="center"/>
    </xf>
    <xf numFmtId="49" fontId="1" fillId="4" borderId="5" xfId="1" applyNumberFormat="1" applyFill="1" applyBorder="1" applyAlignment="1">
      <alignment vertical="center"/>
    </xf>
    <xf numFmtId="49" fontId="4" fillId="4" borderId="8" xfId="1" applyNumberFormat="1" applyFont="1" applyFill="1" applyBorder="1" applyAlignment="1">
      <alignment vertical="center"/>
    </xf>
    <xf numFmtId="49" fontId="11" fillId="4" borderId="9" xfId="1" applyNumberFormat="1" applyFont="1" applyFill="1" applyBorder="1" applyAlignment="1">
      <alignment vertical="center"/>
    </xf>
    <xf numFmtId="11" fontId="1" fillId="0" borderId="0" xfId="1" applyNumberFormat="1" applyFill="1"/>
    <xf numFmtId="166" fontId="1" fillId="0" borderId="0" xfId="1" applyNumberFormat="1" applyFill="1"/>
    <xf numFmtId="49" fontId="10" fillId="0" borderId="0" xfId="1" applyNumberFormat="1" applyFont="1" applyAlignment="1">
      <alignment horizontal="right" vertical="center"/>
    </xf>
    <xf numFmtId="49" fontId="2" fillId="0" borderId="0" xfId="1" applyNumberFormat="1" applyFont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167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49" fontId="11" fillId="0" borderId="10" xfId="1" applyNumberFormat="1" applyFont="1" applyBorder="1" applyAlignment="1">
      <alignment horizontal="center" vertical="center"/>
    </xf>
    <xf numFmtId="49" fontId="10" fillId="0" borderId="11" xfId="1" applyNumberFormat="1" applyFont="1" applyBorder="1" applyAlignment="1">
      <alignment horizontal="center" vertical="center"/>
    </xf>
    <xf numFmtId="166" fontId="1" fillId="0" borderId="0" xfId="1" applyNumberFormat="1" applyAlignment="1">
      <alignment horizontal="center"/>
    </xf>
    <xf numFmtId="11" fontId="1" fillId="0" borderId="0" xfId="1" applyNumberFormat="1" applyAlignment="1">
      <alignment horizontal="center"/>
    </xf>
    <xf numFmtId="11" fontId="1" fillId="0" borderId="0" xfId="1" applyNumberFormat="1" applyFill="1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2" fontId="10" fillId="0" borderId="12" xfId="1" applyNumberFormat="1" applyFont="1" applyBorder="1" applyAlignment="1">
      <alignment horizontal="center" vertical="center"/>
    </xf>
    <xf numFmtId="49" fontId="10" fillId="0" borderId="0" xfId="1" applyNumberFormat="1" applyFont="1" applyAlignment="1">
      <alignment vertical="center" wrapText="1"/>
    </xf>
    <xf numFmtId="49" fontId="13" fillId="3" borderId="10" xfId="1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horizontal="left" vertical="center"/>
    </xf>
    <xf numFmtId="49" fontId="1" fillId="0" borderId="0" xfId="1" applyNumberFormat="1" applyFill="1" applyBorder="1" applyAlignment="1">
      <alignment horizontal="center" vertical="center"/>
    </xf>
    <xf numFmtId="49" fontId="1" fillId="0" borderId="0" xfId="1" applyNumberFormat="1" applyFill="1" applyBorder="1" applyAlignment="1">
      <alignment vertical="center"/>
    </xf>
    <xf numFmtId="49" fontId="2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right" vertical="center"/>
    </xf>
    <xf numFmtId="2" fontId="3" fillId="0" borderId="0" xfId="1" applyNumberFormat="1" applyFont="1" applyFill="1" applyBorder="1" applyAlignment="1">
      <alignment horizontal="center" vertical="center"/>
    </xf>
    <xf numFmtId="49" fontId="10" fillId="0" borderId="9" xfId="1" applyNumberFormat="1" applyFont="1" applyBorder="1" applyAlignment="1">
      <alignment vertical="center"/>
    </xf>
    <xf numFmtId="49" fontId="3" fillId="5" borderId="9" xfId="1" applyNumberFormat="1" applyFont="1" applyFill="1" applyBorder="1" applyAlignment="1">
      <alignment horizontal="center" vertical="center"/>
    </xf>
    <xf numFmtId="49" fontId="1" fillId="0" borderId="9" xfId="1" applyNumberFormat="1" applyFont="1" applyBorder="1" applyAlignment="1">
      <alignment vertical="center" wrapText="1"/>
    </xf>
    <xf numFmtId="49" fontId="3" fillId="5" borderId="2" xfId="1" applyNumberFormat="1" applyFont="1" applyFill="1" applyBorder="1" applyAlignment="1">
      <alignment horizontal="center" vertical="center"/>
    </xf>
    <xf numFmtId="49" fontId="1" fillId="0" borderId="7" xfId="1" applyNumberFormat="1" applyFont="1" applyBorder="1" applyAlignment="1">
      <alignment vertical="center" wrapText="1"/>
    </xf>
    <xf numFmtId="49" fontId="10" fillId="0" borderId="13" xfId="1" applyNumberFormat="1" applyFont="1" applyBorder="1" applyAlignment="1">
      <alignment vertical="center"/>
    </xf>
    <xf numFmtId="49" fontId="1" fillId="0" borderId="14" xfId="1" applyNumberFormat="1" applyFont="1" applyBorder="1" applyAlignment="1">
      <alignment vertical="center" wrapText="1"/>
    </xf>
    <xf numFmtId="49" fontId="10" fillId="0" borderId="15" xfId="1" applyNumberFormat="1" applyFont="1" applyBorder="1" applyAlignment="1">
      <alignment vertical="center"/>
    </xf>
    <xf numFmtId="49" fontId="10" fillId="0" borderId="16" xfId="1" applyNumberFormat="1" applyFont="1" applyBorder="1" applyAlignment="1">
      <alignment vertical="center"/>
    </xf>
    <xf numFmtId="49" fontId="13" fillId="0" borderId="0" xfId="1" applyNumberFormat="1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horizontal="center" vertical="center" wrapText="1"/>
    </xf>
    <xf numFmtId="49" fontId="1" fillId="0" borderId="9" xfId="1" applyNumberFormat="1" applyFont="1" applyBorder="1" applyAlignment="1">
      <alignment vertical="center"/>
    </xf>
    <xf numFmtId="49" fontId="4" fillId="3" borderId="17" xfId="1" applyNumberFormat="1" applyFont="1" applyFill="1" applyBorder="1" applyAlignment="1">
      <alignment vertical="center"/>
    </xf>
    <xf numFmtId="49" fontId="1" fillId="3" borderId="18" xfId="1" applyNumberFormat="1" applyFill="1" applyBorder="1" applyAlignment="1">
      <alignment vertical="center"/>
    </xf>
    <xf numFmtId="164" fontId="3" fillId="6" borderId="19" xfId="1" applyNumberFormat="1" applyFont="1" applyFill="1" applyBorder="1" applyAlignment="1">
      <alignment horizontal="center" vertical="center"/>
    </xf>
    <xf numFmtId="49" fontId="11" fillId="4" borderId="32" xfId="1" applyNumberFormat="1" applyFont="1" applyFill="1" applyBorder="1" applyAlignment="1">
      <alignment horizontal="center" vertical="center"/>
    </xf>
    <xf numFmtId="49" fontId="11" fillId="4" borderId="33" xfId="1" applyNumberFormat="1" applyFont="1" applyFill="1" applyBorder="1" applyAlignment="1">
      <alignment horizontal="center" vertical="center"/>
    </xf>
    <xf numFmtId="49" fontId="15" fillId="6" borderId="34" xfId="1" applyNumberFormat="1" applyFont="1" applyFill="1" applyBorder="1" applyAlignment="1">
      <alignment horizontal="center" vertical="center"/>
    </xf>
    <xf numFmtId="165" fontId="4" fillId="6" borderId="34" xfId="1" applyNumberFormat="1" applyFont="1" applyFill="1" applyBorder="1" applyAlignment="1" applyProtection="1">
      <alignment horizontal="center" vertical="center"/>
      <protection hidden="1"/>
    </xf>
    <xf numFmtId="0" fontId="5" fillId="0" borderId="0" xfId="1" applyFont="1" applyFill="1" applyBorder="1"/>
    <xf numFmtId="49" fontId="3" fillId="6" borderId="21" xfId="1" applyNumberFormat="1" applyFont="1" applyFill="1" applyBorder="1" applyAlignment="1">
      <alignment horizontal="center" vertical="center"/>
    </xf>
    <xf numFmtId="164" fontId="3" fillId="6" borderId="22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1" fillId="4" borderId="23" xfId="1" applyNumberFormat="1" applyFill="1" applyBorder="1" applyAlignment="1">
      <alignment vertical="center"/>
    </xf>
    <xf numFmtId="49" fontId="12" fillId="6" borderId="3" xfId="1" applyNumberFormat="1" applyFont="1" applyFill="1" applyBorder="1" applyAlignment="1">
      <alignment horizontal="center" vertical="center" wrapText="1"/>
    </xf>
    <xf numFmtId="49" fontId="12" fillId="6" borderId="35" xfId="1" applyNumberFormat="1" applyFont="1" applyFill="1" applyBorder="1" applyAlignment="1">
      <alignment horizontal="center" vertical="center" wrapText="1"/>
    </xf>
    <xf numFmtId="49" fontId="11" fillId="4" borderId="34" xfId="1" applyNumberFormat="1" applyFont="1" applyFill="1" applyBorder="1" applyAlignment="1">
      <alignment horizontal="center" vertical="center"/>
    </xf>
    <xf numFmtId="165" fontId="4" fillId="6" borderId="36" xfId="1" applyNumberFormat="1" applyFont="1" applyFill="1" applyBorder="1" applyAlignment="1" applyProtection="1">
      <alignment horizontal="center" vertical="center"/>
      <protection hidden="1"/>
    </xf>
    <xf numFmtId="165" fontId="3" fillId="6" borderId="36" xfId="1" applyNumberFormat="1" applyFont="1" applyFill="1" applyBorder="1" applyAlignment="1">
      <alignment horizontal="center" vertical="center"/>
    </xf>
    <xf numFmtId="165" fontId="3" fillId="6" borderId="37" xfId="1" applyNumberFormat="1" applyFont="1" applyFill="1" applyBorder="1" applyAlignment="1">
      <alignment horizontal="center" vertical="center"/>
    </xf>
    <xf numFmtId="49" fontId="4" fillId="0" borderId="5" xfId="1" applyNumberFormat="1" applyFont="1" applyFill="1" applyBorder="1" applyAlignment="1">
      <alignment horizontal="center" vertical="center" wrapText="1"/>
    </xf>
    <xf numFmtId="49" fontId="4" fillId="0" borderId="10" xfId="1" applyNumberFormat="1" applyFont="1" applyFill="1" applyBorder="1" applyAlignment="1">
      <alignment horizontal="center" vertical="center" wrapText="1"/>
    </xf>
    <xf numFmtId="0" fontId="0" fillId="8" borderId="0" xfId="0" applyFill="1"/>
    <xf numFmtId="49" fontId="4" fillId="0" borderId="24" xfId="1" applyNumberFormat="1" applyFont="1" applyFill="1" applyBorder="1" applyAlignment="1">
      <alignment horizontal="center"/>
    </xf>
    <xf numFmtId="49" fontId="4" fillId="2" borderId="25" xfId="1" applyNumberFormat="1" applyFont="1" applyFill="1" applyBorder="1" applyAlignment="1">
      <alignment horizontal="center"/>
    </xf>
    <xf numFmtId="49" fontId="17" fillId="0" borderId="0" xfId="1" applyNumberFormat="1" applyFont="1" applyBorder="1" applyAlignment="1">
      <alignment horizontal="right"/>
    </xf>
    <xf numFmtId="164" fontId="4" fillId="6" borderId="37" xfId="1" applyNumberFormat="1" applyFont="1" applyFill="1" applyBorder="1" applyAlignment="1">
      <alignment horizontal="center"/>
    </xf>
    <xf numFmtId="164" fontId="4" fillId="6" borderId="22" xfId="1" applyNumberFormat="1" applyFont="1" applyFill="1" applyBorder="1" applyAlignment="1" applyProtection="1">
      <alignment horizontal="center"/>
      <protection locked="0"/>
    </xf>
    <xf numFmtId="2" fontId="4" fillId="9" borderId="4" xfId="1" applyNumberFormat="1" applyFont="1" applyFill="1" applyBorder="1" applyAlignment="1">
      <alignment horizontal="center"/>
    </xf>
    <xf numFmtId="2" fontId="4" fillId="9" borderId="11" xfId="1" applyNumberFormat="1" applyFont="1" applyFill="1" applyBorder="1" applyAlignment="1">
      <alignment horizontal="center"/>
    </xf>
    <xf numFmtId="49" fontId="4" fillId="0" borderId="0" xfId="1" applyNumberFormat="1" applyFont="1" applyBorder="1" applyAlignment="1"/>
    <xf numFmtId="49" fontId="4" fillId="5" borderId="0" xfId="1" applyNumberFormat="1" applyFont="1" applyFill="1" applyBorder="1" applyAlignment="1">
      <alignment horizontal="center"/>
    </xf>
    <xf numFmtId="49" fontId="4" fillId="0" borderId="0" xfId="1" applyNumberFormat="1" applyFont="1" applyBorder="1" applyAlignment="1">
      <alignment wrapText="1"/>
    </xf>
    <xf numFmtId="49" fontId="4" fillId="5" borderId="13" xfId="1" applyNumberFormat="1" applyFont="1" applyFill="1" applyBorder="1" applyAlignment="1">
      <alignment horizontal="center"/>
    </xf>
    <xf numFmtId="49" fontId="4" fillId="0" borderId="0" xfId="1" applyNumberFormat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/>
    <xf numFmtId="49" fontId="4" fillId="0" borderId="0" xfId="1" applyNumberFormat="1" applyFont="1" applyAlignment="1">
      <alignment horizontal="right"/>
    </xf>
    <xf numFmtId="49" fontId="4" fillId="0" borderId="11" xfId="1" applyNumberFormat="1" applyFont="1" applyFill="1" applyBorder="1" applyAlignment="1" applyProtection="1">
      <alignment horizontal="center"/>
      <protection locked="0"/>
    </xf>
    <xf numFmtId="49" fontId="4" fillId="0" borderId="0" xfId="1" applyNumberFormat="1" applyFont="1" applyAlignment="1"/>
    <xf numFmtId="49" fontId="4" fillId="3" borderId="0" xfId="1" applyNumberFormat="1" applyFont="1" applyFill="1" applyAlignment="1"/>
    <xf numFmtId="2" fontId="3" fillId="7" borderId="0" xfId="1" applyNumberFormat="1" applyFont="1" applyFill="1" applyBorder="1" applyAlignment="1" applyProtection="1">
      <alignment horizontal="center" vertical="center"/>
      <protection locked="0"/>
    </xf>
    <xf numFmtId="2" fontId="3" fillId="7" borderId="15" xfId="1" applyNumberFormat="1" applyFont="1" applyFill="1" applyBorder="1" applyAlignment="1" applyProtection="1">
      <alignment horizontal="center" vertical="center"/>
      <protection locked="0"/>
    </xf>
    <xf numFmtId="49" fontId="18" fillId="6" borderId="38" xfId="1" applyNumberFormat="1" applyFont="1" applyFill="1" applyBorder="1" applyAlignment="1">
      <alignment horizontal="left" vertical="center"/>
    </xf>
    <xf numFmtId="49" fontId="10" fillId="9" borderId="0" xfId="1" applyNumberFormat="1" applyFont="1" applyFill="1" applyAlignment="1">
      <alignment vertical="center"/>
    </xf>
    <xf numFmtId="49" fontId="3" fillId="9" borderId="0" xfId="1" applyNumberFormat="1" applyFont="1" applyFill="1" applyAlignment="1">
      <alignment vertical="center"/>
    </xf>
    <xf numFmtId="49" fontId="11" fillId="4" borderId="38" xfId="1" applyNumberFormat="1" applyFont="1" applyFill="1" applyBorder="1" applyAlignment="1">
      <alignment horizontal="center" vertical="center"/>
    </xf>
    <xf numFmtId="49" fontId="16" fillId="6" borderId="39" xfId="1" applyNumberFormat="1" applyFont="1" applyFill="1" applyBorder="1" applyAlignment="1">
      <alignment horizontal="center" vertical="center"/>
    </xf>
    <xf numFmtId="49" fontId="10" fillId="6" borderId="36" xfId="1" applyNumberFormat="1" applyFont="1" applyFill="1" applyBorder="1" applyAlignment="1">
      <alignment horizontal="center" vertical="center"/>
    </xf>
    <xf numFmtId="2" fontId="4" fillId="5" borderId="0" xfId="1" applyNumberFormat="1" applyFont="1" applyFill="1" applyBorder="1" applyAlignment="1" applyProtection="1">
      <alignment horizontal="center"/>
      <protection locked="0"/>
    </xf>
    <xf numFmtId="2" fontId="4" fillId="5" borderId="32" xfId="1" applyNumberFormat="1" applyFont="1" applyFill="1" applyBorder="1" applyAlignment="1" applyProtection="1">
      <alignment horizontal="center"/>
      <protection locked="0"/>
    </xf>
    <xf numFmtId="2" fontId="4" fillId="5" borderId="33" xfId="1" applyNumberFormat="1" applyFont="1" applyFill="1" applyBorder="1" applyAlignment="1" applyProtection="1">
      <alignment horizontal="center"/>
      <protection locked="0"/>
    </xf>
    <xf numFmtId="2" fontId="4" fillId="5" borderId="40" xfId="1" applyNumberFormat="1" applyFont="1" applyFill="1" applyBorder="1" applyAlignment="1" applyProtection="1">
      <alignment horizontal="center"/>
      <protection locked="0"/>
    </xf>
    <xf numFmtId="2" fontId="4" fillId="5" borderId="32" xfId="1" applyNumberFormat="1" applyFont="1" applyFill="1" applyBorder="1" applyAlignment="1">
      <alignment horizontal="center"/>
    </xf>
    <xf numFmtId="1" fontId="4" fillId="5" borderId="33" xfId="1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/>
    <xf numFmtId="49" fontId="3" fillId="0" borderId="26" xfId="1" applyNumberFormat="1" applyFont="1" applyFill="1" applyBorder="1" applyAlignment="1" applyProtection="1">
      <alignment horizontal="center" vertical="center"/>
      <protection locked="0"/>
    </xf>
    <xf numFmtId="49" fontId="3" fillId="0" borderId="24" xfId="1" applyNumberFormat="1" applyFont="1" applyFill="1" applyBorder="1" applyAlignment="1">
      <alignment horizontal="center" vertical="center"/>
    </xf>
    <xf numFmtId="49" fontId="3" fillId="0" borderId="27" xfId="1" applyNumberFormat="1" applyFont="1" applyFill="1" applyBorder="1" applyAlignment="1">
      <alignment horizontal="center" vertical="center"/>
    </xf>
    <xf numFmtId="4" fontId="1" fillId="0" borderId="0" xfId="1" applyNumberFormat="1" applyAlignment="1">
      <alignment horizontal="center"/>
    </xf>
    <xf numFmtId="49" fontId="2" fillId="2" borderId="4" xfId="1" applyNumberFormat="1" applyFont="1" applyFill="1" applyBorder="1" applyAlignment="1">
      <alignment horizontal="left" vertical="center"/>
    </xf>
    <xf numFmtId="49" fontId="2" fillId="2" borderId="28" xfId="1" applyNumberFormat="1" applyFont="1" applyFill="1" applyBorder="1" applyAlignment="1">
      <alignment horizontal="left" vertical="center"/>
    </xf>
    <xf numFmtId="165" fontId="3" fillId="3" borderId="29" xfId="1" applyNumberFormat="1" applyFont="1" applyFill="1" applyBorder="1" applyAlignment="1">
      <alignment horizontal="center" vertical="center"/>
    </xf>
    <xf numFmtId="49" fontId="3" fillId="6" borderId="26" xfId="1" applyNumberFormat="1" applyFont="1" applyFill="1" applyBorder="1" applyAlignment="1" applyProtection="1">
      <alignment horizontal="left" vertical="center"/>
      <protection locked="0"/>
    </xf>
    <xf numFmtId="49" fontId="3" fillId="6" borderId="20" xfId="1" applyNumberFormat="1" applyFont="1" applyFill="1" applyBorder="1" applyAlignment="1" applyProtection="1">
      <alignment horizontal="center" vertical="center"/>
      <protection locked="0"/>
    </xf>
    <xf numFmtId="49" fontId="3" fillId="6" borderId="0" xfId="1" applyNumberFormat="1" applyFont="1" applyFill="1" applyBorder="1" applyAlignment="1" applyProtection="1">
      <alignment horizontal="center" vertical="center"/>
      <protection locked="0"/>
    </xf>
    <xf numFmtId="49" fontId="10" fillId="6" borderId="0" xfId="1" applyNumberFormat="1" applyFont="1" applyFill="1" applyBorder="1" applyAlignment="1">
      <alignment horizontal="center" vertical="center"/>
    </xf>
    <xf numFmtId="49" fontId="3" fillId="6" borderId="0" xfId="1" applyNumberFormat="1" applyFont="1" applyFill="1" applyBorder="1" applyAlignment="1">
      <alignment horizontal="center" vertical="center"/>
    </xf>
    <xf numFmtId="49" fontId="2" fillId="10" borderId="8" xfId="1" applyNumberFormat="1" applyFont="1" applyFill="1" applyBorder="1" applyAlignment="1">
      <alignment vertical="center"/>
    </xf>
    <xf numFmtId="49" fontId="1" fillId="10" borderId="5" xfId="1" applyNumberFormat="1" applyFill="1" applyBorder="1" applyAlignment="1">
      <alignment vertical="center"/>
    </xf>
    <xf numFmtId="49" fontId="1" fillId="10" borderId="23" xfId="1" applyNumberFormat="1" applyFill="1" applyBorder="1" applyAlignment="1">
      <alignment vertical="center"/>
    </xf>
    <xf numFmtId="49" fontId="2" fillId="10" borderId="29" xfId="1" applyNumberFormat="1" applyFont="1" applyFill="1" applyBorder="1" applyAlignment="1">
      <alignment vertical="center"/>
    </xf>
    <xf numFmtId="49" fontId="1" fillId="10" borderId="30" xfId="1" applyNumberFormat="1" applyFill="1" applyBorder="1" applyAlignment="1">
      <alignment vertical="center"/>
    </xf>
    <xf numFmtId="49" fontId="1" fillId="10" borderId="31" xfId="1" applyNumberFormat="1" applyFill="1" applyBorder="1" applyAlignment="1">
      <alignment vertical="center"/>
    </xf>
    <xf numFmtId="49" fontId="2" fillId="10" borderId="4" xfId="1" applyNumberFormat="1" applyFont="1" applyFill="1" applyBorder="1" applyAlignment="1">
      <alignment vertical="center"/>
    </xf>
    <xf numFmtId="49" fontId="1" fillId="10" borderId="4" xfId="1" applyNumberFormat="1" applyFill="1" applyBorder="1" applyAlignment="1">
      <alignment vertical="center"/>
    </xf>
    <xf numFmtId="164" fontId="4" fillId="11" borderId="38" xfId="1" applyNumberFormat="1" applyFont="1" applyFill="1" applyBorder="1" applyAlignment="1" applyProtection="1">
      <alignment horizontal="center"/>
    </xf>
    <xf numFmtId="164" fontId="4" fillId="11" borderId="34" xfId="1" applyNumberFormat="1" applyFont="1" applyFill="1" applyBorder="1" applyAlignment="1" applyProtection="1">
      <alignment horizontal="center"/>
    </xf>
    <xf numFmtId="164" fontId="4" fillId="11" borderId="41" xfId="1" applyNumberFormat="1" applyFont="1" applyFill="1" applyBorder="1" applyAlignment="1" applyProtection="1">
      <alignment horizontal="center"/>
    </xf>
    <xf numFmtId="49" fontId="5" fillId="0" borderId="0" xfId="1" applyNumberFormat="1" applyFont="1" applyAlignment="1">
      <alignment vertical="center" wrapText="1"/>
    </xf>
    <xf numFmtId="49" fontId="2" fillId="0" borderId="0" xfId="1" applyNumberFormat="1" applyFont="1" applyAlignment="1">
      <alignment vertical="center" wrapText="1"/>
    </xf>
    <xf numFmtId="49" fontId="6" fillId="0" borderId="0" xfId="1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49" fontId="1" fillId="0" borderId="0" xfId="1" applyNumberFormat="1" applyAlignment="1">
      <alignment vertical="center" wrapText="1"/>
    </xf>
    <xf numFmtId="49" fontId="2" fillId="0" borderId="0" xfId="1" applyNumberFormat="1" applyFont="1" applyAlignment="1">
      <alignment horizontal="center" vertical="center" wrapText="1"/>
    </xf>
    <xf numFmtId="49" fontId="3" fillId="0" borderId="0" xfId="1" applyNumberFormat="1" applyFont="1" applyAlignment="1">
      <alignment vertical="center" wrapText="1"/>
    </xf>
    <xf numFmtId="166" fontId="1" fillId="0" borderId="0" xfId="1" applyNumberFormat="1" applyFont="1"/>
    <xf numFmtId="2" fontId="1" fillId="0" borderId="0" xfId="1" applyNumberFormat="1" applyAlignment="1">
      <alignment horizontal="center" vertical="center"/>
    </xf>
    <xf numFmtId="1" fontId="4" fillId="0" borderId="0" xfId="1" applyNumberFormat="1" applyFont="1" applyFill="1" applyAlignment="1">
      <alignment horizontal="center" vertical="center" wrapText="1"/>
    </xf>
    <xf numFmtId="1" fontId="19" fillId="0" borderId="0" xfId="1" applyNumberFormat="1" applyFont="1" applyFill="1" applyAlignment="1" applyProtection="1">
      <alignment horizontal="center" vertical="center"/>
      <protection hidden="1"/>
    </xf>
    <xf numFmtId="49" fontId="3" fillId="0" borderId="17" xfId="1" applyNumberFormat="1" applyFont="1" applyFill="1" applyBorder="1" applyAlignment="1">
      <alignment horizontal="center" vertical="center" wrapText="1"/>
    </xf>
    <xf numFmtId="49" fontId="3" fillId="0" borderId="4" xfId="1" applyNumberFormat="1" applyFont="1" applyFill="1" applyBorder="1" applyAlignment="1">
      <alignment vertical="center" wrapText="1"/>
    </xf>
    <xf numFmtId="0" fontId="16" fillId="8" borderId="0" xfId="0" applyFont="1" applyFill="1" applyAlignment="1">
      <alignment horizontal="center"/>
    </xf>
    <xf numFmtId="165" fontId="3" fillId="12" borderId="11" xfId="1" applyNumberFormat="1" applyFont="1" applyFill="1" applyBorder="1" applyAlignment="1">
      <alignment horizontal="center" vertical="center"/>
    </xf>
    <xf numFmtId="1" fontId="3" fillId="12" borderId="18" xfId="1" applyNumberFormat="1" applyFont="1" applyFill="1" applyBorder="1" applyAlignment="1">
      <alignment horizontal="center" vertical="center" wrapText="1"/>
    </xf>
    <xf numFmtId="1" fontId="19" fillId="12" borderId="0" xfId="1" applyNumberFormat="1" applyFont="1" applyFill="1" applyAlignment="1" applyProtection="1">
      <alignment horizontal="center" vertical="center"/>
      <protection hidden="1"/>
    </xf>
    <xf numFmtId="165" fontId="1" fillId="0" borderId="0" xfId="1" applyNumberFormat="1" applyAlignment="1">
      <alignment vertical="center"/>
    </xf>
    <xf numFmtId="165" fontId="3" fillId="3" borderId="0" xfId="1" applyNumberFormat="1" applyFont="1" applyFill="1" applyAlignment="1">
      <alignment vertical="center"/>
    </xf>
    <xf numFmtId="165" fontId="4" fillId="3" borderId="0" xfId="1" applyNumberFormat="1" applyFont="1" applyFill="1" applyAlignment="1"/>
    <xf numFmtId="165" fontId="10" fillId="9" borderId="0" xfId="1" applyNumberFormat="1" applyFont="1" applyFill="1" applyAlignment="1">
      <alignment vertical="center"/>
    </xf>
    <xf numFmtId="165" fontId="10" fillId="0" borderId="0" xfId="1" applyNumberFormat="1" applyFont="1" applyAlignment="1">
      <alignment vertical="center" wrapText="1"/>
    </xf>
    <xf numFmtId="165" fontId="1" fillId="0" borderId="0" xfId="1" applyNumberFormat="1" applyAlignment="1">
      <alignment vertical="center" wrapText="1"/>
    </xf>
    <xf numFmtId="165" fontId="1" fillId="0" borderId="0" xfId="1" applyNumberFormat="1"/>
  </cellXfs>
  <cellStyles count="2">
    <cellStyle name="Normal" xfId="0" builtinId="0"/>
    <cellStyle name="Normal_thomeer_hagerty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>
                <a:latin typeface="+mn-lt"/>
              </a:rPr>
              <a:t>Swanson Point Selection Viewing Chart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>
                <a:latin typeface="+mn-lt"/>
              </a:rPr>
              <a:t>No user</a:t>
            </a:r>
            <a:r>
              <a:rPr lang="en-US" sz="1800" baseline="0">
                <a:latin typeface="+mn-lt"/>
              </a:rPr>
              <a:t> inputs</a:t>
            </a:r>
            <a:endParaRPr lang="en-US" sz="1800">
              <a:latin typeface="+mn-lt"/>
            </a:endParaRPr>
          </a:p>
        </c:rich>
      </c:tx>
      <c:layout>
        <c:manualLayout>
          <c:xMode val="edge"/>
          <c:yMode val="edge"/>
          <c:x val="0.25975398314432852"/>
          <c:y val="2.8759866908124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3571733430889"/>
          <c:y val="0.12783321921716306"/>
          <c:w val="0.80541430400585334"/>
          <c:h val="0.75982953897067218"/>
        </c:manualLayout>
      </c:layout>
      <c:scatterChart>
        <c:scatterStyle val="lineMarker"/>
        <c:varyColors val="0"/>
        <c:ser>
          <c:idx val="0"/>
          <c:order val="0"/>
          <c:tx>
            <c:v>Swanson Point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THOMfitedt_196!$A$10:$A$205</c:f>
              <c:numCache>
                <c:formatCode>General</c:formatCode>
                <c:ptCount val="196"/>
                <c:pt idx="0">
                  <c:v>1.54</c:v>
                </c:pt>
                <c:pt idx="1">
                  <c:v>1.81</c:v>
                </c:pt>
                <c:pt idx="2">
                  <c:v>1.95</c:v>
                </c:pt>
                <c:pt idx="3">
                  <c:v>2.16</c:v>
                </c:pt>
                <c:pt idx="4">
                  <c:v>2.35</c:v>
                </c:pt>
                <c:pt idx="5">
                  <c:v>2.57</c:v>
                </c:pt>
                <c:pt idx="6">
                  <c:v>2.81</c:v>
                </c:pt>
                <c:pt idx="7">
                  <c:v>3.08</c:v>
                </c:pt>
                <c:pt idx="8">
                  <c:v>3.37</c:v>
                </c:pt>
                <c:pt idx="9">
                  <c:v>3.67</c:v>
                </c:pt>
                <c:pt idx="10">
                  <c:v>4.03</c:v>
                </c:pt>
                <c:pt idx="11">
                  <c:v>4.4000000000000004</c:v>
                </c:pt>
                <c:pt idx="12">
                  <c:v>4.8099999999999996</c:v>
                </c:pt>
                <c:pt idx="13">
                  <c:v>5.26</c:v>
                </c:pt>
                <c:pt idx="14">
                  <c:v>5.76</c:v>
                </c:pt>
                <c:pt idx="15">
                  <c:v>6.3</c:v>
                </c:pt>
                <c:pt idx="16">
                  <c:v>6.89</c:v>
                </c:pt>
                <c:pt idx="17">
                  <c:v>7.53</c:v>
                </c:pt>
                <c:pt idx="18">
                  <c:v>8.24</c:v>
                </c:pt>
                <c:pt idx="19">
                  <c:v>9.02</c:v>
                </c:pt>
                <c:pt idx="20">
                  <c:v>9.86</c:v>
                </c:pt>
                <c:pt idx="21">
                  <c:v>10.78</c:v>
                </c:pt>
                <c:pt idx="22">
                  <c:v>11.77</c:v>
                </c:pt>
                <c:pt idx="23">
                  <c:v>12.87</c:v>
                </c:pt>
                <c:pt idx="24">
                  <c:v>14.16</c:v>
                </c:pt>
                <c:pt idx="25">
                  <c:v>15.45</c:v>
                </c:pt>
                <c:pt idx="26">
                  <c:v>16.850000000000001</c:v>
                </c:pt>
                <c:pt idx="27">
                  <c:v>18.489999999999998</c:v>
                </c:pt>
                <c:pt idx="28">
                  <c:v>20.28</c:v>
                </c:pt>
                <c:pt idx="29">
                  <c:v>22.17</c:v>
                </c:pt>
                <c:pt idx="30">
                  <c:v>24.29</c:v>
                </c:pt>
                <c:pt idx="31">
                  <c:v>26.55</c:v>
                </c:pt>
                <c:pt idx="32">
                  <c:v>28.89</c:v>
                </c:pt>
                <c:pt idx="33">
                  <c:v>31.69</c:v>
                </c:pt>
                <c:pt idx="34">
                  <c:v>34.880000000000003</c:v>
                </c:pt>
                <c:pt idx="35">
                  <c:v>37.869999999999997</c:v>
                </c:pt>
                <c:pt idx="36">
                  <c:v>41.14</c:v>
                </c:pt>
                <c:pt idx="37">
                  <c:v>44.64</c:v>
                </c:pt>
                <c:pt idx="38">
                  <c:v>49.24</c:v>
                </c:pt>
                <c:pt idx="39">
                  <c:v>53.96</c:v>
                </c:pt>
                <c:pt idx="40">
                  <c:v>59.13</c:v>
                </c:pt>
                <c:pt idx="41">
                  <c:v>64.53</c:v>
                </c:pt>
                <c:pt idx="42">
                  <c:v>71.12</c:v>
                </c:pt>
                <c:pt idx="43">
                  <c:v>77.180000000000007</c:v>
                </c:pt>
                <c:pt idx="44">
                  <c:v>84.97</c:v>
                </c:pt>
                <c:pt idx="45">
                  <c:v>92.98</c:v>
                </c:pt>
                <c:pt idx="46">
                  <c:v>101.81</c:v>
                </c:pt>
                <c:pt idx="47">
                  <c:v>110.91</c:v>
                </c:pt>
                <c:pt idx="48">
                  <c:v>120.98</c:v>
                </c:pt>
                <c:pt idx="49">
                  <c:v>133.49</c:v>
                </c:pt>
                <c:pt idx="50">
                  <c:v>145.86000000000001</c:v>
                </c:pt>
                <c:pt idx="51">
                  <c:v>159.34</c:v>
                </c:pt>
                <c:pt idx="52">
                  <c:v>173.72</c:v>
                </c:pt>
                <c:pt idx="53">
                  <c:v>190.46</c:v>
                </c:pt>
                <c:pt idx="54">
                  <c:v>207.72</c:v>
                </c:pt>
                <c:pt idx="55">
                  <c:v>229.21</c:v>
                </c:pt>
                <c:pt idx="56">
                  <c:v>250.12</c:v>
                </c:pt>
                <c:pt idx="57">
                  <c:v>273.99</c:v>
                </c:pt>
                <c:pt idx="58">
                  <c:v>300.2</c:v>
                </c:pt>
                <c:pt idx="59">
                  <c:v>327.71</c:v>
                </c:pt>
                <c:pt idx="60">
                  <c:v>358.1</c:v>
                </c:pt>
                <c:pt idx="61">
                  <c:v>392.54</c:v>
                </c:pt>
                <c:pt idx="62">
                  <c:v>428.32</c:v>
                </c:pt>
                <c:pt idx="63">
                  <c:v>471.12</c:v>
                </c:pt>
                <c:pt idx="64">
                  <c:v>512</c:v>
                </c:pt>
                <c:pt idx="65">
                  <c:v>561.94000000000005</c:v>
                </c:pt>
                <c:pt idx="66">
                  <c:v>614.97</c:v>
                </c:pt>
                <c:pt idx="67">
                  <c:v>671.44</c:v>
                </c:pt>
                <c:pt idx="68">
                  <c:v>735.37</c:v>
                </c:pt>
                <c:pt idx="69">
                  <c:v>807.43</c:v>
                </c:pt>
                <c:pt idx="70">
                  <c:v>883.16</c:v>
                </c:pt>
                <c:pt idx="71">
                  <c:v>965.85</c:v>
                </c:pt>
                <c:pt idx="72">
                  <c:v>1048.8800000000001</c:v>
                </c:pt>
                <c:pt idx="73">
                  <c:v>1148.8499999999999</c:v>
                </c:pt>
                <c:pt idx="74">
                  <c:v>1264.97</c:v>
                </c:pt>
                <c:pt idx="75">
                  <c:v>1377.45</c:v>
                </c:pt>
                <c:pt idx="76">
                  <c:v>1509.84</c:v>
                </c:pt>
                <c:pt idx="77">
                  <c:v>1649.69</c:v>
                </c:pt>
                <c:pt idx="78">
                  <c:v>1808.4</c:v>
                </c:pt>
                <c:pt idx="79">
                  <c:v>1977.94</c:v>
                </c:pt>
                <c:pt idx="80">
                  <c:v>2161.91</c:v>
                </c:pt>
                <c:pt idx="81">
                  <c:v>2370.84</c:v>
                </c:pt>
                <c:pt idx="82">
                  <c:v>2588.0300000000002</c:v>
                </c:pt>
                <c:pt idx="83">
                  <c:v>2829.52</c:v>
                </c:pt>
                <c:pt idx="84">
                  <c:v>3100.06</c:v>
                </c:pt>
                <c:pt idx="85">
                  <c:v>3389.06</c:v>
                </c:pt>
                <c:pt idx="86">
                  <c:v>3707.98</c:v>
                </c:pt>
                <c:pt idx="87">
                  <c:v>4058.34</c:v>
                </c:pt>
                <c:pt idx="88">
                  <c:v>4438.8100000000004</c:v>
                </c:pt>
                <c:pt idx="89">
                  <c:v>4846.57</c:v>
                </c:pt>
                <c:pt idx="90">
                  <c:v>5304.81</c:v>
                </c:pt>
                <c:pt idx="91">
                  <c:v>5806.16</c:v>
                </c:pt>
                <c:pt idx="92">
                  <c:v>6356.54</c:v>
                </c:pt>
                <c:pt idx="93">
                  <c:v>6947.83</c:v>
                </c:pt>
                <c:pt idx="94">
                  <c:v>7608.42</c:v>
                </c:pt>
                <c:pt idx="95">
                  <c:v>8316.11</c:v>
                </c:pt>
                <c:pt idx="96">
                  <c:v>9098.23</c:v>
                </c:pt>
                <c:pt idx="97">
                  <c:v>9956.81</c:v>
                </c:pt>
                <c:pt idx="98">
                  <c:v>10897.03</c:v>
                </c:pt>
                <c:pt idx="99">
                  <c:v>11896.33</c:v>
                </c:pt>
                <c:pt idx="100">
                  <c:v>12997.05</c:v>
                </c:pt>
                <c:pt idx="101">
                  <c:v>14297.04</c:v>
                </c:pt>
                <c:pt idx="102">
                  <c:v>15596.46</c:v>
                </c:pt>
                <c:pt idx="103">
                  <c:v>17096.099999999999</c:v>
                </c:pt>
                <c:pt idx="104">
                  <c:v>18696.13</c:v>
                </c:pt>
                <c:pt idx="105">
                  <c:v>20396.48</c:v>
                </c:pt>
                <c:pt idx="106">
                  <c:v>22295.17</c:v>
                </c:pt>
                <c:pt idx="107">
                  <c:v>24397.05</c:v>
                </c:pt>
                <c:pt idx="108">
                  <c:v>26698.03</c:v>
                </c:pt>
                <c:pt idx="109">
                  <c:v>29298.26</c:v>
                </c:pt>
                <c:pt idx="110">
                  <c:v>31997.98</c:v>
                </c:pt>
                <c:pt idx="111">
                  <c:v>34990.199999999997</c:v>
                </c:pt>
                <c:pt idx="112">
                  <c:v>38299.26</c:v>
                </c:pt>
                <c:pt idx="113">
                  <c:v>41897.74</c:v>
                </c:pt>
                <c:pt idx="114">
                  <c:v>45801.39</c:v>
                </c:pt>
                <c:pt idx="115">
                  <c:v>50095.74</c:v>
                </c:pt>
                <c:pt idx="116">
                  <c:v>54799.33</c:v>
                </c:pt>
                <c:pt idx="117">
                  <c:v>59999.26</c:v>
                </c:pt>
              </c:numCache>
            </c:numRef>
          </c:xVal>
          <c:yVal>
            <c:numRef>
              <c:f>THOMfitedt_196!$Z$10:$Z$205</c:f>
              <c:numCache>
                <c:formatCode>0.00000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3.4000000000000002E-2</c:v>
                </c:pt>
                <c:pt idx="3">
                  <c:v>0.17499999999999999</c:v>
                </c:pt>
                <c:pt idx="4">
                  <c:v>0.33200000000000002</c:v>
                </c:pt>
                <c:pt idx="5">
                  <c:v>0.51100000000000001</c:v>
                </c:pt>
                <c:pt idx="6">
                  <c:v>0.61</c:v>
                </c:pt>
                <c:pt idx="7">
                  <c:v>0.70099999999999996</c:v>
                </c:pt>
                <c:pt idx="8">
                  <c:v>0.76600000000000001</c:v>
                </c:pt>
                <c:pt idx="9">
                  <c:v>0.81299999999999994</c:v>
                </c:pt>
                <c:pt idx="10">
                  <c:v>0.83399999999999996</c:v>
                </c:pt>
                <c:pt idx="11">
                  <c:v>0.85</c:v>
                </c:pt>
                <c:pt idx="12">
                  <c:v>0.85599999999999998</c:v>
                </c:pt>
                <c:pt idx="13">
                  <c:v>0.85099999999999998</c:v>
                </c:pt>
                <c:pt idx="14">
                  <c:v>0.83099999999999996</c:v>
                </c:pt>
                <c:pt idx="15">
                  <c:v>0.80200000000000005</c:v>
                </c:pt>
                <c:pt idx="16">
                  <c:v>0.77500000000000002</c:v>
                </c:pt>
                <c:pt idx="17">
                  <c:v>0.748</c:v>
                </c:pt>
                <c:pt idx="18">
                  <c:v>0.71899999999999997</c:v>
                </c:pt>
                <c:pt idx="19">
                  <c:v>0.69799999999999995</c:v>
                </c:pt>
                <c:pt idx="20">
                  <c:v>0.66800000000000004</c:v>
                </c:pt>
                <c:pt idx="21">
                  <c:v>0.628</c:v>
                </c:pt>
                <c:pt idx="22">
                  <c:v>0.59399999999999997</c:v>
                </c:pt>
                <c:pt idx="23">
                  <c:v>0.55900000000000005</c:v>
                </c:pt>
                <c:pt idx="24">
                  <c:v>0.52400000000000002</c:v>
                </c:pt>
                <c:pt idx="25">
                  <c:v>0.49299999999999999</c:v>
                </c:pt>
                <c:pt idx="26">
                  <c:v>0.46400000000000002</c:v>
                </c:pt>
                <c:pt idx="27">
                  <c:v>0.435</c:v>
                </c:pt>
                <c:pt idx="28">
                  <c:v>0.40500000000000003</c:v>
                </c:pt>
                <c:pt idx="29">
                  <c:v>0.378</c:v>
                </c:pt>
                <c:pt idx="30">
                  <c:v>0.35199999999999998</c:v>
                </c:pt>
                <c:pt idx="31">
                  <c:v>0.32700000000000001</c:v>
                </c:pt>
                <c:pt idx="32">
                  <c:v>0.30599999999999999</c:v>
                </c:pt>
                <c:pt idx="33">
                  <c:v>0.28299999999999997</c:v>
                </c:pt>
                <c:pt idx="34">
                  <c:v>0.26100000000000001</c:v>
                </c:pt>
                <c:pt idx="35">
                  <c:v>0.24399999999999999</c:v>
                </c:pt>
                <c:pt idx="36">
                  <c:v>0.22700000000000001</c:v>
                </c:pt>
                <c:pt idx="37">
                  <c:v>0.21199999999999999</c:v>
                </c:pt>
                <c:pt idx="38">
                  <c:v>0.19500000000000001</c:v>
                </c:pt>
                <c:pt idx="39">
                  <c:v>0.18</c:v>
                </c:pt>
                <c:pt idx="40">
                  <c:v>0.16600000000000001</c:v>
                </c:pt>
                <c:pt idx="41">
                  <c:v>0.154</c:v>
                </c:pt>
                <c:pt idx="42">
                  <c:v>0.14099999999999999</c:v>
                </c:pt>
                <c:pt idx="43">
                  <c:v>0.13100000000000001</c:v>
                </c:pt>
                <c:pt idx="44">
                  <c:v>0.12</c:v>
                </c:pt>
                <c:pt idx="45">
                  <c:v>0.11</c:v>
                </c:pt>
                <c:pt idx="46">
                  <c:v>0.10199999999999999</c:v>
                </c:pt>
                <c:pt idx="47">
                  <c:v>9.4E-2</c:v>
                </c:pt>
                <c:pt idx="48">
                  <c:v>8.6999999999999994E-2</c:v>
                </c:pt>
                <c:pt idx="49">
                  <c:v>0.08</c:v>
                </c:pt>
                <c:pt idx="50">
                  <c:v>7.3999999999999996E-2</c:v>
                </c:pt>
                <c:pt idx="51">
                  <c:v>6.9000000000000006E-2</c:v>
                </c:pt>
                <c:pt idx="52">
                  <c:v>6.4000000000000001E-2</c:v>
                </c:pt>
                <c:pt idx="53">
                  <c:v>0.06</c:v>
                </c:pt>
                <c:pt idx="54">
                  <c:v>5.6000000000000001E-2</c:v>
                </c:pt>
                <c:pt idx="55">
                  <c:v>5.2999999999999999E-2</c:v>
                </c:pt>
                <c:pt idx="56">
                  <c:v>0.05</c:v>
                </c:pt>
                <c:pt idx="57">
                  <c:v>4.7E-2</c:v>
                </c:pt>
                <c:pt idx="58">
                  <c:v>4.3999999999999997E-2</c:v>
                </c:pt>
                <c:pt idx="59">
                  <c:v>4.2000000000000003E-2</c:v>
                </c:pt>
                <c:pt idx="60">
                  <c:v>3.9E-2</c:v>
                </c:pt>
                <c:pt idx="61">
                  <c:v>3.5999999999999997E-2</c:v>
                </c:pt>
                <c:pt idx="62">
                  <c:v>3.4000000000000002E-2</c:v>
                </c:pt>
                <c:pt idx="63">
                  <c:v>3.2000000000000001E-2</c:v>
                </c:pt>
                <c:pt idx="64">
                  <c:v>0.03</c:v>
                </c:pt>
                <c:pt idx="65">
                  <c:v>2.7E-2</c:v>
                </c:pt>
                <c:pt idx="66">
                  <c:v>2.5000000000000001E-2</c:v>
                </c:pt>
                <c:pt idx="67">
                  <c:v>2.3E-2</c:v>
                </c:pt>
                <c:pt idx="68">
                  <c:v>2.1000000000000001E-2</c:v>
                </c:pt>
                <c:pt idx="69">
                  <c:v>0.02</c:v>
                </c:pt>
                <c:pt idx="70">
                  <c:v>1.7999999999999999E-2</c:v>
                </c:pt>
                <c:pt idx="71">
                  <c:v>1.7000000000000001E-2</c:v>
                </c:pt>
                <c:pt idx="72">
                  <c:v>1.6E-2</c:v>
                </c:pt>
                <c:pt idx="73">
                  <c:v>1.4E-2</c:v>
                </c:pt>
                <c:pt idx="74">
                  <c:v>1.2999999999999999E-2</c:v>
                </c:pt>
                <c:pt idx="75">
                  <c:v>1.2E-2</c:v>
                </c:pt>
                <c:pt idx="76">
                  <c:v>1.0999999999999999E-2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8.0000000000000002E-3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04408"/>
        <c:axId val="250204800"/>
      </c:scatterChart>
      <c:valAx>
        <c:axId val="250204408"/>
        <c:scaling>
          <c:logBase val="10"/>
          <c:orientation val="minMax"/>
          <c:max val="100"/>
          <c:min val="0.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Pc Mercury Air</a:t>
                </a:r>
              </a:p>
            </c:rich>
          </c:tx>
          <c:layout>
            <c:manualLayout>
              <c:xMode val="edge"/>
              <c:yMode val="edge"/>
              <c:x val="0.46826408531457842"/>
              <c:y val="0.95087104301407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204800"/>
        <c:crosses val="autoZero"/>
        <c:crossBetween val="midCat"/>
        <c:majorUnit val="10"/>
        <c:minorUnit val="10"/>
      </c:valAx>
      <c:valAx>
        <c:axId val="25020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Bv/Pc</a:t>
                </a:r>
              </a:p>
            </c:rich>
          </c:tx>
          <c:layout>
            <c:manualLayout>
              <c:xMode val="edge"/>
              <c:yMode val="edge"/>
              <c:x val="4.9948079912341056E-2"/>
              <c:y val="0.492511693819057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204408"/>
        <c:crossesAt val="0.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THOMfitedt_196!$AO$10:$AO$44</c:f>
          <c:strCache>
            <c:ptCount val="35"/>
            <c:pt idx="0">
              <c:v>SAMPLE NO.:</c:v>
            </c:pt>
            <c:pt idx="1">
              <c:v>Example</c:v>
            </c:pt>
            <c:pt idx="2">
              <c:v>Description:</c:v>
            </c:pt>
            <c:pt idx="3">
              <c:v>Clerke GeoArabia 2008 Trimodal</c:v>
            </c:pt>
            <c:pt idx="4">
              <c:v>Phi:</c:v>
            </c:pt>
            <c:pt idx="5">
              <c:v>23.9</c:v>
            </c:pt>
            <c:pt idx="6">
              <c:v>BVTot:</c:v>
            </c:pt>
            <c:pt idx="7">
              <c:v>21.50</c:v>
            </c:pt>
            <c:pt idx="8">
              <c:v>Perm:</c:v>
            </c:pt>
            <c:pt idx="9">
              <c:v>948</c:v>
            </c:pt>
            <c:pt idx="10">
              <c:v>Buiting-Clerke Perm:</c:v>
            </c:pt>
            <c:pt idx="11">
              <c:v>987.1</c:v>
            </c:pt>
            <c:pt idx="12">
              <c:v>PORE SYSTEM 1:</c:v>
            </c:pt>
            <c:pt idx="13">
              <c:v>G1:</c:v>
            </c:pt>
            <c:pt idx="14">
              <c:v>0.74</c:v>
            </c:pt>
            <c:pt idx="15">
              <c:v>Pd1:</c:v>
            </c:pt>
            <c:pt idx="16">
              <c:v>1.30</c:v>
            </c:pt>
            <c:pt idx="17">
              <c:v>BV1:</c:v>
            </c:pt>
            <c:pt idx="18">
              <c:v>15.00</c:v>
            </c:pt>
            <c:pt idx="19">
              <c:v>Closure Corr:</c:v>
            </c:pt>
            <c:pt idx="20">
              <c:v>0.20</c:v>
            </c:pt>
            <c:pt idx="21">
              <c:v>PORE SYSTEM 2:</c:v>
            </c:pt>
            <c:pt idx="22">
              <c:v>G2:</c:v>
            </c:pt>
            <c:pt idx="23">
              <c:v>0.18</c:v>
            </c:pt>
            <c:pt idx="24">
              <c:v>Pd2:</c:v>
            </c:pt>
            <c:pt idx="25">
              <c:v>190.00</c:v>
            </c:pt>
            <c:pt idx="26">
              <c:v>BV2:</c:v>
            </c:pt>
            <c:pt idx="27">
              <c:v>5.50</c:v>
            </c:pt>
            <c:pt idx="28">
              <c:v>PORE SYSTEM 3:</c:v>
            </c:pt>
            <c:pt idx="29">
              <c:v>G3:</c:v>
            </c:pt>
            <c:pt idx="30">
              <c:v>0.10</c:v>
            </c:pt>
            <c:pt idx="31">
              <c:v>Pd3:</c:v>
            </c:pt>
            <c:pt idx="32">
              <c:v>850.00</c:v>
            </c:pt>
            <c:pt idx="33">
              <c:v>BV3:</c:v>
            </c:pt>
            <c:pt idx="34">
              <c:v>1.00</c:v>
            </c:pt>
          </c:strCache>
        </c:strRef>
      </c:tx>
      <c:layout>
        <c:manualLayout>
          <c:xMode val="edge"/>
          <c:yMode val="edge"/>
          <c:x val="0.12138249848544745"/>
          <c:y val="0.1377825289060451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 pitchFamily="34" charset="0"/>
              <a:ea typeface="Helv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4994864772341"/>
          <c:y val="0.22425061247367037"/>
          <c:w val="0.79655717220130096"/>
          <c:h val="0.66057775929558749"/>
        </c:manualLayout>
      </c:layout>
      <c:scatterChart>
        <c:scatterStyle val="lineMarker"/>
        <c:varyColors val="0"/>
        <c:ser>
          <c:idx val="7"/>
          <c:order val="0"/>
          <c:tx>
            <c:v>water saturation vs height above FWL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THOMfitedt_196!$V$10:$V$205</c:f>
              <c:numCache>
                <c:formatCode>#,##0.00</c:formatCode>
                <c:ptCount val="196"/>
                <c:pt idx="0">
                  <c:v>1</c:v>
                </c:pt>
                <c:pt idx="1">
                  <c:v>1</c:v>
                </c:pt>
                <c:pt idx="2">
                  <c:v>0.99687757677603173</c:v>
                </c:pt>
                <c:pt idx="3">
                  <c:v>0.98238203650310763</c:v>
                </c:pt>
                <c:pt idx="4">
                  <c:v>0.96374491329506229</c:v>
                </c:pt>
                <c:pt idx="5">
                  <c:v>0.9388954156843351</c:v>
                </c:pt>
                <c:pt idx="6">
                  <c:v>0.92025829247628976</c:v>
                </c:pt>
                <c:pt idx="7">
                  <c:v>0.89955037780068381</c:v>
                </c:pt>
                <c:pt idx="8">
                  <c:v>0.87987785885885816</c:v>
                </c:pt>
                <c:pt idx="9">
                  <c:v>0.86124073565081272</c:v>
                </c:pt>
                <c:pt idx="10">
                  <c:v>0.84363900817654769</c:v>
                </c:pt>
                <c:pt idx="11">
                  <c:v>0.82603728070228266</c:v>
                </c:pt>
                <c:pt idx="12">
                  <c:v>0.80843555322801763</c:v>
                </c:pt>
                <c:pt idx="13">
                  <c:v>0.7918692214875328</c:v>
                </c:pt>
                <c:pt idx="14">
                  <c:v>0.7773736812146087</c:v>
                </c:pt>
                <c:pt idx="15">
                  <c:v>0.76494893240924511</c:v>
                </c:pt>
                <c:pt idx="16">
                  <c:v>0.7514887878701012</c:v>
                </c:pt>
                <c:pt idx="17">
                  <c:v>0.7380286433309573</c:v>
                </c:pt>
                <c:pt idx="18">
                  <c:v>0.72456849879181351</c:v>
                </c:pt>
                <c:pt idx="19">
                  <c:v>0.70696677131754848</c:v>
                </c:pt>
                <c:pt idx="20">
                  <c:v>0.69350662677840458</c:v>
                </c:pt>
                <c:pt idx="21">
                  <c:v>0.68522346090816222</c:v>
                </c:pt>
                <c:pt idx="22">
                  <c:v>0.67486950357035913</c:v>
                </c:pt>
                <c:pt idx="23">
                  <c:v>0.66555094196633657</c:v>
                </c:pt>
                <c:pt idx="24">
                  <c:v>0.65519698462853349</c:v>
                </c:pt>
                <c:pt idx="25">
                  <c:v>0.64587842302451082</c:v>
                </c:pt>
                <c:pt idx="26">
                  <c:v>0.63655986142048826</c:v>
                </c:pt>
                <c:pt idx="27">
                  <c:v>0.62620590408268517</c:v>
                </c:pt>
                <c:pt idx="28">
                  <c:v>0.61792273821244281</c:v>
                </c:pt>
                <c:pt idx="29">
                  <c:v>0.61067496807598076</c:v>
                </c:pt>
                <c:pt idx="30">
                  <c:v>0.60239180220573829</c:v>
                </c:pt>
                <c:pt idx="31">
                  <c:v>0.59617942780305655</c:v>
                </c:pt>
                <c:pt idx="32">
                  <c:v>0.58893165766659439</c:v>
                </c:pt>
                <c:pt idx="33">
                  <c:v>0.58271928326391276</c:v>
                </c:pt>
                <c:pt idx="34">
                  <c:v>0.57650690886123068</c:v>
                </c:pt>
                <c:pt idx="35">
                  <c:v>0.57029453445854905</c:v>
                </c:pt>
                <c:pt idx="36">
                  <c:v>0.56511755578964751</c:v>
                </c:pt>
                <c:pt idx="37">
                  <c:v>0.55890518138696565</c:v>
                </c:pt>
                <c:pt idx="38">
                  <c:v>0.55372820271806411</c:v>
                </c:pt>
                <c:pt idx="39">
                  <c:v>0.54855122404916279</c:v>
                </c:pt>
                <c:pt idx="40">
                  <c:v>0.54440964111404155</c:v>
                </c:pt>
                <c:pt idx="41">
                  <c:v>0.53923266244514001</c:v>
                </c:pt>
                <c:pt idx="42">
                  <c:v>0.53509107951001889</c:v>
                </c:pt>
                <c:pt idx="43">
                  <c:v>0.53094949657489776</c:v>
                </c:pt>
                <c:pt idx="44">
                  <c:v>0.52680791363977653</c:v>
                </c:pt>
                <c:pt idx="45">
                  <c:v>0.5226663307046554</c:v>
                </c:pt>
                <c:pt idx="46">
                  <c:v>0.51852474776953428</c:v>
                </c:pt>
                <c:pt idx="47">
                  <c:v>0.51334776910063273</c:v>
                </c:pt>
                <c:pt idx="48">
                  <c:v>0.5092061861655115</c:v>
                </c:pt>
                <c:pt idx="49">
                  <c:v>0.50299381176282987</c:v>
                </c:pt>
                <c:pt idx="50">
                  <c:v>0.4967814373601479</c:v>
                </c:pt>
                <c:pt idx="51">
                  <c:v>0.48953366722368596</c:v>
                </c:pt>
                <c:pt idx="52">
                  <c:v>0.48125050135344338</c:v>
                </c:pt>
                <c:pt idx="53">
                  <c:v>0.47089654401564052</c:v>
                </c:pt>
                <c:pt idx="54">
                  <c:v>0.4574363994764965</c:v>
                </c:pt>
                <c:pt idx="55">
                  <c:v>0.43983467200223147</c:v>
                </c:pt>
                <c:pt idx="56">
                  <c:v>0.42223294452796645</c:v>
                </c:pt>
                <c:pt idx="57">
                  <c:v>0.403595821319921</c:v>
                </c:pt>
                <c:pt idx="58">
                  <c:v>0.38495869811187566</c:v>
                </c:pt>
                <c:pt idx="59">
                  <c:v>0.36735697063761052</c:v>
                </c:pt>
                <c:pt idx="60">
                  <c:v>0.35079063889712581</c:v>
                </c:pt>
                <c:pt idx="61">
                  <c:v>0.33525970289042129</c:v>
                </c:pt>
                <c:pt idx="62">
                  <c:v>0.32076416261749707</c:v>
                </c:pt>
                <c:pt idx="63">
                  <c:v>0.30833941381213348</c:v>
                </c:pt>
                <c:pt idx="64">
                  <c:v>0.29695006074055019</c:v>
                </c:pt>
                <c:pt idx="65">
                  <c:v>0.28866689487030794</c:v>
                </c:pt>
                <c:pt idx="66">
                  <c:v>0.28141912473384567</c:v>
                </c:pt>
                <c:pt idx="67">
                  <c:v>0.27520675033116393</c:v>
                </c:pt>
                <c:pt idx="68">
                  <c:v>0.26899437592848219</c:v>
                </c:pt>
                <c:pt idx="69">
                  <c:v>0.26278200152580022</c:v>
                </c:pt>
                <c:pt idx="70">
                  <c:v>0.25656962712311837</c:v>
                </c:pt>
                <c:pt idx="71">
                  <c:v>0.24932185698665632</c:v>
                </c:pt>
                <c:pt idx="72">
                  <c:v>0.24103869111641396</c:v>
                </c:pt>
                <c:pt idx="73">
                  <c:v>0.23275552524617171</c:v>
                </c:pt>
                <c:pt idx="74">
                  <c:v>0.22550775510970955</c:v>
                </c:pt>
                <c:pt idx="75">
                  <c:v>0.2192953807070277</c:v>
                </c:pt>
                <c:pt idx="76">
                  <c:v>0.21411840203812604</c:v>
                </c:pt>
                <c:pt idx="77">
                  <c:v>0.20894142336922461</c:v>
                </c:pt>
                <c:pt idx="78">
                  <c:v>0.20479984043410349</c:v>
                </c:pt>
                <c:pt idx="79">
                  <c:v>0.20065825749898225</c:v>
                </c:pt>
                <c:pt idx="80">
                  <c:v>0.19755207029764144</c:v>
                </c:pt>
                <c:pt idx="81">
                  <c:v>0.1934104873625202</c:v>
                </c:pt>
                <c:pt idx="82">
                  <c:v>0.19030430016117961</c:v>
                </c:pt>
                <c:pt idx="83">
                  <c:v>0.18719811295983868</c:v>
                </c:pt>
                <c:pt idx="84">
                  <c:v>0.18409192575849798</c:v>
                </c:pt>
                <c:pt idx="85">
                  <c:v>0.18098573855715683</c:v>
                </c:pt>
                <c:pt idx="86">
                  <c:v>0.17891494708959632</c:v>
                </c:pt>
                <c:pt idx="87">
                  <c:v>0.1768441556220357</c:v>
                </c:pt>
                <c:pt idx="88">
                  <c:v>0.17477336415447509</c:v>
                </c:pt>
                <c:pt idx="89">
                  <c:v>0.17270257268691447</c:v>
                </c:pt>
                <c:pt idx="90">
                  <c:v>0.17166717695313394</c:v>
                </c:pt>
                <c:pt idx="91">
                  <c:v>0.17063178121935374</c:v>
                </c:pt>
                <c:pt idx="92">
                  <c:v>0.17063178121935374</c:v>
                </c:pt>
                <c:pt idx="93">
                  <c:v>0.16959638548557343</c:v>
                </c:pt>
                <c:pt idx="94">
                  <c:v>0.16959638548557343</c:v>
                </c:pt>
                <c:pt idx="95">
                  <c:v>0.16959638548557343</c:v>
                </c:pt>
                <c:pt idx="96">
                  <c:v>0.16856098975179301</c:v>
                </c:pt>
                <c:pt idx="97">
                  <c:v>0.16856098975179301</c:v>
                </c:pt>
                <c:pt idx="98">
                  <c:v>0.16856098975179301</c:v>
                </c:pt>
                <c:pt idx="99">
                  <c:v>0.16856098975179301</c:v>
                </c:pt>
                <c:pt idx="100">
                  <c:v>0.16856098975179301</c:v>
                </c:pt>
                <c:pt idx="101">
                  <c:v>0.16856098975179301</c:v>
                </c:pt>
                <c:pt idx="102">
                  <c:v>0.16856098975179301</c:v>
                </c:pt>
                <c:pt idx="103">
                  <c:v>0.16856098975179301</c:v>
                </c:pt>
                <c:pt idx="104">
                  <c:v>0.16856098975179301</c:v>
                </c:pt>
                <c:pt idx="105">
                  <c:v>0.16856098975179301</c:v>
                </c:pt>
                <c:pt idx="106">
                  <c:v>0.16856098975179301</c:v>
                </c:pt>
                <c:pt idx="107">
                  <c:v>0.16856098975179301</c:v>
                </c:pt>
                <c:pt idx="108">
                  <c:v>0.16856098975179301</c:v>
                </c:pt>
                <c:pt idx="109">
                  <c:v>0.16856098975179301</c:v>
                </c:pt>
                <c:pt idx="110">
                  <c:v>0.16856098975179301</c:v>
                </c:pt>
                <c:pt idx="111">
                  <c:v>0.16856098975179301</c:v>
                </c:pt>
                <c:pt idx="112">
                  <c:v>0.16856098975179301</c:v>
                </c:pt>
                <c:pt idx="113">
                  <c:v>0.16856098975179301</c:v>
                </c:pt>
                <c:pt idx="114">
                  <c:v>0.16856098975179301</c:v>
                </c:pt>
                <c:pt idx="115">
                  <c:v>0.16856098975179301</c:v>
                </c:pt>
                <c:pt idx="116">
                  <c:v>0.16856098975179301</c:v>
                </c:pt>
                <c:pt idx="117">
                  <c:v>0.16856098975179301</c:v>
                </c:pt>
              </c:numCache>
            </c:numRef>
          </c:xVal>
          <c:yVal>
            <c:numRef>
              <c:f>THOMfitedt_196!$X$10:$X$205</c:f>
              <c:numCache>
                <c:formatCode>#,##0.00</c:formatCode>
                <c:ptCount val="196"/>
                <c:pt idx="0">
                  <c:v>0.45034212042377009</c:v>
                </c:pt>
                <c:pt idx="1">
                  <c:v>0.52929820647209347</c:v>
                </c:pt>
                <c:pt idx="2">
                  <c:v>0.57023839923789066</c:v>
                </c:pt>
                <c:pt idx="3">
                  <c:v>0.63164868838658661</c:v>
                </c:pt>
                <c:pt idx="4">
                  <c:v>0.68721037856874012</c:v>
                </c:pt>
                <c:pt idx="5">
                  <c:v>0.75154496720070718</c:v>
                </c:pt>
                <c:pt idx="6">
                  <c:v>0.8217281547992169</c:v>
                </c:pt>
                <c:pt idx="7">
                  <c:v>0.90068424084754017</c:v>
                </c:pt>
                <c:pt idx="8">
                  <c:v>0.985488925862406</c:v>
                </c:pt>
                <c:pt idx="9">
                  <c:v>1.073217910360543</c:v>
                </c:pt>
                <c:pt idx="10">
                  <c:v>1.1784926917583076</c:v>
                </c:pt>
                <c:pt idx="11">
                  <c:v>1.2866917726393432</c:v>
                </c:pt>
                <c:pt idx="12">
                  <c:v>1.4065880514534637</c:v>
                </c:pt>
                <c:pt idx="13">
                  <c:v>1.5381815282006692</c:v>
                </c:pt>
                <c:pt idx="14">
                  <c:v>1.6843965023642309</c:v>
                </c:pt>
                <c:pt idx="15">
                  <c:v>1.8423086744608776</c:v>
                </c:pt>
                <c:pt idx="16">
                  <c:v>2.0148423439738803</c:v>
                </c:pt>
                <c:pt idx="17">
                  <c:v>2.2019975109032397</c:v>
                </c:pt>
                <c:pt idx="18">
                  <c:v>2.4096227742154972</c:v>
                </c:pt>
                <c:pt idx="19">
                  <c:v>2.6377181339106532</c:v>
                </c:pt>
                <c:pt idx="20">
                  <c:v>2.883359290505437</c:v>
                </c:pt>
                <c:pt idx="21">
                  <c:v>3.1523948429663906</c:v>
                </c:pt>
                <c:pt idx="22">
                  <c:v>3.4419004918102427</c:v>
                </c:pt>
                <c:pt idx="23">
                  <c:v>3.7635734349700782</c:v>
                </c:pt>
                <c:pt idx="24">
                  <c:v>4.1408080683120678</c:v>
                </c:pt>
                <c:pt idx="25">
                  <c:v>4.518042701654057</c:v>
                </c:pt>
                <c:pt idx="26">
                  <c:v>4.9274446293120304</c:v>
                </c:pt>
                <c:pt idx="27">
                  <c:v>5.4070297445685123</c:v>
                </c:pt>
                <c:pt idx="28">
                  <c:v>5.9304793520740633</c:v>
                </c:pt>
                <c:pt idx="29">
                  <c:v>6.4831719544123274</c:v>
                </c:pt>
                <c:pt idx="30">
                  <c:v>7.1031234448658278</c:v>
                </c:pt>
                <c:pt idx="31">
                  <c:v>7.7640151280851271</c:v>
                </c:pt>
                <c:pt idx="32">
                  <c:v>8.4483012071705961</c:v>
                </c:pt>
                <c:pt idx="33">
                  <c:v>9.2671050624865412</c:v>
                </c:pt>
                <c:pt idx="34">
                  <c:v>10.199956597650067</c:v>
                </c:pt>
                <c:pt idx="35">
                  <c:v>11.074322143148164</c:v>
                </c:pt>
                <c:pt idx="36">
                  <c:v>12.030568074177859</c:v>
                </c:pt>
                <c:pt idx="37">
                  <c:v>13.05407289332279</c:v>
                </c:pt>
                <c:pt idx="38">
                  <c:v>14.399250655627558</c:v>
                </c:pt>
                <c:pt idx="39">
                  <c:v>15.779520011731581</c:v>
                </c:pt>
                <c:pt idx="40">
                  <c:v>17.291382844582809</c:v>
                </c:pt>
                <c:pt idx="41">
                  <c:v>18.870504565549275</c:v>
                </c:pt>
                <c:pt idx="42">
                  <c:v>20.797617925025019</c:v>
                </c:pt>
                <c:pt idx="43">
                  <c:v>22.569743411887387</c:v>
                </c:pt>
                <c:pt idx="44">
                  <c:v>24.847772709355677</c:v>
                </c:pt>
                <c:pt idx="45">
                  <c:v>27.19013659545594</c:v>
                </c:pt>
                <c:pt idx="46">
                  <c:v>29.772293039184436</c:v>
                </c:pt>
                <c:pt idx="47">
                  <c:v>32.433405568961263</c:v>
                </c:pt>
                <c:pt idx="48">
                  <c:v>35.378175148615391</c:v>
                </c:pt>
                <c:pt idx="49">
                  <c:v>39.036473802187707</c:v>
                </c:pt>
                <c:pt idx="50">
                  <c:v>42.653832262994229</c:v>
                </c:pt>
                <c:pt idx="51">
                  <c:v>46.595787966443851</c:v>
                </c:pt>
                <c:pt idx="52">
                  <c:v>50.800930623387885</c:v>
                </c:pt>
                <c:pt idx="53">
                  <c:v>55.69620795838393</c:v>
                </c:pt>
                <c:pt idx="54">
                  <c:v>60.743548866510082</c:v>
                </c:pt>
                <c:pt idx="55">
                  <c:v>67.027868456059963</c:v>
                </c:pt>
                <c:pt idx="56">
                  <c:v>73.142578675580111</c:v>
                </c:pt>
                <c:pt idx="57">
                  <c:v>80.122881542148548</c:v>
                </c:pt>
                <c:pt idx="58">
                  <c:v>87.787470487802452</c:v>
                </c:pt>
                <c:pt idx="59">
                  <c:v>95.832218366281609</c:v>
                </c:pt>
                <c:pt idx="60">
                  <c:v>104.71916449594291</c:v>
                </c:pt>
                <c:pt idx="61">
                  <c:v>114.79045191632903</c:v>
                </c:pt>
                <c:pt idx="62">
                  <c:v>125.2535954674735</c:v>
                </c:pt>
                <c:pt idx="63">
                  <c:v>137.7695972558744</c:v>
                </c:pt>
                <c:pt idx="64">
                  <c:v>149.7241335434872</c:v>
                </c:pt>
                <c:pt idx="65">
                  <c:v>164.32808516294375</c:v>
                </c:pt>
                <c:pt idx="66">
                  <c:v>179.8356453227311</c:v>
                </c:pt>
                <c:pt idx="67">
                  <c:v>196.34916450476376</c:v>
                </c:pt>
                <c:pt idx="68">
                  <c:v>215.04421110131676</c:v>
                </c:pt>
                <c:pt idx="69">
                  <c:v>236.11671317776927</c:v>
                </c:pt>
                <c:pt idx="70">
                  <c:v>258.26243316458232</c:v>
                </c:pt>
                <c:pt idx="71">
                  <c:v>282.44346559175216</c:v>
                </c:pt>
                <c:pt idx="72">
                  <c:v>306.72392420135327</c:v>
                </c:pt>
                <c:pt idx="73">
                  <c:v>335.95814613561572</c:v>
                </c:pt>
                <c:pt idx="74">
                  <c:v>369.91511173536134</c:v>
                </c:pt>
                <c:pt idx="75">
                  <c:v>402.80763232319617</c:v>
                </c:pt>
                <c:pt idx="76">
                  <c:v>441.52243318222401</c:v>
                </c:pt>
                <c:pt idx="77">
                  <c:v>482.41876145577226</c:v>
                </c:pt>
                <c:pt idx="78">
                  <c:v>528.83031855477009</c:v>
                </c:pt>
                <c:pt idx="79">
                  <c:v>578.40889199415051</c:v>
                </c:pt>
                <c:pt idx="80">
                  <c:v>632.20722958789133</c:v>
                </c:pt>
                <c:pt idx="81">
                  <c:v>693.30461869187741</c:v>
                </c:pt>
                <c:pt idx="82">
                  <c:v>756.81747916904533</c:v>
                </c:pt>
                <c:pt idx="83">
                  <c:v>827.43638739056234</c:v>
                </c:pt>
                <c:pt idx="84">
                  <c:v>906.55038561098229</c:v>
                </c:pt>
                <c:pt idx="85">
                  <c:v>991.0626406775209</c:v>
                </c:pt>
                <c:pt idx="86">
                  <c:v>1084.3243997980071</c:v>
                </c:pt>
                <c:pt idx="87">
                  <c:v>1186.7801564938982</c:v>
                </c:pt>
                <c:pt idx="88">
                  <c:v>1298.040978933919</c:v>
                </c:pt>
                <c:pt idx="89">
                  <c:v>1417.2822146637866</c:v>
                </c:pt>
                <c:pt idx="90">
                  <c:v>1551.2853141852079</c:v>
                </c:pt>
                <c:pt idx="91">
                  <c:v>1697.8950687790109</c:v>
                </c:pt>
                <c:pt idx="92">
                  <c:v>1858.8426637392931</c:v>
                </c:pt>
                <c:pt idx="93">
                  <c:v>2031.7535678856379</c:v>
                </c:pt>
                <c:pt idx="94">
                  <c:v>2224.9298674510524</c:v>
                </c:pt>
                <c:pt idx="95">
                  <c:v>2431.8796175826747</c:v>
                </c:pt>
                <c:pt idx="96">
                  <c:v>2660.5949287682843</c:v>
                </c:pt>
                <c:pt idx="97">
                  <c:v>2911.6694338029856</c:v>
                </c:pt>
                <c:pt idx="98">
                  <c:v>3186.6179198191139</c:v>
                </c:pt>
                <c:pt idx="99">
                  <c:v>3478.8431671824083</c:v>
                </c:pt>
                <c:pt idx="100">
                  <c:v>3800.7266599050395</c:v>
                </c:pt>
                <c:pt idx="101">
                  <c:v>4180.8826684308169</c:v>
                </c:pt>
                <c:pt idx="102">
                  <c:v>4560.871991886047</c:v>
                </c:pt>
                <c:pt idx="103">
                  <c:v>4999.4116395953342</c:v>
                </c:pt>
                <c:pt idx="104">
                  <c:v>5467.3083298171823</c:v>
                </c:pt>
                <c:pt idx="105">
                  <c:v>5964.5415924552062</c:v>
                </c:pt>
                <c:pt idx="106">
                  <c:v>6519.7754110444321</c:v>
                </c:pt>
                <c:pt idx="107">
                  <c:v>7134.4280708342467</c:v>
                </c:pt>
                <c:pt idx="108">
                  <c:v>7807.3035333359912</c:v>
                </c:pt>
                <c:pt idx="109">
                  <c:v>8567.6886578746271</c:v>
                </c:pt>
                <c:pt idx="110">
                  <c:v>9357.1676379723285</c:v>
                </c:pt>
                <c:pt idx="111">
                  <c:v>10232.182377955714</c:v>
                </c:pt>
                <c:pt idx="112">
                  <c:v>11199.850622767066</c:v>
                </c:pt>
                <c:pt idx="113">
                  <c:v>12252.153943223251</c:v>
                </c:pt>
                <c:pt idx="114">
                  <c:v>13393.698111010428</c:v>
                </c:pt>
                <c:pt idx="115">
                  <c:v>14649.49465960901</c:v>
                </c:pt>
                <c:pt idx="116">
                  <c:v>16024.965240260986</c:v>
                </c:pt>
                <c:pt idx="117">
                  <c:v>17545.580501465643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05584"/>
        <c:axId val="250205976"/>
      </c:scatterChart>
      <c:valAx>
        <c:axId val="250205584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Water</a:t>
                </a:r>
                <a:r>
                  <a:rPr lang="en-US" baseline="0"/>
                  <a:t> Saturation = 1 - Hg Saturation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659001036968675"/>
              <c:y val="0.93808126371138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50205976"/>
        <c:crosses val="autoZero"/>
        <c:crossBetween val="midCat"/>
        <c:majorUnit val="0.1"/>
        <c:minorUnit val="5.000000000000001E-2"/>
      </c:valAx>
      <c:valAx>
        <c:axId val="250205976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numFmt formatCode="#,##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50205584"/>
        <c:crosses val="autoZero"/>
        <c:crossBetween val="midCat"/>
      </c:valAx>
      <c:spPr>
        <a:solidFill>
          <a:srgbClr val="FFFFE1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"/>
          <a:ea typeface="Helv"/>
          <a:cs typeface="Helv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>
                <a:latin typeface="+mn-lt"/>
              </a:rPr>
              <a:t>DATA</a:t>
            </a:r>
            <a:r>
              <a:rPr lang="en-US" sz="1800" baseline="0">
                <a:latin typeface="+mn-lt"/>
              </a:rPr>
              <a:t> EDITING WINDOW</a:t>
            </a:r>
            <a:endParaRPr lang="en-US" sz="1800">
              <a:latin typeface="+mn-lt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>
                <a:latin typeface="+mn-lt"/>
              </a:rPr>
              <a:t>Remove selected data points from the Residual Error</a:t>
            </a:r>
            <a:r>
              <a:rPr lang="en-US" sz="1800" baseline="0">
                <a:latin typeface="+mn-lt"/>
              </a:rPr>
              <a:t> </a:t>
            </a:r>
            <a:r>
              <a:rPr lang="en-US" sz="1800">
                <a:latin typeface="+mn-lt"/>
              </a:rPr>
              <a:t>Calculation,</a:t>
            </a:r>
            <a:r>
              <a:rPr lang="en-US" sz="1800" baseline="0">
                <a:latin typeface="+mn-lt"/>
              </a:rPr>
              <a:t> (e.g., </a:t>
            </a:r>
            <a:r>
              <a:rPr lang="en-US" sz="1800">
                <a:latin typeface="+mn-lt"/>
              </a:rPr>
              <a:t>Flat</a:t>
            </a:r>
            <a:r>
              <a:rPr lang="en-US" sz="1800" baseline="0">
                <a:latin typeface="+mn-lt"/>
              </a:rPr>
              <a:t> Spots, xducer glitch) using this chart.  Identify the Pc value (x-axis) of the errant point(s) on this chart, then change that point's WEIGHT to 0 in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aseline="0">
                <a:latin typeface="+mn-lt"/>
              </a:rPr>
              <a:t>Column C. </a:t>
            </a:r>
            <a:endParaRPr lang="en-US" sz="1800">
              <a:latin typeface="+mn-lt"/>
            </a:endParaRPr>
          </a:p>
        </c:rich>
      </c:tx>
      <c:layout>
        <c:manualLayout>
          <c:xMode val="edge"/>
          <c:yMode val="edge"/>
          <c:x val="0.12760296862940418"/>
          <c:y val="2.67808994519924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533916518453322E-2"/>
          <c:y val="0.21754573601181476"/>
          <c:w val="0.86008995526407495"/>
          <c:h val="0.700229398491167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THOMfitedt_196!$AG$9</c:f>
              <c:strCache>
                <c:ptCount val="1"/>
                <c:pt idx="0">
                  <c:v>delta %Bvocc corr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4.0000000000000001E-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THOMfitedt_196!$A$10:$A$205</c:f>
              <c:numCache>
                <c:formatCode>General</c:formatCode>
                <c:ptCount val="196"/>
                <c:pt idx="0">
                  <c:v>1.54</c:v>
                </c:pt>
                <c:pt idx="1">
                  <c:v>1.81</c:v>
                </c:pt>
                <c:pt idx="2">
                  <c:v>1.95</c:v>
                </c:pt>
                <c:pt idx="3">
                  <c:v>2.16</c:v>
                </c:pt>
                <c:pt idx="4">
                  <c:v>2.35</c:v>
                </c:pt>
                <c:pt idx="5">
                  <c:v>2.57</c:v>
                </c:pt>
                <c:pt idx="6">
                  <c:v>2.81</c:v>
                </c:pt>
                <c:pt idx="7">
                  <c:v>3.08</c:v>
                </c:pt>
                <c:pt idx="8">
                  <c:v>3.37</c:v>
                </c:pt>
                <c:pt idx="9">
                  <c:v>3.67</c:v>
                </c:pt>
                <c:pt idx="10">
                  <c:v>4.03</c:v>
                </c:pt>
                <c:pt idx="11">
                  <c:v>4.4000000000000004</c:v>
                </c:pt>
                <c:pt idx="12">
                  <c:v>4.8099999999999996</c:v>
                </c:pt>
                <c:pt idx="13">
                  <c:v>5.26</c:v>
                </c:pt>
                <c:pt idx="14">
                  <c:v>5.76</c:v>
                </c:pt>
                <c:pt idx="15">
                  <c:v>6.3</c:v>
                </c:pt>
                <c:pt idx="16">
                  <c:v>6.89</c:v>
                </c:pt>
                <c:pt idx="17">
                  <c:v>7.53</c:v>
                </c:pt>
                <c:pt idx="18">
                  <c:v>8.24</c:v>
                </c:pt>
                <c:pt idx="19">
                  <c:v>9.02</c:v>
                </c:pt>
                <c:pt idx="20">
                  <c:v>9.86</c:v>
                </c:pt>
                <c:pt idx="21">
                  <c:v>10.78</c:v>
                </c:pt>
                <c:pt idx="22">
                  <c:v>11.77</c:v>
                </c:pt>
                <c:pt idx="23">
                  <c:v>12.87</c:v>
                </c:pt>
                <c:pt idx="24">
                  <c:v>14.16</c:v>
                </c:pt>
                <c:pt idx="25">
                  <c:v>15.45</c:v>
                </c:pt>
                <c:pt idx="26">
                  <c:v>16.850000000000001</c:v>
                </c:pt>
                <c:pt idx="27">
                  <c:v>18.489999999999998</c:v>
                </c:pt>
                <c:pt idx="28">
                  <c:v>20.28</c:v>
                </c:pt>
                <c:pt idx="29">
                  <c:v>22.17</c:v>
                </c:pt>
                <c:pt idx="30">
                  <c:v>24.29</c:v>
                </c:pt>
                <c:pt idx="31">
                  <c:v>26.55</c:v>
                </c:pt>
                <c:pt idx="32">
                  <c:v>28.89</c:v>
                </c:pt>
                <c:pt idx="33">
                  <c:v>31.69</c:v>
                </c:pt>
                <c:pt idx="34">
                  <c:v>34.880000000000003</c:v>
                </c:pt>
                <c:pt idx="35">
                  <c:v>37.869999999999997</c:v>
                </c:pt>
                <c:pt idx="36">
                  <c:v>41.14</c:v>
                </c:pt>
                <c:pt idx="37">
                  <c:v>44.64</c:v>
                </c:pt>
                <c:pt idx="38">
                  <c:v>49.24</c:v>
                </c:pt>
                <c:pt idx="39">
                  <c:v>53.96</c:v>
                </c:pt>
                <c:pt idx="40">
                  <c:v>59.13</c:v>
                </c:pt>
                <c:pt idx="41">
                  <c:v>64.53</c:v>
                </c:pt>
                <c:pt idx="42">
                  <c:v>71.12</c:v>
                </c:pt>
                <c:pt idx="43">
                  <c:v>77.180000000000007</c:v>
                </c:pt>
                <c:pt idx="44">
                  <c:v>84.97</c:v>
                </c:pt>
                <c:pt idx="45">
                  <c:v>92.98</c:v>
                </c:pt>
                <c:pt idx="46">
                  <c:v>101.81</c:v>
                </c:pt>
                <c:pt idx="47">
                  <c:v>110.91</c:v>
                </c:pt>
                <c:pt idx="48">
                  <c:v>120.98</c:v>
                </c:pt>
                <c:pt idx="49">
                  <c:v>133.49</c:v>
                </c:pt>
                <c:pt idx="50">
                  <c:v>145.86000000000001</c:v>
                </c:pt>
                <c:pt idx="51">
                  <c:v>159.34</c:v>
                </c:pt>
                <c:pt idx="52">
                  <c:v>173.72</c:v>
                </c:pt>
                <c:pt idx="53">
                  <c:v>190.46</c:v>
                </c:pt>
                <c:pt idx="54">
                  <c:v>207.72</c:v>
                </c:pt>
                <c:pt idx="55">
                  <c:v>229.21</c:v>
                </c:pt>
                <c:pt idx="56">
                  <c:v>250.12</c:v>
                </c:pt>
                <c:pt idx="57">
                  <c:v>273.99</c:v>
                </c:pt>
                <c:pt idx="58">
                  <c:v>300.2</c:v>
                </c:pt>
                <c:pt idx="59">
                  <c:v>327.71</c:v>
                </c:pt>
                <c:pt idx="60">
                  <c:v>358.1</c:v>
                </c:pt>
                <c:pt idx="61">
                  <c:v>392.54</c:v>
                </c:pt>
                <c:pt idx="62">
                  <c:v>428.32</c:v>
                </c:pt>
                <c:pt idx="63">
                  <c:v>471.12</c:v>
                </c:pt>
                <c:pt idx="64">
                  <c:v>512</c:v>
                </c:pt>
                <c:pt idx="65">
                  <c:v>561.94000000000005</c:v>
                </c:pt>
                <c:pt idx="66">
                  <c:v>614.97</c:v>
                </c:pt>
                <c:pt idx="67">
                  <c:v>671.44</c:v>
                </c:pt>
                <c:pt idx="68">
                  <c:v>735.37</c:v>
                </c:pt>
                <c:pt idx="69">
                  <c:v>807.43</c:v>
                </c:pt>
                <c:pt idx="70">
                  <c:v>883.16</c:v>
                </c:pt>
                <c:pt idx="71">
                  <c:v>965.85</c:v>
                </c:pt>
                <c:pt idx="72">
                  <c:v>1048.8800000000001</c:v>
                </c:pt>
                <c:pt idx="73">
                  <c:v>1148.8499999999999</c:v>
                </c:pt>
                <c:pt idx="74">
                  <c:v>1264.97</c:v>
                </c:pt>
                <c:pt idx="75">
                  <c:v>1377.45</c:v>
                </c:pt>
                <c:pt idx="76">
                  <c:v>1509.84</c:v>
                </c:pt>
                <c:pt idx="77">
                  <c:v>1649.69</c:v>
                </c:pt>
                <c:pt idx="78">
                  <c:v>1808.4</c:v>
                </c:pt>
                <c:pt idx="79">
                  <c:v>1977.94</c:v>
                </c:pt>
                <c:pt idx="80">
                  <c:v>2161.91</c:v>
                </c:pt>
                <c:pt idx="81">
                  <c:v>2370.84</c:v>
                </c:pt>
                <c:pt idx="82">
                  <c:v>2588.0300000000002</c:v>
                </c:pt>
                <c:pt idx="83">
                  <c:v>2829.52</c:v>
                </c:pt>
                <c:pt idx="84">
                  <c:v>3100.06</c:v>
                </c:pt>
                <c:pt idx="85">
                  <c:v>3389.06</c:v>
                </c:pt>
                <c:pt idx="86">
                  <c:v>3707.98</c:v>
                </c:pt>
                <c:pt idx="87">
                  <c:v>4058.34</c:v>
                </c:pt>
                <c:pt idx="88">
                  <c:v>4438.8100000000004</c:v>
                </c:pt>
                <c:pt idx="89">
                  <c:v>4846.57</c:v>
                </c:pt>
                <c:pt idx="90">
                  <c:v>5304.81</c:v>
                </c:pt>
                <c:pt idx="91">
                  <c:v>5806.16</c:v>
                </c:pt>
                <c:pt idx="92">
                  <c:v>6356.54</c:v>
                </c:pt>
                <c:pt idx="93">
                  <c:v>6947.83</c:v>
                </c:pt>
                <c:pt idx="94">
                  <c:v>7608.42</c:v>
                </c:pt>
                <c:pt idx="95">
                  <c:v>8316.11</c:v>
                </c:pt>
                <c:pt idx="96">
                  <c:v>9098.23</c:v>
                </c:pt>
                <c:pt idx="97">
                  <c:v>9956.81</c:v>
                </c:pt>
                <c:pt idx="98">
                  <c:v>10897.03</c:v>
                </c:pt>
                <c:pt idx="99">
                  <c:v>11896.33</c:v>
                </c:pt>
                <c:pt idx="100">
                  <c:v>12997.05</c:v>
                </c:pt>
                <c:pt idx="101">
                  <c:v>14297.04</c:v>
                </c:pt>
                <c:pt idx="102">
                  <c:v>15596.46</c:v>
                </c:pt>
                <c:pt idx="103">
                  <c:v>17096.099999999999</c:v>
                </c:pt>
                <c:pt idx="104">
                  <c:v>18696.13</c:v>
                </c:pt>
                <c:pt idx="105">
                  <c:v>20396.48</c:v>
                </c:pt>
                <c:pt idx="106">
                  <c:v>22295.17</c:v>
                </c:pt>
                <c:pt idx="107">
                  <c:v>24397.05</c:v>
                </c:pt>
                <c:pt idx="108">
                  <c:v>26698.03</c:v>
                </c:pt>
                <c:pt idx="109">
                  <c:v>29298.26</c:v>
                </c:pt>
                <c:pt idx="110">
                  <c:v>31997.98</c:v>
                </c:pt>
                <c:pt idx="111">
                  <c:v>34990.199999999997</c:v>
                </c:pt>
                <c:pt idx="112">
                  <c:v>38299.26</c:v>
                </c:pt>
                <c:pt idx="113">
                  <c:v>41897.74</c:v>
                </c:pt>
                <c:pt idx="114">
                  <c:v>45801.39</c:v>
                </c:pt>
                <c:pt idx="115">
                  <c:v>50095.74</c:v>
                </c:pt>
                <c:pt idx="116">
                  <c:v>54799.33</c:v>
                </c:pt>
                <c:pt idx="117">
                  <c:v>59999.26</c:v>
                </c:pt>
              </c:numCache>
            </c:numRef>
          </c:xVal>
          <c:yVal>
            <c:numRef>
              <c:f>THOMfitedt_196!$AG$10:$AG$205</c:f>
              <c:numCache>
                <c:formatCode>0.0000</c:formatCode>
                <c:ptCount val="196"/>
                <c:pt idx="0">
                  <c:v>1E-4</c:v>
                </c:pt>
                <c:pt idx="1">
                  <c:v>1E-4</c:v>
                </c:pt>
                <c:pt idx="2">
                  <c:v>6.7132099315316773E-2</c:v>
                </c:pt>
                <c:pt idx="3">
                  <c:v>0.31165411586786962</c:v>
                </c:pt>
                <c:pt idx="4">
                  <c:v>0.40069814897297534</c:v>
                </c:pt>
                <c:pt idx="5">
                  <c:v>0.53426419863063335</c:v>
                </c:pt>
                <c:pt idx="6">
                  <c:v>0.40069814897297529</c:v>
                </c:pt>
                <c:pt idx="7">
                  <c:v>0.4452201655255279</c:v>
                </c:pt>
                <c:pt idx="8">
                  <c:v>0.42295915724925193</c:v>
                </c:pt>
                <c:pt idx="9">
                  <c:v>0.40069814897297551</c:v>
                </c:pt>
                <c:pt idx="10">
                  <c:v>0.3784371406966982</c:v>
                </c:pt>
                <c:pt idx="11">
                  <c:v>0.37843714069669954</c:v>
                </c:pt>
                <c:pt idx="12">
                  <c:v>0.37843714069669865</c:v>
                </c:pt>
                <c:pt idx="13">
                  <c:v>0.35617613242042179</c:v>
                </c:pt>
                <c:pt idx="14">
                  <c:v>0.31165411586786984</c:v>
                </c:pt>
                <c:pt idx="15">
                  <c:v>0.26713209931531701</c:v>
                </c:pt>
                <c:pt idx="16">
                  <c:v>0.28939310759159298</c:v>
                </c:pt>
                <c:pt idx="17">
                  <c:v>0.28939310759159298</c:v>
                </c:pt>
                <c:pt idx="18">
                  <c:v>0.28939310759159387</c:v>
                </c:pt>
                <c:pt idx="19">
                  <c:v>0.37843714069669776</c:v>
                </c:pt>
                <c:pt idx="20">
                  <c:v>0.28939310759159298</c:v>
                </c:pt>
                <c:pt idx="21">
                  <c:v>0.17808806621021223</c:v>
                </c:pt>
                <c:pt idx="22">
                  <c:v>0.22261008276276417</c:v>
                </c:pt>
                <c:pt idx="23">
                  <c:v>0.20034907448648642</c:v>
                </c:pt>
                <c:pt idx="24">
                  <c:v>0.22261008276276506</c:v>
                </c:pt>
                <c:pt idx="25">
                  <c:v>0.2003490744864882</c:v>
                </c:pt>
                <c:pt idx="26">
                  <c:v>0.20034907448648553</c:v>
                </c:pt>
                <c:pt idx="27">
                  <c:v>0.22261008276276595</c:v>
                </c:pt>
                <c:pt idx="28">
                  <c:v>0.17808806621021134</c:v>
                </c:pt>
                <c:pt idx="29">
                  <c:v>0.15582705793393359</c:v>
                </c:pt>
                <c:pt idx="30">
                  <c:v>0.17808806621021311</c:v>
                </c:pt>
                <c:pt idx="31">
                  <c:v>0.13356604965765762</c:v>
                </c:pt>
                <c:pt idx="32">
                  <c:v>0.15582705793393536</c:v>
                </c:pt>
                <c:pt idx="33">
                  <c:v>0.13356604965765762</c:v>
                </c:pt>
                <c:pt idx="34">
                  <c:v>0.13356604965766117</c:v>
                </c:pt>
                <c:pt idx="35">
                  <c:v>0.13356604965765762</c:v>
                </c:pt>
                <c:pt idx="36">
                  <c:v>0.11130504138138342</c:v>
                </c:pt>
                <c:pt idx="37">
                  <c:v>0.13356604965765762</c:v>
                </c:pt>
                <c:pt idx="38">
                  <c:v>0.11130504138138342</c:v>
                </c:pt>
                <c:pt idx="39">
                  <c:v>0.11130504138137987</c:v>
                </c:pt>
                <c:pt idx="40">
                  <c:v>8.9044033105105669E-2</c:v>
                </c:pt>
                <c:pt idx="41">
                  <c:v>0.11130504138138342</c:v>
                </c:pt>
                <c:pt idx="42">
                  <c:v>8.9044033105103892E-2</c:v>
                </c:pt>
                <c:pt idx="43">
                  <c:v>8.9044033105105669E-2</c:v>
                </c:pt>
                <c:pt idx="44">
                  <c:v>8.9044033105105669E-2</c:v>
                </c:pt>
                <c:pt idx="45">
                  <c:v>8.9044033105103892E-2</c:v>
                </c:pt>
                <c:pt idx="46">
                  <c:v>8.9044033105105669E-2</c:v>
                </c:pt>
                <c:pt idx="47">
                  <c:v>0.11130504138138342</c:v>
                </c:pt>
                <c:pt idx="48">
                  <c:v>8.9044033105103892E-2</c:v>
                </c:pt>
                <c:pt idx="49">
                  <c:v>0.13356604965765762</c:v>
                </c:pt>
                <c:pt idx="50">
                  <c:v>0.13356604965766117</c:v>
                </c:pt>
                <c:pt idx="51">
                  <c:v>0.15582705793393181</c:v>
                </c:pt>
                <c:pt idx="52">
                  <c:v>0.17808806621021489</c:v>
                </c:pt>
                <c:pt idx="53">
                  <c:v>0.22261008276276151</c:v>
                </c:pt>
                <c:pt idx="54">
                  <c:v>0.28939310759159653</c:v>
                </c:pt>
                <c:pt idx="55">
                  <c:v>0.37843714069669865</c:v>
                </c:pt>
                <c:pt idx="56">
                  <c:v>0.37843714069669687</c:v>
                </c:pt>
                <c:pt idx="57">
                  <c:v>0.40069814897297817</c:v>
                </c:pt>
                <c:pt idx="58">
                  <c:v>0.40069814897297462</c:v>
                </c:pt>
                <c:pt idx="59">
                  <c:v>0.37843714069670042</c:v>
                </c:pt>
                <c:pt idx="60">
                  <c:v>0.3561761324204209</c:v>
                </c:pt>
                <c:pt idx="61">
                  <c:v>0.3339151241441467</c:v>
                </c:pt>
                <c:pt idx="62">
                  <c:v>0.31165411586787073</c:v>
                </c:pt>
                <c:pt idx="63">
                  <c:v>0.26713209931531701</c:v>
                </c:pt>
                <c:pt idx="64">
                  <c:v>0.24487109103904103</c:v>
                </c:pt>
                <c:pt idx="65">
                  <c:v>0.17808806621020956</c:v>
                </c:pt>
                <c:pt idx="66">
                  <c:v>0.15582705793393892</c:v>
                </c:pt>
                <c:pt idx="67">
                  <c:v>0.13356604965765762</c:v>
                </c:pt>
                <c:pt idx="68">
                  <c:v>0.13356604965765762</c:v>
                </c:pt>
                <c:pt idx="69">
                  <c:v>0.13356604965766117</c:v>
                </c:pt>
                <c:pt idx="70">
                  <c:v>0.13356604965765939</c:v>
                </c:pt>
                <c:pt idx="71">
                  <c:v>0.15582705793393359</c:v>
                </c:pt>
                <c:pt idx="72">
                  <c:v>0.17808806621021134</c:v>
                </c:pt>
                <c:pt idx="73">
                  <c:v>0.17808806621020778</c:v>
                </c:pt>
                <c:pt idx="74">
                  <c:v>0.15582705793393714</c:v>
                </c:pt>
                <c:pt idx="75">
                  <c:v>0.13356604965765939</c:v>
                </c:pt>
                <c:pt idx="76">
                  <c:v>0.11130504138138519</c:v>
                </c:pt>
                <c:pt idx="77">
                  <c:v>0.11130504138138164</c:v>
                </c:pt>
                <c:pt idx="78">
                  <c:v>8.9044033105103892E-2</c:v>
                </c:pt>
                <c:pt idx="79">
                  <c:v>8.9044033105107445E-2</c:v>
                </c:pt>
                <c:pt idx="80">
                  <c:v>6.6783024828826143E-2</c:v>
                </c:pt>
                <c:pt idx="81">
                  <c:v>8.9044033105107445E-2</c:v>
                </c:pt>
                <c:pt idx="82">
                  <c:v>6.678302482882259E-2</c:v>
                </c:pt>
                <c:pt idx="83">
                  <c:v>6.6783024828829696E-2</c:v>
                </c:pt>
                <c:pt idx="84">
                  <c:v>6.6783024828826143E-2</c:v>
                </c:pt>
                <c:pt idx="85">
                  <c:v>6.6783024828833248E-2</c:v>
                </c:pt>
                <c:pt idx="86">
                  <c:v>4.4522016552551946E-2</c:v>
                </c:pt>
                <c:pt idx="87">
                  <c:v>4.4522016552551946E-2</c:v>
                </c:pt>
                <c:pt idx="88">
                  <c:v>4.4522016552555499E-2</c:v>
                </c:pt>
                <c:pt idx="89">
                  <c:v>4.4522016552551946E-2</c:v>
                </c:pt>
                <c:pt idx="90">
                  <c:v>2.2261008276281302E-2</c:v>
                </c:pt>
                <c:pt idx="91">
                  <c:v>2.2261008276274197E-2</c:v>
                </c:pt>
                <c:pt idx="92">
                  <c:v>1E-4</c:v>
                </c:pt>
                <c:pt idx="93">
                  <c:v>2.2261008276277749E-2</c:v>
                </c:pt>
                <c:pt idx="94">
                  <c:v>1E-4</c:v>
                </c:pt>
                <c:pt idx="95">
                  <c:v>1E-4</c:v>
                </c:pt>
                <c:pt idx="96">
                  <c:v>2.2261008276277749E-2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</c:numCache>
            </c:numRef>
          </c:yVal>
          <c:smooth val="1"/>
        </c:ser>
        <c:ser>
          <c:idx val="5"/>
          <c:order val="1"/>
          <c:tx>
            <c:v>xducer switch splice bkgd</c:v>
          </c:tx>
          <c:spPr>
            <a:ln>
              <a:noFill/>
            </a:ln>
          </c:spPr>
          <c:marker>
            <c:symbol val="square"/>
            <c:size val="19"/>
            <c:spPr>
              <a:solidFill>
                <a:schemeClr val="accent1">
                  <a:alpha val="40000"/>
                </a:schemeClr>
              </a:solidFill>
              <a:ln>
                <a:noFill/>
              </a:ln>
            </c:spPr>
          </c:marker>
          <c:xVal>
            <c:numRef>
              <c:f>THOMfitedt_196!$S$305:$S$309</c:f>
              <c:numCache>
                <c:formatCode>General</c:formatCode>
                <c:ptCount val="5"/>
                <c:pt idx="0">
                  <c:v>26.55</c:v>
                </c:pt>
                <c:pt idx="1">
                  <c:v>28.89</c:v>
                </c:pt>
                <c:pt idx="2">
                  <c:v>31.69</c:v>
                </c:pt>
                <c:pt idx="3">
                  <c:v>34.880000000000003</c:v>
                </c:pt>
                <c:pt idx="4">
                  <c:v>37.869999999999997</c:v>
                </c:pt>
              </c:numCache>
            </c:numRef>
          </c:xVal>
          <c:yVal>
            <c:numRef>
              <c:f>THOMfitedt_196!$V$305:$V$309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</c:ser>
        <c:ser>
          <c:idx val="1"/>
          <c:order val="2"/>
          <c:tx>
            <c:v>Points deleted from residual error</c:v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THOMfitedt_196!$A$10:$A$205</c:f>
              <c:numCache>
                <c:formatCode>General</c:formatCode>
                <c:ptCount val="196"/>
                <c:pt idx="0">
                  <c:v>1.54</c:v>
                </c:pt>
                <c:pt idx="1">
                  <c:v>1.81</c:v>
                </c:pt>
                <c:pt idx="2">
                  <c:v>1.95</c:v>
                </c:pt>
                <c:pt idx="3">
                  <c:v>2.16</c:v>
                </c:pt>
                <c:pt idx="4">
                  <c:v>2.35</c:v>
                </c:pt>
                <c:pt idx="5">
                  <c:v>2.57</c:v>
                </c:pt>
                <c:pt idx="6">
                  <c:v>2.81</c:v>
                </c:pt>
                <c:pt idx="7">
                  <c:v>3.08</c:v>
                </c:pt>
                <c:pt idx="8">
                  <c:v>3.37</c:v>
                </c:pt>
                <c:pt idx="9">
                  <c:v>3.67</c:v>
                </c:pt>
                <c:pt idx="10">
                  <c:v>4.03</c:v>
                </c:pt>
                <c:pt idx="11">
                  <c:v>4.4000000000000004</c:v>
                </c:pt>
                <c:pt idx="12">
                  <c:v>4.8099999999999996</c:v>
                </c:pt>
                <c:pt idx="13">
                  <c:v>5.26</c:v>
                </c:pt>
                <c:pt idx="14">
                  <c:v>5.76</c:v>
                </c:pt>
                <c:pt idx="15">
                  <c:v>6.3</c:v>
                </c:pt>
                <c:pt idx="16">
                  <c:v>6.89</c:v>
                </c:pt>
                <c:pt idx="17">
                  <c:v>7.53</c:v>
                </c:pt>
                <c:pt idx="18">
                  <c:v>8.24</c:v>
                </c:pt>
                <c:pt idx="19">
                  <c:v>9.02</c:v>
                </c:pt>
                <c:pt idx="20">
                  <c:v>9.86</c:v>
                </c:pt>
                <c:pt idx="21">
                  <c:v>10.78</c:v>
                </c:pt>
                <c:pt idx="22">
                  <c:v>11.77</c:v>
                </c:pt>
                <c:pt idx="23">
                  <c:v>12.87</c:v>
                </c:pt>
                <c:pt idx="24">
                  <c:v>14.16</c:v>
                </c:pt>
                <c:pt idx="25">
                  <c:v>15.45</c:v>
                </c:pt>
                <c:pt idx="26">
                  <c:v>16.850000000000001</c:v>
                </c:pt>
                <c:pt idx="27">
                  <c:v>18.489999999999998</c:v>
                </c:pt>
                <c:pt idx="28">
                  <c:v>20.28</c:v>
                </c:pt>
                <c:pt idx="29">
                  <c:v>22.17</c:v>
                </c:pt>
                <c:pt idx="30">
                  <c:v>24.29</c:v>
                </c:pt>
                <c:pt idx="31">
                  <c:v>26.55</c:v>
                </c:pt>
                <c:pt idx="32">
                  <c:v>28.89</c:v>
                </c:pt>
                <c:pt idx="33">
                  <c:v>31.69</c:v>
                </c:pt>
                <c:pt idx="34">
                  <c:v>34.880000000000003</c:v>
                </c:pt>
                <c:pt idx="35">
                  <c:v>37.869999999999997</c:v>
                </c:pt>
                <c:pt idx="36">
                  <c:v>41.14</c:v>
                </c:pt>
                <c:pt idx="37">
                  <c:v>44.64</c:v>
                </c:pt>
                <c:pt idx="38">
                  <c:v>49.24</c:v>
                </c:pt>
                <c:pt idx="39">
                  <c:v>53.96</c:v>
                </c:pt>
                <c:pt idx="40">
                  <c:v>59.13</c:v>
                </c:pt>
                <c:pt idx="41">
                  <c:v>64.53</c:v>
                </c:pt>
                <c:pt idx="42">
                  <c:v>71.12</c:v>
                </c:pt>
                <c:pt idx="43">
                  <c:v>77.180000000000007</c:v>
                </c:pt>
                <c:pt idx="44">
                  <c:v>84.97</c:v>
                </c:pt>
                <c:pt idx="45">
                  <c:v>92.98</c:v>
                </c:pt>
                <c:pt idx="46">
                  <c:v>101.81</c:v>
                </c:pt>
                <c:pt idx="47">
                  <c:v>110.91</c:v>
                </c:pt>
                <c:pt idx="48">
                  <c:v>120.98</c:v>
                </c:pt>
                <c:pt idx="49">
                  <c:v>133.49</c:v>
                </c:pt>
                <c:pt idx="50">
                  <c:v>145.86000000000001</c:v>
                </c:pt>
                <c:pt idx="51">
                  <c:v>159.34</c:v>
                </c:pt>
                <c:pt idx="52">
                  <c:v>173.72</c:v>
                </c:pt>
                <c:pt idx="53">
                  <c:v>190.46</c:v>
                </c:pt>
                <c:pt idx="54">
                  <c:v>207.72</c:v>
                </c:pt>
                <c:pt idx="55">
                  <c:v>229.21</c:v>
                </c:pt>
                <c:pt idx="56">
                  <c:v>250.12</c:v>
                </c:pt>
                <c:pt idx="57">
                  <c:v>273.99</c:v>
                </c:pt>
                <c:pt idx="58">
                  <c:v>300.2</c:v>
                </c:pt>
                <c:pt idx="59">
                  <c:v>327.71</c:v>
                </c:pt>
                <c:pt idx="60">
                  <c:v>358.1</c:v>
                </c:pt>
                <c:pt idx="61">
                  <c:v>392.54</c:v>
                </c:pt>
                <c:pt idx="62">
                  <c:v>428.32</c:v>
                </c:pt>
                <c:pt idx="63">
                  <c:v>471.12</c:v>
                </c:pt>
                <c:pt idx="64">
                  <c:v>512</c:v>
                </c:pt>
                <c:pt idx="65">
                  <c:v>561.94000000000005</c:v>
                </c:pt>
                <c:pt idx="66">
                  <c:v>614.97</c:v>
                </c:pt>
                <c:pt idx="67">
                  <c:v>671.44</c:v>
                </c:pt>
                <c:pt idx="68">
                  <c:v>735.37</c:v>
                </c:pt>
                <c:pt idx="69">
                  <c:v>807.43</c:v>
                </c:pt>
                <c:pt idx="70">
                  <c:v>883.16</c:v>
                </c:pt>
                <c:pt idx="71">
                  <c:v>965.85</c:v>
                </c:pt>
                <c:pt idx="72">
                  <c:v>1048.8800000000001</c:v>
                </c:pt>
                <c:pt idx="73">
                  <c:v>1148.8499999999999</c:v>
                </c:pt>
                <c:pt idx="74">
                  <c:v>1264.97</c:v>
                </c:pt>
                <c:pt idx="75">
                  <c:v>1377.45</c:v>
                </c:pt>
                <c:pt idx="76">
                  <c:v>1509.84</c:v>
                </c:pt>
                <c:pt idx="77">
                  <c:v>1649.69</c:v>
                </c:pt>
                <c:pt idx="78">
                  <c:v>1808.4</c:v>
                </c:pt>
                <c:pt idx="79">
                  <c:v>1977.94</c:v>
                </c:pt>
                <c:pt idx="80">
                  <c:v>2161.91</c:v>
                </c:pt>
                <c:pt idx="81">
                  <c:v>2370.84</c:v>
                </c:pt>
                <c:pt idx="82">
                  <c:v>2588.0300000000002</c:v>
                </c:pt>
                <c:pt idx="83">
                  <c:v>2829.52</c:v>
                </c:pt>
                <c:pt idx="84">
                  <c:v>3100.06</c:v>
                </c:pt>
                <c:pt idx="85">
                  <c:v>3389.06</c:v>
                </c:pt>
                <c:pt idx="86">
                  <c:v>3707.98</c:v>
                </c:pt>
                <c:pt idx="87">
                  <c:v>4058.34</c:v>
                </c:pt>
                <c:pt idx="88">
                  <c:v>4438.8100000000004</c:v>
                </c:pt>
                <c:pt idx="89">
                  <c:v>4846.57</c:v>
                </c:pt>
                <c:pt idx="90">
                  <c:v>5304.81</c:v>
                </c:pt>
                <c:pt idx="91">
                  <c:v>5806.16</c:v>
                </c:pt>
                <c:pt idx="92">
                  <c:v>6356.54</c:v>
                </c:pt>
                <c:pt idx="93">
                  <c:v>6947.83</c:v>
                </c:pt>
                <c:pt idx="94">
                  <c:v>7608.42</c:v>
                </c:pt>
                <c:pt idx="95">
                  <c:v>8316.11</c:v>
                </c:pt>
                <c:pt idx="96">
                  <c:v>9098.23</c:v>
                </c:pt>
                <c:pt idx="97">
                  <c:v>9956.81</c:v>
                </c:pt>
                <c:pt idx="98">
                  <c:v>10897.03</c:v>
                </c:pt>
                <c:pt idx="99">
                  <c:v>11896.33</c:v>
                </c:pt>
                <c:pt idx="100">
                  <c:v>12997.05</c:v>
                </c:pt>
                <c:pt idx="101">
                  <c:v>14297.04</c:v>
                </c:pt>
                <c:pt idx="102">
                  <c:v>15596.46</c:v>
                </c:pt>
                <c:pt idx="103">
                  <c:v>17096.099999999999</c:v>
                </c:pt>
                <c:pt idx="104">
                  <c:v>18696.13</c:v>
                </c:pt>
                <c:pt idx="105">
                  <c:v>20396.48</c:v>
                </c:pt>
                <c:pt idx="106">
                  <c:v>22295.17</c:v>
                </c:pt>
                <c:pt idx="107">
                  <c:v>24397.05</c:v>
                </c:pt>
                <c:pt idx="108">
                  <c:v>26698.03</c:v>
                </c:pt>
                <c:pt idx="109">
                  <c:v>29298.26</c:v>
                </c:pt>
                <c:pt idx="110">
                  <c:v>31997.98</c:v>
                </c:pt>
                <c:pt idx="111">
                  <c:v>34990.199999999997</c:v>
                </c:pt>
                <c:pt idx="112">
                  <c:v>38299.26</c:v>
                </c:pt>
                <c:pt idx="113">
                  <c:v>41897.74</c:v>
                </c:pt>
                <c:pt idx="114">
                  <c:v>45801.39</c:v>
                </c:pt>
                <c:pt idx="115">
                  <c:v>50095.74</c:v>
                </c:pt>
                <c:pt idx="116">
                  <c:v>54799.33</c:v>
                </c:pt>
                <c:pt idx="117">
                  <c:v>59999.26</c:v>
                </c:pt>
              </c:numCache>
            </c:numRef>
          </c:xVal>
          <c:yVal>
            <c:numRef>
              <c:f>THOMfitedt_196!$AS$10:$AS$205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0.28939310759159298</c:v>
                </c:pt>
                <c:pt idx="18">
                  <c:v>0.28939310759159387</c:v>
                </c:pt>
                <c:pt idx="19">
                  <c:v>0.37843714069669776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8.9044033105103892E-2</c:v>
                </c:pt>
                <c:pt idx="43">
                  <c:v>8.9044033105105669E-2</c:v>
                </c:pt>
                <c:pt idx="44">
                  <c:v>8.9044033105105669E-2</c:v>
                </c:pt>
                <c:pt idx="45">
                  <c:v>8.9044033105103892E-2</c:v>
                </c:pt>
                <c:pt idx="46">
                  <c:v>8.9044033105105669E-2</c:v>
                </c:pt>
                <c:pt idx="47">
                  <c:v>0.11130504138138342</c:v>
                </c:pt>
                <c:pt idx="48">
                  <c:v>8.9044033105103892E-2</c:v>
                </c:pt>
                <c:pt idx="49">
                  <c:v>0.13356604965765762</c:v>
                </c:pt>
                <c:pt idx="50">
                  <c:v>0.13356604965766117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0.13356604965765762</c:v>
                </c:pt>
                <c:pt idx="68">
                  <c:v>0.13356604965765762</c:v>
                </c:pt>
                <c:pt idx="69">
                  <c:v>0.13356604965766117</c:v>
                </c:pt>
                <c:pt idx="70">
                  <c:v>0.13356604965765939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87528"/>
        <c:axId val="248987920"/>
      </c:scatterChart>
      <c:valAx>
        <c:axId val="248987528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Capillary</a:t>
                </a:r>
                <a:r>
                  <a:rPr lang="en-US" baseline="0"/>
                  <a:t> Pressure psi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41870083512288236"/>
              <c:y val="0.955260069075387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87920"/>
        <c:crossesAt val="0.01"/>
        <c:crossBetween val="midCat"/>
      </c:valAx>
      <c:valAx>
        <c:axId val="248987920"/>
        <c:scaling>
          <c:logBase val="10"/>
          <c:orientation val="minMax"/>
          <c:max val="10"/>
          <c:min val="0.0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Incremental  Pore Volume</a:t>
                </a:r>
              </a:p>
            </c:rich>
          </c:tx>
          <c:layout>
            <c:manualLayout>
              <c:xMode val="edge"/>
              <c:yMode val="edge"/>
              <c:x val="1.5469339059890241E-2"/>
              <c:y val="0.449818634929586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87528"/>
        <c:crossesAt val="1E-3"/>
        <c:crossBetween val="midCat"/>
        <c:majorUnit val="10"/>
        <c:minorUnit val="10"/>
      </c:valAx>
      <c:spPr>
        <a:pattFill prst="pct25">
          <a:fgClr>
            <a:srgbClr val="FFFFCC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THOMfitedt_196!$AO$10:$AO$44</c:f>
          <c:strCache>
            <c:ptCount val="35"/>
            <c:pt idx="0">
              <c:v>SAMPLE NO.:</c:v>
            </c:pt>
            <c:pt idx="1">
              <c:v>Example</c:v>
            </c:pt>
            <c:pt idx="2">
              <c:v>Description:</c:v>
            </c:pt>
            <c:pt idx="3">
              <c:v>Clerke GeoArabia 2008 Trimodal</c:v>
            </c:pt>
            <c:pt idx="4">
              <c:v>Phi:</c:v>
            </c:pt>
            <c:pt idx="5">
              <c:v>23.9</c:v>
            </c:pt>
            <c:pt idx="6">
              <c:v>BVTot:</c:v>
            </c:pt>
            <c:pt idx="7">
              <c:v>21.50</c:v>
            </c:pt>
            <c:pt idx="8">
              <c:v>Perm:</c:v>
            </c:pt>
            <c:pt idx="9">
              <c:v>948</c:v>
            </c:pt>
            <c:pt idx="10">
              <c:v>Buiting-Clerke Perm:</c:v>
            </c:pt>
            <c:pt idx="11">
              <c:v>987.1</c:v>
            </c:pt>
            <c:pt idx="12">
              <c:v>PORE SYSTEM 1:</c:v>
            </c:pt>
            <c:pt idx="13">
              <c:v>G1:</c:v>
            </c:pt>
            <c:pt idx="14">
              <c:v>0.74</c:v>
            </c:pt>
            <c:pt idx="15">
              <c:v>Pd1:</c:v>
            </c:pt>
            <c:pt idx="16">
              <c:v>1.30</c:v>
            </c:pt>
            <c:pt idx="17">
              <c:v>BV1:</c:v>
            </c:pt>
            <c:pt idx="18">
              <c:v>15.00</c:v>
            </c:pt>
            <c:pt idx="19">
              <c:v>Closure Corr:</c:v>
            </c:pt>
            <c:pt idx="20">
              <c:v>0.20</c:v>
            </c:pt>
            <c:pt idx="21">
              <c:v>PORE SYSTEM 2:</c:v>
            </c:pt>
            <c:pt idx="22">
              <c:v>G2:</c:v>
            </c:pt>
            <c:pt idx="23">
              <c:v>0.18</c:v>
            </c:pt>
            <c:pt idx="24">
              <c:v>Pd2:</c:v>
            </c:pt>
            <c:pt idx="25">
              <c:v>190.00</c:v>
            </c:pt>
            <c:pt idx="26">
              <c:v>BV2:</c:v>
            </c:pt>
            <c:pt idx="27">
              <c:v>5.50</c:v>
            </c:pt>
            <c:pt idx="28">
              <c:v>PORE SYSTEM 3:</c:v>
            </c:pt>
            <c:pt idx="29">
              <c:v>G3:</c:v>
            </c:pt>
            <c:pt idx="30">
              <c:v>0.10</c:v>
            </c:pt>
            <c:pt idx="31">
              <c:v>Pd3:</c:v>
            </c:pt>
            <c:pt idx="32">
              <c:v>850.00</c:v>
            </c:pt>
            <c:pt idx="33">
              <c:v>BV3:</c:v>
            </c:pt>
            <c:pt idx="34">
              <c:v>1.00</c:v>
            </c:pt>
          </c:strCache>
        </c:strRef>
      </c:tx>
      <c:layout>
        <c:manualLayout>
          <c:xMode val="edge"/>
          <c:yMode val="edge"/>
          <c:x val="3.259659168324959E-2"/>
          <c:y val="0.129777074309833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 pitchFamily="34" charset="0"/>
              <a:ea typeface="Helv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84709632520982E-2"/>
          <c:y val="0.21874830958176672"/>
          <c:w val="0.7574223776546728"/>
          <c:h val="0.66608002011359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THOMfitedt_196!$B$304</c:f>
              <c:strCache>
                <c:ptCount val="1"/>
                <c:pt idx="0">
                  <c:v>%BVocc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THOMfitedt_196!$A$305:$A$500</c:f>
              <c:numCache>
                <c:formatCode>#,##0.00</c:formatCode>
                <c:ptCount val="196"/>
                <c:pt idx="0">
                  <c:v>0.01</c:v>
                </c:pt>
                <c:pt idx="1">
                  <c:v>0.13356604965765839</c:v>
                </c:pt>
                <c:pt idx="2">
                  <c:v>0.26713209931531678</c:v>
                </c:pt>
                <c:pt idx="3">
                  <c:v>0.5787862151831864</c:v>
                </c:pt>
                <c:pt idx="4">
                  <c:v>0.97948436415616169</c:v>
                </c:pt>
                <c:pt idx="5">
                  <c:v>1.513748562786795</c:v>
                </c:pt>
                <c:pt idx="6">
                  <c:v>1.9144467117597703</c:v>
                </c:pt>
                <c:pt idx="7">
                  <c:v>2.3596668772852984</c:v>
                </c:pt>
                <c:pt idx="8">
                  <c:v>2.7826260345345504</c:v>
                </c:pt>
                <c:pt idx="9">
                  <c:v>3.1833241835075259</c:v>
                </c:pt>
                <c:pt idx="10">
                  <c:v>3.5617613242042241</c:v>
                </c:pt>
                <c:pt idx="11">
                  <c:v>3.9401984649009236</c:v>
                </c:pt>
                <c:pt idx="12">
                  <c:v>4.3186356055976223</c:v>
                </c:pt>
                <c:pt idx="13">
                  <c:v>4.6748117380180441</c:v>
                </c:pt>
                <c:pt idx="14">
                  <c:v>4.9864658538859139</c:v>
                </c:pt>
                <c:pt idx="15">
                  <c:v>5.2535979532012309</c:v>
                </c:pt>
                <c:pt idx="16">
                  <c:v>5.5429910607928239</c:v>
                </c:pt>
                <c:pt idx="17">
                  <c:v>5.8323841683844169</c:v>
                </c:pt>
                <c:pt idx="18">
                  <c:v>6.1217772759760107</c:v>
                </c:pt>
                <c:pt idx="19">
                  <c:v>6.5002144166727085</c:v>
                </c:pt>
                <c:pt idx="20">
                  <c:v>6.7896075242643015</c:v>
                </c:pt>
                <c:pt idx="21">
                  <c:v>6.9676955904745137</c:v>
                </c:pt>
                <c:pt idx="22">
                  <c:v>7.1903056732372779</c:v>
                </c:pt>
                <c:pt idx="23">
                  <c:v>7.3906547477237643</c:v>
                </c:pt>
                <c:pt idx="24">
                  <c:v>7.6132648304865294</c:v>
                </c:pt>
                <c:pt idx="25">
                  <c:v>7.8136139049730176</c:v>
                </c:pt>
                <c:pt idx="26">
                  <c:v>8.0139629794595031</c:v>
                </c:pt>
                <c:pt idx="27">
                  <c:v>8.2365730622222681</c:v>
                </c:pt>
                <c:pt idx="28">
                  <c:v>8.4146611284324795</c:v>
                </c:pt>
                <c:pt idx="29">
                  <c:v>8.5704881863664131</c:v>
                </c:pt>
                <c:pt idx="30">
                  <c:v>8.7485762525766262</c:v>
                </c:pt>
                <c:pt idx="31">
                  <c:v>8.8821423022342838</c:v>
                </c:pt>
                <c:pt idx="32">
                  <c:v>9.0379693601682192</c:v>
                </c:pt>
                <c:pt idx="33">
                  <c:v>9.1715354098258768</c:v>
                </c:pt>
                <c:pt idx="34">
                  <c:v>9.305101459483538</c:v>
                </c:pt>
                <c:pt idx="35">
                  <c:v>9.4386675091411956</c:v>
                </c:pt>
                <c:pt idx="36">
                  <c:v>9.549972550522579</c:v>
                </c:pt>
                <c:pt idx="37">
                  <c:v>9.6835386001802366</c:v>
                </c:pt>
                <c:pt idx="38">
                  <c:v>9.79484364156162</c:v>
                </c:pt>
                <c:pt idx="39">
                  <c:v>9.9061486829429999</c:v>
                </c:pt>
                <c:pt idx="40">
                  <c:v>9.9951927160481056</c:v>
                </c:pt>
                <c:pt idx="41">
                  <c:v>10.106497757429489</c:v>
                </c:pt>
                <c:pt idx="42">
                  <c:v>10.195541790534593</c:v>
                </c:pt>
                <c:pt idx="43">
                  <c:v>10.284585823639699</c:v>
                </c:pt>
                <c:pt idx="44">
                  <c:v>10.373629856744804</c:v>
                </c:pt>
                <c:pt idx="45">
                  <c:v>10.462673889849908</c:v>
                </c:pt>
                <c:pt idx="46">
                  <c:v>10.551717922955014</c:v>
                </c:pt>
                <c:pt idx="47">
                  <c:v>10.663022964336397</c:v>
                </c:pt>
                <c:pt idx="48">
                  <c:v>10.752066997441501</c:v>
                </c:pt>
                <c:pt idx="49">
                  <c:v>10.885633047099159</c:v>
                </c:pt>
                <c:pt idx="50">
                  <c:v>11.01919909675682</c:v>
                </c:pt>
                <c:pt idx="51">
                  <c:v>11.175026154690752</c:v>
                </c:pt>
                <c:pt idx="52">
                  <c:v>11.353114220900967</c:v>
                </c:pt>
                <c:pt idx="53">
                  <c:v>11.575724303663728</c:v>
                </c:pt>
                <c:pt idx="54">
                  <c:v>11.865117411255325</c:v>
                </c:pt>
                <c:pt idx="55">
                  <c:v>12.243554551952023</c:v>
                </c:pt>
                <c:pt idx="56">
                  <c:v>12.62199169264872</c:v>
                </c:pt>
                <c:pt idx="57">
                  <c:v>13.022689841621698</c:v>
                </c:pt>
                <c:pt idx="58">
                  <c:v>13.423387990594673</c:v>
                </c:pt>
                <c:pt idx="59">
                  <c:v>13.801825131291373</c:v>
                </c:pt>
                <c:pt idx="60">
                  <c:v>14.158001263711794</c:v>
                </c:pt>
                <c:pt idx="61">
                  <c:v>14.491916387855941</c:v>
                </c:pt>
                <c:pt idx="62">
                  <c:v>14.803570503723812</c:v>
                </c:pt>
                <c:pt idx="63">
                  <c:v>15.070702603039129</c:v>
                </c:pt>
                <c:pt idx="64">
                  <c:v>15.31557369407817</c:v>
                </c:pt>
                <c:pt idx="65">
                  <c:v>15.493661760288379</c:v>
                </c:pt>
                <c:pt idx="66">
                  <c:v>15.649488818222318</c:v>
                </c:pt>
                <c:pt idx="67">
                  <c:v>15.783054867879976</c:v>
                </c:pt>
                <c:pt idx="68">
                  <c:v>15.916620917537633</c:v>
                </c:pt>
                <c:pt idx="69">
                  <c:v>16.050186967195295</c:v>
                </c:pt>
                <c:pt idx="70">
                  <c:v>16.183753016852954</c:v>
                </c:pt>
                <c:pt idx="71">
                  <c:v>16.339580074786888</c:v>
                </c:pt>
                <c:pt idx="72">
                  <c:v>16.517668140997099</c:v>
                </c:pt>
                <c:pt idx="73">
                  <c:v>16.695756207207307</c:v>
                </c:pt>
                <c:pt idx="74">
                  <c:v>16.851583265141244</c:v>
                </c:pt>
                <c:pt idx="75">
                  <c:v>16.985149314798903</c:v>
                </c:pt>
                <c:pt idx="76">
                  <c:v>17.096454356180288</c:v>
                </c:pt>
                <c:pt idx="77">
                  <c:v>17.20775939756167</c:v>
                </c:pt>
                <c:pt idx="78">
                  <c:v>17.296803430666774</c:v>
                </c:pt>
                <c:pt idx="79">
                  <c:v>17.385847463771881</c:v>
                </c:pt>
                <c:pt idx="80">
                  <c:v>17.452630488600708</c:v>
                </c:pt>
                <c:pt idx="81">
                  <c:v>17.541674521705815</c:v>
                </c:pt>
                <c:pt idx="82">
                  <c:v>17.608457546534638</c:v>
                </c:pt>
                <c:pt idx="83">
                  <c:v>17.675240571363467</c:v>
                </c:pt>
                <c:pt idx="84">
                  <c:v>17.742023596192293</c:v>
                </c:pt>
                <c:pt idx="85">
                  <c:v>17.808806621021127</c:v>
                </c:pt>
                <c:pt idx="86">
                  <c:v>17.853328637573679</c:v>
                </c:pt>
                <c:pt idx="87">
                  <c:v>17.897850654126231</c:v>
                </c:pt>
                <c:pt idx="88">
                  <c:v>17.942372670678786</c:v>
                </c:pt>
                <c:pt idx="89">
                  <c:v>17.986894687231338</c:v>
                </c:pt>
                <c:pt idx="90">
                  <c:v>18.009155695507619</c:v>
                </c:pt>
                <c:pt idx="91">
                  <c:v>18.031416703783893</c:v>
                </c:pt>
                <c:pt idx="92">
                  <c:v>18.031416703783893</c:v>
                </c:pt>
                <c:pt idx="93">
                  <c:v>18.053677712060171</c:v>
                </c:pt>
                <c:pt idx="94">
                  <c:v>18.053677712060171</c:v>
                </c:pt>
                <c:pt idx="95">
                  <c:v>18.053677712060171</c:v>
                </c:pt>
                <c:pt idx="96">
                  <c:v>18.075938720336449</c:v>
                </c:pt>
                <c:pt idx="97">
                  <c:v>18.075938720336449</c:v>
                </c:pt>
                <c:pt idx="98">
                  <c:v>18.075938720336449</c:v>
                </c:pt>
                <c:pt idx="99">
                  <c:v>18.075938720336449</c:v>
                </c:pt>
                <c:pt idx="100">
                  <c:v>18.075938720336449</c:v>
                </c:pt>
                <c:pt idx="101">
                  <c:v>18.075938720336449</c:v>
                </c:pt>
                <c:pt idx="102">
                  <c:v>18.075938720336449</c:v>
                </c:pt>
                <c:pt idx="103">
                  <c:v>18.075938720336449</c:v>
                </c:pt>
                <c:pt idx="104">
                  <c:v>18.075938720336449</c:v>
                </c:pt>
                <c:pt idx="105">
                  <c:v>18.075938720336449</c:v>
                </c:pt>
                <c:pt idx="106">
                  <c:v>18.075938720336449</c:v>
                </c:pt>
                <c:pt idx="107">
                  <c:v>18.075938720336449</c:v>
                </c:pt>
                <c:pt idx="108">
                  <c:v>18.075938720336449</c:v>
                </c:pt>
                <c:pt idx="109">
                  <c:v>18.075938720336449</c:v>
                </c:pt>
                <c:pt idx="110">
                  <c:v>18.075938720336449</c:v>
                </c:pt>
                <c:pt idx="111">
                  <c:v>18.075938720336449</c:v>
                </c:pt>
                <c:pt idx="112">
                  <c:v>18.075938720336449</c:v>
                </c:pt>
                <c:pt idx="113">
                  <c:v>18.075938720336449</c:v>
                </c:pt>
                <c:pt idx="114">
                  <c:v>18.075938720336449</c:v>
                </c:pt>
                <c:pt idx="115">
                  <c:v>18.075938720336449</c:v>
                </c:pt>
                <c:pt idx="116">
                  <c:v>18.075938720336449</c:v>
                </c:pt>
                <c:pt idx="117">
                  <c:v>18.075938720336449</c:v>
                </c:pt>
                <c:pt idx="118">
                  <c:v>18.075938720336449</c:v>
                </c:pt>
                <c:pt idx="119">
                  <c:v>18.075938720336449</c:v>
                </c:pt>
                <c:pt idx="120">
                  <c:v>18.075938720336449</c:v>
                </c:pt>
                <c:pt idx="121">
                  <c:v>18.075938720336449</c:v>
                </c:pt>
                <c:pt idx="122">
                  <c:v>18.075938720336449</c:v>
                </c:pt>
                <c:pt idx="123">
                  <c:v>18.075938720336449</c:v>
                </c:pt>
                <c:pt idx="124">
                  <c:v>18.075938720336449</c:v>
                </c:pt>
                <c:pt idx="125">
                  <c:v>18.075938720336449</c:v>
                </c:pt>
                <c:pt idx="126">
                  <c:v>18.075938720336449</c:v>
                </c:pt>
                <c:pt idx="127">
                  <c:v>18.075938720336449</c:v>
                </c:pt>
                <c:pt idx="128">
                  <c:v>18.075938720336449</c:v>
                </c:pt>
                <c:pt idx="129">
                  <c:v>18.075938720336449</c:v>
                </c:pt>
                <c:pt idx="130">
                  <c:v>18.075938720336449</c:v>
                </c:pt>
                <c:pt idx="131">
                  <c:v>18.075938720336449</c:v>
                </c:pt>
                <c:pt idx="132">
                  <c:v>18.075938720336449</c:v>
                </c:pt>
                <c:pt idx="133">
                  <c:v>18.075938720336449</c:v>
                </c:pt>
                <c:pt idx="134">
                  <c:v>18.075938720336449</c:v>
                </c:pt>
                <c:pt idx="135">
                  <c:v>18.075938720336449</c:v>
                </c:pt>
                <c:pt idx="136">
                  <c:v>18.075938720336449</c:v>
                </c:pt>
                <c:pt idx="137">
                  <c:v>18.075938720336449</c:v>
                </c:pt>
                <c:pt idx="138">
                  <c:v>18.075938720336449</c:v>
                </c:pt>
                <c:pt idx="139">
                  <c:v>18.075938720336449</c:v>
                </c:pt>
                <c:pt idx="140">
                  <c:v>18.075938720336449</c:v>
                </c:pt>
                <c:pt idx="141">
                  <c:v>18.075938720336449</c:v>
                </c:pt>
                <c:pt idx="142">
                  <c:v>18.075938720336449</c:v>
                </c:pt>
                <c:pt idx="143">
                  <c:v>18.075938720336449</c:v>
                </c:pt>
                <c:pt idx="144">
                  <c:v>18.075938720336449</c:v>
                </c:pt>
                <c:pt idx="145">
                  <c:v>18.075938720336449</c:v>
                </c:pt>
                <c:pt idx="146">
                  <c:v>18.075938720336449</c:v>
                </c:pt>
                <c:pt idx="147">
                  <c:v>18.075938720336449</c:v>
                </c:pt>
                <c:pt idx="148">
                  <c:v>18.075938720336449</c:v>
                </c:pt>
                <c:pt idx="149">
                  <c:v>18.075938720336449</c:v>
                </c:pt>
                <c:pt idx="150">
                  <c:v>18.075938720336449</c:v>
                </c:pt>
                <c:pt idx="151">
                  <c:v>18.075938720336449</c:v>
                </c:pt>
                <c:pt idx="152">
                  <c:v>18.075938720336449</c:v>
                </c:pt>
                <c:pt idx="153">
                  <c:v>18.075938720336449</c:v>
                </c:pt>
                <c:pt idx="154">
                  <c:v>18.075938720336449</c:v>
                </c:pt>
                <c:pt idx="155">
                  <c:v>18.075938720336449</c:v>
                </c:pt>
                <c:pt idx="156">
                  <c:v>18.075938720336449</c:v>
                </c:pt>
                <c:pt idx="157">
                  <c:v>18.075938720336449</c:v>
                </c:pt>
                <c:pt idx="158">
                  <c:v>18.075938720336449</c:v>
                </c:pt>
                <c:pt idx="159">
                  <c:v>18.075938720336449</c:v>
                </c:pt>
                <c:pt idx="160">
                  <c:v>18.075938720336449</c:v>
                </c:pt>
                <c:pt idx="161">
                  <c:v>18.075938720336449</c:v>
                </c:pt>
                <c:pt idx="162">
                  <c:v>18.075938720336449</c:v>
                </c:pt>
                <c:pt idx="163">
                  <c:v>18.075938720336449</c:v>
                </c:pt>
                <c:pt idx="164">
                  <c:v>18.075938720336449</c:v>
                </c:pt>
                <c:pt idx="165">
                  <c:v>18.075938720336449</c:v>
                </c:pt>
                <c:pt idx="166">
                  <c:v>18.075938720336449</c:v>
                </c:pt>
                <c:pt idx="167">
                  <c:v>18.075938720336449</c:v>
                </c:pt>
                <c:pt idx="168">
                  <c:v>18.075938720336449</c:v>
                </c:pt>
                <c:pt idx="169">
                  <c:v>18.075938720336449</c:v>
                </c:pt>
                <c:pt idx="170">
                  <c:v>18.075938720336449</c:v>
                </c:pt>
                <c:pt idx="171">
                  <c:v>18.075938720336449</c:v>
                </c:pt>
                <c:pt idx="172">
                  <c:v>18.075938720336449</c:v>
                </c:pt>
                <c:pt idx="173">
                  <c:v>18.075938720336449</c:v>
                </c:pt>
                <c:pt idx="174">
                  <c:v>18.075938720336449</c:v>
                </c:pt>
                <c:pt idx="175">
                  <c:v>18.075938720336449</c:v>
                </c:pt>
                <c:pt idx="176">
                  <c:v>18.075938720336449</c:v>
                </c:pt>
                <c:pt idx="177">
                  <c:v>18.075938720336449</c:v>
                </c:pt>
                <c:pt idx="178">
                  <c:v>18.075938720336449</c:v>
                </c:pt>
                <c:pt idx="179">
                  <c:v>18.075938720336449</c:v>
                </c:pt>
                <c:pt idx="180">
                  <c:v>18.075938720336449</c:v>
                </c:pt>
                <c:pt idx="181">
                  <c:v>18.075938720336449</c:v>
                </c:pt>
                <c:pt idx="182">
                  <c:v>18.075938720336449</c:v>
                </c:pt>
                <c:pt idx="183">
                  <c:v>18.075938720336449</c:v>
                </c:pt>
                <c:pt idx="184">
                  <c:v>18.075938720336449</c:v>
                </c:pt>
                <c:pt idx="185">
                  <c:v>18.075938720336449</c:v>
                </c:pt>
                <c:pt idx="186">
                  <c:v>18.075938720336449</c:v>
                </c:pt>
                <c:pt idx="187">
                  <c:v>18.075938720336449</c:v>
                </c:pt>
                <c:pt idx="188">
                  <c:v>18.075938720336449</c:v>
                </c:pt>
                <c:pt idx="189">
                  <c:v>18.075938720336449</c:v>
                </c:pt>
                <c:pt idx="190">
                  <c:v>18.075938720336449</c:v>
                </c:pt>
                <c:pt idx="191">
                  <c:v>18.075938720336449</c:v>
                </c:pt>
                <c:pt idx="192">
                  <c:v>18.075938720336449</c:v>
                </c:pt>
                <c:pt idx="193">
                  <c:v>18.075938720336449</c:v>
                </c:pt>
                <c:pt idx="194">
                  <c:v>18.075938720336449</c:v>
                </c:pt>
                <c:pt idx="195">
                  <c:v>18.075938720336449</c:v>
                </c:pt>
              </c:numCache>
            </c:numRef>
          </c:xVal>
          <c:yVal>
            <c:numRef>
              <c:f>THOMfitedt_196!$B$305:$B$500</c:f>
              <c:numCache>
                <c:formatCode>General</c:formatCode>
                <c:ptCount val="196"/>
                <c:pt idx="0">
                  <c:v>1.54</c:v>
                </c:pt>
                <c:pt idx="1">
                  <c:v>1.81</c:v>
                </c:pt>
                <c:pt idx="2">
                  <c:v>1.95</c:v>
                </c:pt>
                <c:pt idx="3">
                  <c:v>2.16</c:v>
                </c:pt>
                <c:pt idx="4">
                  <c:v>2.35</c:v>
                </c:pt>
                <c:pt idx="5">
                  <c:v>2.57</c:v>
                </c:pt>
                <c:pt idx="6">
                  <c:v>2.81</c:v>
                </c:pt>
                <c:pt idx="7">
                  <c:v>3.08</c:v>
                </c:pt>
                <c:pt idx="8">
                  <c:v>3.37</c:v>
                </c:pt>
                <c:pt idx="9">
                  <c:v>3.67</c:v>
                </c:pt>
                <c:pt idx="10">
                  <c:v>4.03</c:v>
                </c:pt>
                <c:pt idx="11">
                  <c:v>4.4000000000000004</c:v>
                </c:pt>
                <c:pt idx="12">
                  <c:v>4.8099999999999996</c:v>
                </c:pt>
                <c:pt idx="13">
                  <c:v>5.26</c:v>
                </c:pt>
                <c:pt idx="14">
                  <c:v>5.76</c:v>
                </c:pt>
                <c:pt idx="15">
                  <c:v>6.3</c:v>
                </c:pt>
                <c:pt idx="16">
                  <c:v>6.89</c:v>
                </c:pt>
                <c:pt idx="17">
                  <c:v>7.53</c:v>
                </c:pt>
                <c:pt idx="18">
                  <c:v>8.24</c:v>
                </c:pt>
                <c:pt idx="19">
                  <c:v>9.02</c:v>
                </c:pt>
                <c:pt idx="20">
                  <c:v>9.86</c:v>
                </c:pt>
                <c:pt idx="21">
                  <c:v>10.78</c:v>
                </c:pt>
                <c:pt idx="22">
                  <c:v>11.77</c:v>
                </c:pt>
                <c:pt idx="23">
                  <c:v>12.87</c:v>
                </c:pt>
                <c:pt idx="24">
                  <c:v>14.16</c:v>
                </c:pt>
                <c:pt idx="25">
                  <c:v>15.45</c:v>
                </c:pt>
                <c:pt idx="26">
                  <c:v>16.850000000000001</c:v>
                </c:pt>
                <c:pt idx="27">
                  <c:v>18.489999999999998</c:v>
                </c:pt>
                <c:pt idx="28">
                  <c:v>20.28</c:v>
                </c:pt>
                <c:pt idx="29">
                  <c:v>22.17</c:v>
                </c:pt>
                <c:pt idx="30">
                  <c:v>24.29</c:v>
                </c:pt>
                <c:pt idx="31">
                  <c:v>26.55</c:v>
                </c:pt>
                <c:pt idx="32">
                  <c:v>28.89</c:v>
                </c:pt>
                <c:pt idx="33">
                  <c:v>31.69</c:v>
                </c:pt>
                <c:pt idx="34">
                  <c:v>34.880000000000003</c:v>
                </c:pt>
                <c:pt idx="35">
                  <c:v>37.869999999999997</c:v>
                </c:pt>
                <c:pt idx="36">
                  <c:v>41.14</c:v>
                </c:pt>
                <c:pt idx="37">
                  <c:v>44.64</c:v>
                </c:pt>
                <c:pt idx="38">
                  <c:v>49.24</c:v>
                </c:pt>
                <c:pt idx="39">
                  <c:v>53.96</c:v>
                </c:pt>
                <c:pt idx="40">
                  <c:v>59.13</c:v>
                </c:pt>
                <c:pt idx="41">
                  <c:v>64.53</c:v>
                </c:pt>
                <c:pt idx="42">
                  <c:v>71.12</c:v>
                </c:pt>
                <c:pt idx="43">
                  <c:v>77.180000000000007</c:v>
                </c:pt>
                <c:pt idx="44">
                  <c:v>84.97</c:v>
                </c:pt>
                <c:pt idx="45">
                  <c:v>92.98</c:v>
                </c:pt>
                <c:pt idx="46">
                  <c:v>101.81</c:v>
                </c:pt>
                <c:pt idx="47">
                  <c:v>110.91</c:v>
                </c:pt>
                <c:pt idx="48">
                  <c:v>120.98</c:v>
                </c:pt>
                <c:pt idx="49">
                  <c:v>133.49</c:v>
                </c:pt>
                <c:pt idx="50">
                  <c:v>145.86000000000001</c:v>
                </c:pt>
                <c:pt idx="51">
                  <c:v>159.34</c:v>
                </c:pt>
                <c:pt idx="52">
                  <c:v>173.72</c:v>
                </c:pt>
                <c:pt idx="53">
                  <c:v>190.46</c:v>
                </c:pt>
                <c:pt idx="54">
                  <c:v>207.72</c:v>
                </c:pt>
                <c:pt idx="55">
                  <c:v>229.21</c:v>
                </c:pt>
                <c:pt idx="56">
                  <c:v>250.12</c:v>
                </c:pt>
                <c:pt idx="57">
                  <c:v>273.99</c:v>
                </c:pt>
                <c:pt idx="58">
                  <c:v>300.2</c:v>
                </c:pt>
                <c:pt idx="59">
                  <c:v>327.71</c:v>
                </c:pt>
                <c:pt idx="60">
                  <c:v>358.1</c:v>
                </c:pt>
                <c:pt idx="61">
                  <c:v>392.54</c:v>
                </c:pt>
                <c:pt idx="62">
                  <c:v>428.32</c:v>
                </c:pt>
                <c:pt idx="63">
                  <c:v>471.12</c:v>
                </c:pt>
                <c:pt idx="64">
                  <c:v>512</c:v>
                </c:pt>
                <c:pt idx="65">
                  <c:v>561.94000000000005</c:v>
                </c:pt>
                <c:pt idx="66">
                  <c:v>614.97</c:v>
                </c:pt>
                <c:pt idx="67">
                  <c:v>671.44</c:v>
                </c:pt>
                <c:pt idx="68">
                  <c:v>735.37</c:v>
                </c:pt>
                <c:pt idx="69">
                  <c:v>807.43</c:v>
                </c:pt>
                <c:pt idx="70">
                  <c:v>883.16</c:v>
                </c:pt>
                <c:pt idx="71">
                  <c:v>965.85</c:v>
                </c:pt>
                <c:pt idx="72">
                  <c:v>1048.8800000000001</c:v>
                </c:pt>
                <c:pt idx="73">
                  <c:v>1148.8499999999999</c:v>
                </c:pt>
                <c:pt idx="74">
                  <c:v>1264.97</c:v>
                </c:pt>
                <c:pt idx="75">
                  <c:v>1377.45</c:v>
                </c:pt>
                <c:pt idx="76">
                  <c:v>1509.84</c:v>
                </c:pt>
                <c:pt idx="77">
                  <c:v>1649.69</c:v>
                </c:pt>
                <c:pt idx="78">
                  <c:v>1808.4</c:v>
                </c:pt>
                <c:pt idx="79">
                  <c:v>1977.94</c:v>
                </c:pt>
                <c:pt idx="80">
                  <c:v>2161.91</c:v>
                </c:pt>
                <c:pt idx="81">
                  <c:v>2370.84</c:v>
                </c:pt>
                <c:pt idx="82">
                  <c:v>2588.0300000000002</c:v>
                </c:pt>
                <c:pt idx="83">
                  <c:v>2829.52</c:v>
                </c:pt>
                <c:pt idx="84">
                  <c:v>3100.06</c:v>
                </c:pt>
                <c:pt idx="85">
                  <c:v>3389.06</c:v>
                </c:pt>
                <c:pt idx="86">
                  <c:v>3707.98</c:v>
                </c:pt>
                <c:pt idx="87">
                  <c:v>4058.34</c:v>
                </c:pt>
                <c:pt idx="88">
                  <c:v>4438.8100000000004</c:v>
                </c:pt>
                <c:pt idx="89">
                  <c:v>4846.57</c:v>
                </c:pt>
                <c:pt idx="90">
                  <c:v>5304.81</c:v>
                </c:pt>
                <c:pt idx="91">
                  <c:v>5806.16</c:v>
                </c:pt>
                <c:pt idx="92">
                  <c:v>6356.54</c:v>
                </c:pt>
                <c:pt idx="93">
                  <c:v>6947.83</c:v>
                </c:pt>
                <c:pt idx="94">
                  <c:v>7608.42</c:v>
                </c:pt>
                <c:pt idx="95">
                  <c:v>8316.11</c:v>
                </c:pt>
                <c:pt idx="96">
                  <c:v>9098.23</c:v>
                </c:pt>
                <c:pt idx="97">
                  <c:v>9956.81</c:v>
                </c:pt>
                <c:pt idx="98">
                  <c:v>10897.03</c:v>
                </c:pt>
                <c:pt idx="99">
                  <c:v>11896.33</c:v>
                </c:pt>
                <c:pt idx="100">
                  <c:v>12997.05</c:v>
                </c:pt>
                <c:pt idx="101">
                  <c:v>14297.04</c:v>
                </c:pt>
                <c:pt idx="102">
                  <c:v>15596.46</c:v>
                </c:pt>
                <c:pt idx="103">
                  <c:v>17096.099999999999</c:v>
                </c:pt>
                <c:pt idx="104">
                  <c:v>18696.13</c:v>
                </c:pt>
                <c:pt idx="105">
                  <c:v>20396.48</c:v>
                </c:pt>
                <c:pt idx="106">
                  <c:v>22295.17</c:v>
                </c:pt>
                <c:pt idx="107">
                  <c:v>24397.05</c:v>
                </c:pt>
                <c:pt idx="108">
                  <c:v>26698.03</c:v>
                </c:pt>
                <c:pt idx="109">
                  <c:v>29298.26</c:v>
                </c:pt>
                <c:pt idx="110">
                  <c:v>31997.98</c:v>
                </c:pt>
                <c:pt idx="111">
                  <c:v>34990.199999999997</c:v>
                </c:pt>
                <c:pt idx="112">
                  <c:v>38299.26</c:v>
                </c:pt>
                <c:pt idx="113">
                  <c:v>41897.74</c:v>
                </c:pt>
                <c:pt idx="114">
                  <c:v>45801.39</c:v>
                </c:pt>
                <c:pt idx="115">
                  <c:v>50095.74</c:v>
                </c:pt>
                <c:pt idx="116">
                  <c:v>54799.33</c:v>
                </c:pt>
                <c:pt idx="117">
                  <c:v>59999.26</c:v>
                </c:pt>
                <c:pt idx="118">
                  <c:v>59999.26</c:v>
                </c:pt>
                <c:pt idx="119">
                  <c:v>59999.26</c:v>
                </c:pt>
                <c:pt idx="120">
                  <c:v>59999.26</c:v>
                </c:pt>
                <c:pt idx="121">
                  <c:v>59999.26</c:v>
                </c:pt>
                <c:pt idx="122">
                  <c:v>59999.26</c:v>
                </c:pt>
                <c:pt idx="123">
                  <c:v>59999.26</c:v>
                </c:pt>
                <c:pt idx="124">
                  <c:v>59999.26</c:v>
                </c:pt>
                <c:pt idx="125">
                  <c:v>59999.26</c:v>
                </c:pt>
                <c:pt idx="126">
                  <c:v>59999.26</c:v>
                </c:pt>
                <c:pt idx="127">
                  <c:v>59999.26</c:v>
                </c:pt>
                <c:pt idx="128">
                  <c:v>59999.26</c:v>
                </c:pt>
                <c:pt idx="129">
                  <c:v>59999.26</c:v>
                </c:pt>
                <c:pt idx="130">
                  <c:v>59999.26</c:v>
                </c:pt>
                <c:pt idx="131">
                  <c:v>59999.26</c:v>
                </c:pt>
                <c:pt idx="132">
                  <c:v>59999.26</c:v>
                </c:pt>
                <c:pt idx="133">
                  <c:v>59999.26</c:v>
                </c:pt>
                <c:pt idx="134">
                  <c:v>59999.26</c:v>
                </c:pt>
                <c:pt idx="135">
                  <c:v>59999.26</c:v>
                </c:pt>
                <c:pt idx="136">
                  <c:v>59999.26</c:v>
                </c:pt>
                <c:pt idx="137">
                  <c:v>59999.26</c:v>
                </c:pt>
                <c:pt idx="138">
                  <c:v>59999.26</c:v>
                </c:pt>
                <c:pt idx="139">
                  <c:v>59999.26</c:v>
                </c:pt>
                <c:pt idx="140">
                  <c:v>59999.26</c:v>
                </c:pt>
                <c:pt idx="141">
                  <c:v>59999.26</c:v>
                </c:pt>
                <c:pt idx="142">
                  <c:v>59999.26</c:v>
                </c:pt>
                <c:pt idx="143">
                  <c:v>59999.26</c:v>
                </c:pt>
                <c:pt idx="144">
                  <c:v>59999.26</c:v>
                </c:pt>
                <c:pt idx="145">
                  <c:v>59999.26</c:v>
                </c:pt>
                <c:pt idx="146">
                  <c:v>59999.26</c:v>
                </c:pt>
                <c:pt idx="147">
                  <c:v>59999.26</c:v>
                </c:pt>
                <c:pt idx="148">
                  <c:v>59999.26</c:v>
                </c:pt>
                <c:pt idx="149">
                  <c:v>59999.26</c:v>
                </c:pt>
                <c:pt idx="150">
                  <c:v>59999.26</c:v>
                </c:pt>
                <c:pt idx="151">
                  <c:v>59999.26</c:v>
                </c:pt>
                <c:pt idx="152">
                  <c:v>59999.26</c:v>
                </c:pt>
                <c:pt idx="153">
                  <c:v>59999.26</c:v>
                </c:pt>
                <c:pt idx="154">
                  <c:v>59999.26</c:v>
                </c:pt>
                <c:pt idx="155">
                  <c:v>59999.26</c:v>
                </c:pt>
                <c:pt idx="156">
                  <c:v>59999.26</c:v>
                </c:pt>
                <c:pt idx="157">
                  <c:v>59999.26</c:v>
                </c:pt>
                <c:pt idx="158">
                  <c:v>59999.26</c:v>
                </c:pt>
                <c:pt idx="159">
                  <c:v>59999.26</c:v>
                </c:pt>
                <c:pt idx="160">
                  <c:v>59999.26</c:v>
                </c:pt>
                <c:pt idx="161">
                  <c:v>59999.26</c:v>
                </c:pt>
                <c:pt idx="162">
                  <c:v>59999.26</c:v>
                </c:pt>
                <c:pt idx="163">
                  <c:v>59999.26</c:v>
                </c:pt>
                <c:pt idx="164">
                  <c:v>59999.26</c:v>
                </c:pt>
                <c:pt idx="165">
                  <c:v>59999.26</c:v>
                </c:pt>
                <c:pt idx="166">
                  <c:v>59999.26</c:v>
                </c:pt>
                <c:pt idx="167">
                  <c:v>59999.26</c:v>
                </c:pt>
                <c:pt idx="168">
                  <c:v>59999.26</c:v>
                </c:pt>
                <c:pt idx="169">
                  <c:v>59999.26</c:v>
                </c:pt>
                <c:pt idx="170">
                  <c:v>59999.26</c:v>
                </c:pt>
                <c:pt idx="171">
                  <c:v>59999.26</c:v>
                </c:pt>
                <c:pt idx="172">
                  <c:v>59999.26</c:v>
                </c:pt>
                <c:pt idx="173">
                  <c:v>59999.26</c:v>
                </c:pt>
                <c:pt idx="174">
                  <c:v>59999.26</c:v>
                </c:pt>
                <c:pt idx="175">
                  <c:v>59999.26</c:v>
                </c:pt>
                <c:pt idx="176">
                  <c:v>59999.26</c:v>
                </c:pt>
                <c:pt idx="177">
                  <c:v>59999.26</c:v>
                </c:pt>
                <c:pt idx="178">
                  <c:v>59999.26</c:v>
                </c:pt>
                <c:pt idx="179">
                  <c:v>59999.26</c:v>
                </c:pt>
                <c:pt idx="180">
                  <c:v>59999.26</c:v>
                </c:pt>
                <c:pt idx="181">
                  <c:v>59999.26</c:v>
                </c:pt>
                <c:pt idx="182">
                  <c:v>59999.26</c:v>
                </c:pt>
                <c:pt idx="183">
                  <c:v>59999.26</c:v>
                </c:pt>
                <c:pt idx="184">
                  <c:v>59999.26</c:v>
                </c:pt>
                <c:pt idx="185">
                  <c:v>59999.26</c:v>
                </c:pt>
                <c:pt idx="186">
                  <c:v>59999.26</c:v>
                </c:pt>
                <c:pt idx="187">
                  <c:v>59999.26</c:v>
                </c:pt>
                <c:pt idx="188">
                  <c:v>59999.26</c:v>
                </c:pt>
                <c:pt idx="189">
                  <c:v>59999.26</c:v>
                </c:pt>
                <c:pt idx="190">
                  <c:v>59999.26</c:v>
                </c:pt>
                <c:pt idx="191">
                  <c:v>59999.26</c:v>
                </c:pt>
                <c:pt idx="192">
                  <c:v>59999.26</c:v>
                </c:pt>
                <c:pt idx="193">
                  <c:v>59999.26</c:v>
                </c:pt>
                <c:pt idx="194">
                  <c:v>59999.26</c:v>
                </c:pt>
                <c:pt idx="195">
                  <c:v>59999.26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THOMfitedt_196!$AV$9</c:f>
              <c:strCache>
                <c:ptCount val="1"/>
                <c:pt idx="0">
                  <c:v>%BVoccCORR EDT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circle"/>
            <c:size val="4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THOMfitedt_196!$AV$10:$AV$205</c:f>
              <c:numCache>
                <c:formatCode>#,##0.00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6.7132099315316773E-2</c:v>
                </c:pt>
                <c:pt idx="3">
                  <c:v>0.37878621518318639</c:v>
                </c:pt>
                <c:pt idx="4">
                  <c:v>0.77948436415616174</c:v>
                </c:pt>
                <c:pt idx="5">
                  <c:v>1.3137485627867951</c:v>
                </c:pt>
                <c:pt idx="6">
                  <c:v>1.7144467117597704</c:v>
                </c:pt>
                <c:pt idx="7">
                  <c:v>2.1596668772852983</c:v>
                </c:pt>
                <c:pt idx="8">
                  <c:v>2.5826260345345502</c:v>
                </c:pt>
                <c:pt idx="9">
                  <c:v>2.9833241835075257</c:v>
                </c:pt>
                <c:pt idx="10">
                  <c:v>3.3617613242042239</c:v>
                </c:pt>
                <c:pt idx="11">
                  <c:v>3.7401984649009234</c:v>
                </c:pt>
                <c:pt idx="12">
                  <c:v>4.1186356055976221</c:v>
                </c:pt>
                <c:pt idx="13">
                  <c:v>4.4748117380180439</c:v>
                </c:pt>
                <c:pt idx="14">
                  <c:v>4.7864658538859137</c:v>
                </c:pt>
                <c:pt idx="15">
                  <c:v>5.0535979532012307</c:v>
                </c:pt>
                <c:pt idx="16">
                  <c:v>5.3429910607928237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6.5896075242643013</c:v>
                </c:pt>
                <c:pt idx="21">
                  <c:v>6.7676955904745135</c:v>
                </c:pt>
                <c:pt idx="22">
                  <c:v>6.9903056732372777</c:v>
                </c:pt>
                <c:pt idx="23">
                  <c:v>7.1906547477237641</c:v>
                </c:pt>
                <c:pt idx="24">
                  <c:v>7.4132648304865292</c:v>
                </c:pt>
                <c:pt idx="25">
                  <c:v>7.6136139049730174</c:v>
                </c:pt>
                <c:pt idx="26">
                  <c:v>7.8139629794595029</c:v>
                </c:pt>
                <c:pt idx="27">
                  <c:v>8.0365730622222689</c:v>
                </c:pt>
                <c:pt idx="28">
                  <c:v>8.2146611284324802</c:v>
                </c:pt>
                <c:pt idx="29">
                  <c:v>8.3704881863664138</c:v>
                </c:pt>
                <c:pt idx="30">
                  <c:v>8.5485762525766269</c:v>
                </c:pt>
                <c:pt idx="31">
                  <c:v>8.6821423022342845</c:v>
                </c:pt>
                <c:pt idx="32">
                  <c:v>8.8379693601682199</c:v>
                </c:pt>
                <c:pt idx="33">
                  <c:v>8.9715354098258775</c:v>
                </c:pt>
                <c:pt idx="34">
                  <c:v>9.1051014594835387</c:v>
                </c:pt>
                <c:pt idx="35">
                  <c:v>9.2386675091411963</c:v>
                </c:pt>
                <c:pt idx="36">
                  <c:v>9.3499725505225797</c:v>
                </c:pt>
                <c:pt idx="37">
                  <c:v>9.4835386001802373</c:v>
                </c:pt>
                <c:pt idx="38">
                  <c:v>9.5948436415616207</c:v>
                </c:pt>
                <c:pt idx="39">
                  <c:v>9.7061486829430006</c:v>
                </c:pt>
                <c:pt idx="40">
                  <c:v>9.7951927160481063</c:v>
                </c:pt>
                <c:pt idx="41">
                  <c:v>9.9064977574294897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10.975026154690752</c:v>
                </c:pt>
                <c:pt idx="52">
                  <c:v>11.153114220900967</c:v>
                </c:pt>
                <c:pt idx="53">
                  <c:v>11.375724303663729</c:v>
                </c:pt>
                <c:pt idx="54">
                  <c:v>11.665117411255325</c:v>
                </c:pt>
                <c:pt idx="55">
                  <c:v>12.043554551952024</c:v>
                </c:pt>
                <c:pt idx="56">
                  <c:v>12.421991692648721</c:v>
                </c:pt>
                <c:pt idx="57">
                  <c:v>12.822689841621699</c:v>
                </c:pt>
                <c:pt idx="58">
                  <c:v>13.223387990594674</c:v>
                </c:pt>
                <c:pt idx="59">
                  <c:v>13.601825131291374</c:v>
                </c:pt>
                <c:pt idx="60">
                  <c:v>13.958001263711795</c:v>
                </c:pt>
                <c:pt idx="61">
                  <c:v>14.291916387855942</c:v>
                </c:pt>
                <c:pt idx="62">
                  <c:v>14.603570503723812</c:v>
                </c:pt>
                <c:pt idx="63">
                  <c:v>14.870702603039129</c:v>
                </c:pt>
                <c:pt idx="64">
                  <c:v>15.11557369407817</c:v>
                </c:pt>
                <c:pt idx="65">
                  <c:v>15.29366176028838</c:v>
                </c:pt>
                <c:pt idx="66">
                  <c:v>15.449488818222319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16.139580074786888</c:v>
                </c:pt>
                <c:pt idx="72">
                  <c:v>16.3176681409971</c:v>
                </c:pt>
                <c:pt idx="73">
                  <c:v>16.495756207207307</c:v>
                </c:pt>
                <c:pt idx="74">
                  <c:v>16.651583265141245</c:v>
                </c:pt>
                <c:pt idx="75">
                  <c:v>16.785149314798904</c:v>
                </c:pt>
                <c:pt idx="76">
                  <c:v>16.896454356180289</c:v>
                </c:pt>
                <c:pt idx="77">
                  <c:v>17.007759397561671</c:v>
                </c:pt>
                <c:pt idx="78">
                  <c:v>17.096803430666775</c:v>
                </c:pt>
                <c:pt idx="79">
                  <c:v>17.185847463771882</c:v>
                </c:pt>
                <c:pt idx="80">
                  <c:v>17.252630488600708</c:v>
                </c:pt>
                <c:pt idx="81">
                  <c:v>17.341674521705816</c:v>
                </c:pt>
                <c:pt idx="82">
                  <c:v>17.408457546534638</c:v>
                </c:pt>
                <c:pt idx="83">
                  <c:v>17.475240571363468</c:v>
                </c:pt>
                <c:pt idx="84">
                  <c:v>17.542023596192294</c:v>
                </c:pt>
                <c:pt idx="85">
                  <c:v>17.608806621021127</c:v>
                </c:pt>
                <c:pt idx="86">
                  <c:v>17.653328637573679</c:v>
                </c:pt>
                <c:pt idx="87">
                  <c:v>17.697850654126231</c:v>
                </c:pt>
                <c:pt idx="88">
                  <c:v>17.742372670678787</c:v>
                </c:pt>
                <c:pt idx="89">
                  <c:v>17.786894687231339</c:v>
                </c:pt>
                <c:pt idx="90">
                  <c:v>17.80915569550762</c:v>
                </c:pt>
                <c:pt idx="91">
                  <c:v>17.831416703783894</c:v>
                </c:pt>
                <c:pt idx="92">
                  <c:v>17.831416703783894</c:v>
                </c:pt>
                <c:pt idx="93">
                  <c:v>17.853677712060172</c:v>
                </c:pt>
                <c:pt idx="94">
                  <c:v>17.853677712060172</c:v>
                </c:pt>
                <c:pt idx="95">
                  <c:v>17.853677712060172</c:v>
                </c:pt>
                <c:pt idx="96">
                  <c:v>17.87593872033645</c:v>
                </c:pt>
                <c:pt idx="97">
                  <c:v>17.87593872033645</c:v>
                </c:pt>
                <c:pt idx="98">
                  <c:v>17.87593872033645</c:v>
                </c:pt>
                <c:pt idx="99">
                  <c:v>17.87593872033645</c:v>
                </c:pt>
                <c:pt idx="100">
                  <c:v>17.87593872033645</c:v>
                </c:pt>
                <c:pt idx="101">
                  <c:v>17.87593872033645</c:v>
                </c:pt>
                <c:pt idx="102">
                  <c:v>17.87593872033645</c:v>
                </c:pt>
                <c:pt idx="103">
                  <c:v>17.87593872033645</c:v>
                </c:pt>
                <c:pt idx="104">
                  <c:v>17.87593872033645</c:v>
                </c:pt>
                <c:pt idx="105">
                  <c:v>17.87593872033645</c:v>
                </c:pt>
                <c:pt idx="106">
                  <c:v>17.87593872033645</c:v>
                </c:pt>
                <c:pt idx="107">
                  <c:v>17.87593872033645</c:v>
                </c:pt>
                <c:pt idx="108">
                  <c:v>17.87593872033645</c:v>
                </c:pt>
                <c:pt idx="109">
                  <c:v>17.87593872033645</c:v>
                </c:pt>
                <c:pt idx="110">
                  <c:v>17.87593872033645</c:v>
                </c:pt>
                <c:pt idx="111">
                  <c:v>17.87593872033645</c:v>
                </c:pt>
                <c:pt idx="112">
                  <c:v>17.87593872033645</c:v>
                </c:pt>
                <c:pt idx="113">
                  <c:v>17.87593872033645</c:v>
                </c:pt>
                <c:pt idx="114">
                  <c:v>17.87593872033645</c:v>
                </c:pt>
                <c:pt idx="115">
                  <c:v>17.87593872033645</c:v>
                </c:pt>
                <c:pt idx="116">
                  <c:v>17.87593872033645</c:v>
                </c:pt>
                <c:pt idx="117">
                  <c:v>17.87593872033645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THOMfitedt_196!$AU$10:$AU$205</c:f>
              <c:numCache>
                <c:formatCode>General</c:formatCode>
                <c:ptCount val="196"/>
                <c:pt idx="0">
                  <c:v>1.54</c:v>
                </c:pt>
                <c:pt idx="1">
                  <c:v>1.81</c:v>
                </c:pt>
                <c:pt idx="2">
                  <c:v>1.95</c:v>
                </c:pt>
                <c:pt idx="3">
                  <c:v>2.16</c:v>
                </c:pt>
                <c:pt idx="4">
                  <c:v>2.35</c:v>
                </c:pt>
                <c:pt idx="5">
                  <c:v>2.57</c:v>
                </c:pt>
                <c:pt idx="6">
                  <c:v>2.81</c:v>
                </c:pt>
                <c:pt idx="7">
                  <c:v>3.08</c:v>
                </c:pt>
                <c:pt idx="8">
                  <c:v>3.37</c:v>
                </c:pt>
                <c:pt idx="9">
                  <c:v>3.67</c:v>
                </c:pt>
                <c:pt idx="10">
                  <c:v>4.03</c:v>
                </c:pt>
                <c:pt idx="11">
                  <c:v>4.4000000000000004</c:v>
                </c:pt>
                <c:pt idx="12">
                  <c:v>4.8099999999999996</c:v>
                </c:pt>
                <c:pt idx="13">
                  <c:v>5.26</c:v>
                </c:pt>
                <c:pt idx="14">
                  <c:v>5.76</c:v>
                </c:pt>
                <c:pt idx="15">
                  <c:v>6.3</c:v>
                </c:pt>
                <c:pt idx="16">
                  <c:v>6.89</c:v>
                </c:pt>
                <c:pt idx="17">
                  <c:v>7.53</c:v>
                </c:pt>
                <c:pt idx="18">
                  <c:v>8.24</c:v>
                </c:pt>
                <c:pt idx="19">
                  <c:v>9.02</c:v>
                </c:pt>
                <c:pt idx="20">
                  <c:v>9.86</c:v>
                </c:pt>
                <c:pt idx="21">
                  <c:v>10.78</c:v>
                </c:pt>
                <c:pt idx="22">
                  <c:v>11.77</c:v>
                </c:pt>
                <c:pt idx="23">
                  <c:v>12.87</c:v>
                </c:pt>
                <c:pt idx="24">
                  <c:v>14.16</c:v>
                </c:pt>
                <c:pt idx="25">
                  <c:v>15.45</c:v>
                </c:pt>
                <c:pt idx="26">
                  <c:v>16.850000000000001</c:v>
                </c:pt>
                <c:pt idx="27">
                  <c:v>18.489999999999998</c:v>
                </c:pt>
                <c:pt idx="28">
                  <c:v>20.28</c:v>
                </c:pt>
                <c:pt idx="29">
                  <c:v>22.17</c:v>
                </c:pt>
                <c:pt idx="30">
                  <c:v>24.29</c:v>
                </c:pt>
                <c:pt idx="31">
                  <c:v>26.55</c:v>
                </c:pt>
                <c:pt idx="32">
                  <c:v>28.89</c:v>
                </c:pt>
                <c:pt idx="33">
                  <c:v>31.69</c:v>
                </c:pt>
                <c:pt idx="34">
                  <c:v>34.880000000000003</c:v>
                </c:pt>
                <c:pt idx="35">
                  <c:v>37.869999999999997</c:v>
                </c:pt>
                <c:pt idx="36">
                  <c:v>41.14</c:v>
                </c:pt>
                <c:pt idx="37">
                  <c:v>44.64</c:v>
                </c:pt>
                <c:pt idx="38">
                  <c:v>49.24</c:v>
                </c:pt>
                <c:pt idx="39">
                  <c:v>53.96</c:v>
                </c:pt>
                <c:pt idx="40">
                  <c:v>59.13</c:v>
                </c:pt>
                <c:pt idx="41">
                  <c:v>64.53</c:v>
                </c:pt>
                <c:pt idx="42">
                  <c:v>71.12</c:v>
                </c:pt>
                <c:pt idx="43">
                  <c:v>77.180000000000007</c:v>
                </c:pt>
                <c:pt idx="44">
                  <c:v>84.97</c:v>
                </c:pt>
                <c:pt idx="45">
                  <c:v>92.98</c:v>
                </c:pt>
                <c:pt idx="46">
                  <c:v>101.81</c:v>
                </c:pt>
                <c:pt idx="47">
                  <c:v>110.91</c:v>
                </c:pt>
                <c:pt idx="48">
                  <c:v>120.98</c:v>
                </c:pt>
                <c:pt idx="49">
                  <c:v>133.49</c:v>
                </c:pt>
                <c:pt idx="50">
                  <c:v>145.86000000000001</c:v>
                </c:pt>
                <c:pt idx="51">
                  <c:v>159.34</c:v>
                </c:pt>
                <c:pt idx="52">
                  <c:v>173.72</c:v>
                </c:pt>
                <c:pt idx="53">
                  <c:v>190.46</c:v>
                </c:pt>
                <c:pt idx="54">
                  <c:v>207.72</c:v>
                </c:pt>
                <c:pt idx="55">
                  <c:v>229.21</c:v>
                </c:pt>
                <c:pt idx="56">
                  <c:v>250.12</c:v>
                </c:pt>
                <c:pt idx="57">
                  <c:v>273.99</c:v>
                </c:pt>
                <c:pt idx="58">
                  <c:v>300.2</c:v>
                </c:pt>
                <c:pt idx="59">
                  <c:v>327.71</c:v>
                </c:pt>
                <c:pt idx="60">
                  <c:v>358.1</c:v>
                </c:pt>
                <c:pt idx="61">
                  <c:v>392.54</c:v>
                </c:pt>
                <c:pt idx="62">
                  <c:v>428.32</c:v>
                </c:pt>
                <c:pt idx="63">
                  <c:v>471.12</c:v>
                </c:pt>
                <c:pt idx="64">
                  <c:v>512</c:v>
                </c:pt>
                <c:pt idx="65">
                  <c:v>561.94000000000005</c:v>
                </c:pt>
                <c:pt idx="66">
                  <c:v>614.97</c:v>
                </c:pt>
                <c:pt idx="67">
                  <c:v>671.44</c:v>
                </c:pt>
                <c:pt idx="68">
                  <c:v>735.37</c:v>
                </c:pt>
                <c:pt idx="69">
                  <c:v>807.43</c:v>
                </c:pt>
                <c:pt idx="70">
                  <c:v>883.16</c:v>
                </c:pt>
                <c:pt idx="71">
                  <c:v>965.85</c:v>
                </c:pt>
                <c:pt idx="72">
                  <c:v>1048.8800000000001</c:v>
                </c:pt>
                <c:pt idx="73">
                  <c:v>1148.8499999999999</c:v>
                </c:pt>
                <c:pt idx="74">
                  <c:v>1264.97</c:v>
                </c:pt>
                <c:pt idx="75">
                  <c:v>1377.45</c:v>
                </c:pt>
                <c:pt idx="76">
                  <c:v>1509.84</c:v>
                </c:pt>
                <c:pt idx="77">
                  <c:v>1649.69</c:v>
                </c:pt>
                <c:pt idx="78">
                  <c:v>1808.4</c:v>
                </c:pt>
                <c:pt idx="79">
                  <c:v>1977.94</c:v>
                </c:pt>
                <c:pt idx="80">
                  <c:v>2161.91</c:v>
                </c:pt>
                <c:pt idx="81">
                  <c:v>2370.84</c:v>
                </c:pt>
                <c:pt idx="82">
                  <c:v>2588.0300000000002</c:v>
                </c:pt>
                <c:pt idx="83">
                  <c:v>2829.52</c:v>
                </c:pt>
                <c:pt idx="84">
                  <c:v>3100.06</c:v>
                </c:pt>
                <c:pt idx="85">
                  <c:v>3389.06</c:v>
                </c:pt>
                <c:pt idx="86">
                  <c:v>3707.98</c:v>
                </c:pt>
                <c:pt idx="87">
                  <c:v>4058.34</c:v>
                </c:pt>
                <c:pt idx="88">
                  <c:v>4438.8100000000004</c:v>
                </c:pt>
                <c:pt idx="89">
                  <c:v>4846.57</c:v>
                </c:pt>
                <c:pt idx="90">
                  <c:v>5304.81</c:v>
                </c:pt>
                <c:pt idx="91">
                  <c:v>5806.16</c:v>
                </c:pt>
                <c:pt idx="92">
                  <c:v>6356.54</c:v>
                </c:pt>
                <c:pt idx="93">
                  <c:v>6947.83</c:v>
                </c:pt>
                <c:pt idx="94">
                  <c:v>7608.42</c:v>
                </c:pt>
                <c:pt idx="95">
                  <c:v>8316.11</c:v>
                </c:pt>
                <c:pt idx="96">
                  <c:v>9098.23</c:v>
                </c:pt>
                <c:pt idx="97">
                  <c:v>9956.81</c:v>
                </c:pt>
                <c:pt idx="98">
                  <c:v>10897.03</c:v>
                </c:pt>
                <c:pt idx="99">
                  <c:v>11896.33</c:v>
                </c:pt>
                <c:pt idx="100">
                  <c:v>12997.05</c:v>
                </c:pt>
                <c:pt idx="101">
                  <c:v>14297.04</c:v>
                </c:pt>
                <c:pt idx="102">
                  <c:v>15596.46</c:v>
                </c:pt>
                <c:pt idx="103">
                  <c:v>17096.099999999999</c:v>
                </c:pt>
                <c:pt idx="104">
                  <c:v>18696.13</c:v>
                </c:pt>
                <c:pt idx="105">
                  <c:v>20396.48</c:v>
                </c:pt>
                <c:pt idx="106">
                  <c:v>22295.17</c:v>
                </c:pt>
                <c:pt idx="107">
                  <c:v>24397.05</c:v>
                </c:pt>
                <c:pt idx="108">
                  <c:v>26698.03</c:v>
                </c:pt>
                <c:pt idx="109">
                  <c:v>29298.26</c:v>
                </c:pt>
                <c:pt idx="110">
                  <c:v>31997.98</c:v>
                </c:pt>
                <c:pt idx="111">
                  <c:v>34990.199999999997</c:v>
                </c:pt>
                <c:pt idx="112">
                  <c:v>38299.26</c:v>
                </c:pt>
                <c:pt idx="113">
                  <c:v>41897.74</c:v>
                </c:pt>
                <c:pt idx="114">
                  <c:v>45801.39</c:v>
                </c:pt>
                <c:pt idx="115">
                  <c:v>50095.74</c:v>
                </c:pt>
                <c:pt idx="116">
                  <c:v>54799.33</c:v>
                </c:pt>
                <c:pt idx="117">
                  <c:v>59999.26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THOMfitedt_196!$F$304</c:f>
              <c:strCache>
                <c:ptCount val="1"/>
                <c:pt idx="0">
                  <c:v>THOMEER BV1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THOMfitedt_196!$E$305:$E$500</c:f>
              <c:numCache>
                <c:formatCode>#,##0.00</c:formatCode>
                <c:ptCount val="196"/>
                <c:pt idx="0">
                  <c:v>6.2435927989993212E-4</c:v>
                </c:pt>
                <c:pt idx="1">
                  <c:v>8.5832979369703979E-2</c:v>
                </c:pt>
                <c:pt idx="2">
                  <c:v>0.2216627277643157</c:v>
                </c:pt>
                <c:pt idx="3">
                  <c:v>0.51808882160937131</c:v>
                </c:pt>
                <c:pt idx="4">
                  <c:v>0.83665435031322333</c:v>
                </c:pt>
                <c:pt idx="5">
                  <c:v>1.2222053968018198</c:v>
                </c:pt>
                <c:pt idx="6">
                  <c:v>1.6340642738265678</c:v>
                </c:pt>
                <c:pt idx="7">
                  <c:v>2.0686064318313768</c:v>
                </c:pt>
                <c:pt idx="8">
                  <c:v>2.4943501200226024</c:v>
                </c:pt>
                <c:pt idx="9">
                  <c:v>2.8905422532916676</c:v>
                </c:pt>
                <c:pt idx="10">
                  <c:v>3.3122566726467553</c:v>
                </c:pt>
                <c:pt idx="11">
                  <c:v>3.6930234860895319</c:v>
                </c:pt>
                <c:pt idx="12">
                  <c:v>4.0628695237932506</c:v>
                </c:pt>
                <c:pt idx="13">
                  <c:v>4.4170063649426039</c:v>
                </c:pt>
                <c:pt idx="14">
                  <c:v>4.7590254183180782</c:v>
                </c:pt>
                <c:pt idx="15">
                  <c:v>5.0795810596396374</c:v>
                </c:pt>
                <c:pt idx="16">
                  <c:v>5.3835820485756196</c:v>
                </c:pt>
                <c:pt idx="17">
                  <c:v>5.6698951771539381</c:v>
                </c:pt>
                <c:pt idx="18">
                  <c:v>5.9455414422275528</c:v>
                </c:pt>
                <c:pt idx="19">
                  <c:v>6.2080680921161147</c:v>
                </c:pt>
                <c:pt idx="20">
                  <c:v>6.4534814920550811</c:v>
                </c:pt>
                <c:pt idx="21">
                  <c:v>6.6871542542864573</c:v>
                </c:pt>
                <c:pt idx="22">
                  <c:v>6.9061012586566903</c:v>
                </c:pt>
                <c:pt idx="23">
                  <c:v>7.1180502263846135</c:v>
                </c:pt>
                <c:pt idx="24">
                  <c:v>7.3334819708042671</c:v>
                </c:pt>
                <c:pt idx="25">
                  <c:v>7.5206809740666625</c:v>
                </c:pt>
                <c:pt idx="26">
                  <c:v>7.6985459353313725</c:v>
                </c:pt>
                <c:pt idx="27">
                  <c:v>7.8803068831475764</c:v>
                </c:pt>
                <c:pt idx="28">
                  <c:v>8.0527793739148912</c:v>
                </c:pt>
                <c:pt idx="29">
                  <c:v>8.2116878043622599</c:v>
                </c:pt>
                <c:pt idx="30">
                  <c:v>8.367475305527309</c:v>
                </c:pt>
                <c:pt idx="31">
                  <c:v>8.5127593817922005</c:v>
                </c:pt>
                <c:pt idx="32">
                  <c:v>8.645124449697585</c:v>
                </c:pt>
                <c:pt idx="33">
                  <c:v>8.7842219576435863</c:v>
                </c:pt>
                <c:pt idx="34">
                  <c:v>8.9223441035857594</c:v>
                </c:pt>
                <c:pt idx="35">
                  <c:v>9.0361235071195694</c:v>
                </c:pt>
                <c:pt idx="36">
                  <c:v>9.1465875584274823</c:v>
                </c:pt>
                <c:pt idx="37">
                  <c:v>9.2516541974278628</c:v>
                </c:pt>
                <c:pt idx="38">
                  <c:v>9.3730939988423625</c:v>
                </c:pt>
                <c:pt idx="39">
                  <c:v>9.4819994424332918</c:v>
                </c:pt>
                <c:pt idx="40">
                  <c:v>9.5868111493963344</c:v>
                </c:pt>
                <c:pt idx="41">
                  <c:v>9.683344526435226</c:v>
                </c:pt>
                <c:pt idx="42">
                  <c:v>9.7868626500569231</c:v>
                </c:pt>
                <c:pt idx="43">
                  <c:v>9.8709015235327904</c:v>
                </c:pt>
                <c:pt idx="44">
                  <c:v>9.9663826035013887</c:v>
                </c:pt>
                <c:pt idx="45">
                  <c:v>10.052717316508829</c:v>
                </c:pt>
                <c:pt idx="46">
                  <c:v>10.136767533677043</c:v>
                </c:pt>
                <c:pt idx="47">
                  <c:v>10.213542087765369</c:v>
                </c:pt>
                <c:pt idx="48">
                  <c:v>10.289073566526939</c:v>
                </c:pt>
                <c:pt idx="49">
                  <c:v>10.371807698347697</c:v>
                </c:pt>
                <c:pt idx="50">
                  <c:v>10.443902599085398</c:v>
                </c:pt>
                <c:pt idx="51">
                  <c:v>10.513637148141836</c:v>
                </c:pt>
                <c:pt idx="52">
                  <c:v>10.57979506168064</c:v>
                </c:pt>
                <c:pt idx="53">
                  <c:v>10.648148567015808</c:v>
                </c:pt>
                <c:pt idx="54">
                  <c:v>10.710715309686957</c:v>
                </c:pt>
                <c:pt idx="55">
                  <c:v>10.779598626109468</c:v>
                </c:pt>
                <c:pt idx="56">
                  <c:v>10.838877732158789</c:v>
                </c:pt>
                <c:pt idx="57">
                  <c:v>10.899036444059185</c:v>
                </c:pt>
                <c:pt idx="58">
                  <c:v>10.957627709604088</c:v>
                </c:pt>
                <c:pt idx="59">
                  <c:v>11.012322046063447</c:v>
                </c:pt>
                <c:pt idx="60">
                  <c:v>11.066170317078178</c:v>
                </c:pt>
                <c:pt idx="61">
                  <c:v>11.120428824894395</c:v>
                </c:pt>
                <c:pt idx="62">
                  <c:v>11.170616012958384</c:v>
                </c:pt>
                <c:pt idx="63">
                  <c:v>11.223961471038939</c:v>
                </c:pt>
                <c:pt idx="64">
                  <c:v>11.269376269600569</c:v>
                </c:pt>
                <c:pt idx="65">
                  <c:v>11.318904422312581</c:v>
                </c:pt>
                <c:pt idx="66">
                  <c:v>11.365664261158402</c:v>
                </c:pt>
                <c:pt idx="67">
                  <c:v>11.410097105083274</c:v>
                </c:pt>
                <c:pt idx="68">
                  <c:v>11.454974407189829</c:v>
                </c:pt>
                <c:pt idx="69">
                  <c:v>11.499955123779467</c:v>
                </c:pt>
                <c:pt idx="70">
                  <c:v>11.542039357647219</c:v>
                </c:pt>
                <c:pt idx="71">
                  <c:v>11.583062990178076</c:v>
                </c:pt>
                <c:pt idx="72">
                  <c:v>11.62001621367112</c:v>
                </c:pt>
                <c:pt idx="73">
                  <c:v>11.659897313981732</c:v>
                </c:pt>
                <c:pt idx="74">
                  <c:v>11.701072065144617</c:v>
                </c:pt>
                <c:pt idx="75">
                  <c:v>11.736667142423599</c:v>
                </c:pt>
                <c:pt idx="76">
                  <c:v>11.774168541160133</c:v>
                </c:pt>
                <c:pt idx="77">
                  <c:v>11.809563776510981</c:v>
                </c:pt>
                <c:pt idx="78">
                  <c:v>11.84545934298604</c:v>
                </c:pt>
                <c:pt idx="79">
                  <c:v>11.879712903448645</c:v>
                </c:pt>
                <c:pt idx="80">
                  <c:v>11.912983602298354</c:v>
                </c:pt>
                <c:pt idx="81">
                  <c:v>11.946756940940723</c:v>
                </c:pt>
                <c:pt idx="82">
                  <c:v>11.978171998142342</c:v>
                </c:pt>
                <c:pt idx="83">
                  <c:v>12.009491382853534</c:v>
                </c:pt>
                <c:pt idx="84">
                  <c:v>12.040887218838714</c:v>
                </c:pt>
                <c:pt idx="85">
                  <c:v>12.070905864575012</c:v>
                </c:pt>
                <c:pt idx="86">
                  <c:v>12.100586707284142</c:v>
                </c:pt>
                <c:pt idx="87">
                  <c:v>12.129787309344401</c:v>
                </c:pt>
                <c:pt idx="88">
                  <c:v>12.158196296224745</c:v>
                </c:pt>
                <c:pt idx="89">
                  <c:v>12.185518866307428</c:v>
                </c:pt>
                <c:pt idx="90">
                  <c:v>12.213065396424659</c:v>
                </c:pt>
                <c:pt idx="91">
                  <c:v>12.240068947864302</c:v>
                </c:pt>
                <c:pt idx="92">
                  <c:v>12.266631498589259</c:v>
                </c:pt>
                <c:pt idx="93">
                  <c:v>12.292227826265304</c:v>
                </c:pt>
                <c:pt idx="94">
                  <c:v>12.317877193062563</c:v>
                </c:pt>
                <c:pt idx="95">
                  <c:v>12.342528723335853</c:v>
                </c:pt>
                <c:pt idx="96">
                  <c:v>12.366987920294042</c:v>
                </c:pt>
                <c:pt idx="97">
                  <c:v>12.39107966595302</c:v>
                </c:pt>
                <c:pt idx="98">
                  <c:v>12.414750709266317</c:v>
                </c:pt>
                <c:pt idx="99">
                  <c:v>12.437360556995019</c:v>
                </c:pt>
                <c:pt idx="100">
                  <c:v>12.459768566059342</c:v>
                </c:pt>
                <c:pt idx="101">
                  <c:v>12.483474971333393</c:v>
                </c:pt>
                <c:pt idx="102">
                  <c:v>12.504726050814794</c:v>
                </c:pt>
                <c:pt idx="103">
                  <c:v>12.526768695221012</c:v>
                </c:pt>
                <c:pt idx="104">
                  <c:v>12.547879060309739</c:v>
                </c:pt>
                <c:pt idx="105">
                  <c:v>12.568076255438484</c:v>
                </c:pt>
                <c:pt idx="106">
                  <c:v>12.588388462042868</c:v>
                </c:pt>
                <c:pt idx="107">
                  <c:v>12.60860644907285</c:v>
                </c:pt>
                <c:pt idx="108">
                  <c:v>12.628496909486824</c:v>
                </c:pt>
                <c:pt idx="109">
                  <c:v>12.648665028102553</c:v>
                </c:pt>
                <c:pt idx="110">
                  <c:v>12.667479290707819</c:v>
                </c:pt>
                <c:pt idx="111">
                  <c:v>12.68625622072754</c:v>
                </c:pt>
                <c:pt idx="112">
                  <c:v>12.704932335300104</c:v>
                </c:pt>
                <c:pt idx="113">
                  <c:v>12.723196861389711</c:v>
                </c:pt>
                <c:pt idx="114">
                  <c:v>12.741030914893717</c:v>
                </c:pt>
                <c:pt idx="115">
                  <c:v>12.758693812361209</c:v>
                </c:pt>
                <c:pt idx="116">
                  <c:v>12.776106470813206</c:v>
                </c:pt>
                <c:pt idx="117">
                  <c:v>12.793424203629435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</c:numCache>
            </c:numRef>
          </c:xVal>
          <c:yVal>
            <c:numRef>
              <c:f>THOMfitedt_196!$F$305:$F$500</c:f>
              <c:numCache>
                <c:formatCode>General</c:formatCode>
                <c:ptCount val="196"/>
                <c:pt idx="0">
                  <c:v>1.54</c:v>
                </c:pt>
                <c:pt idx="1">
                  <c:v>1.81</c:v>
                </c:pt>
                <c:pt idx="2">
                  <c:v>1.95</c:v>
                </c:pt>
                <c:pt idx="3">
                  <c:v>2.16</c:v>
                </c:pt>
                <c:pt idx="4">
                  <c:v>2.35</c:v>
                </c:pt>
                <c:pt idx="5">
                  <c:v>2.57</c:v>
                </c:pt>
                <c:pt idx="6">
                  <c:v>2.81</c:v>
                </c:pt>
                <c:pt idx="7">
                  <c:v>3.08</c:v>
                </c:pt>
                <c:pt idx="8">
                  <c:v>3.37</c:v>
                </c:pt>
                <c:pt idx="9">
                  <c:v>3.67</c:v>
                </c:pt>
                <c:pt idx="10">
                  <c:v>4.03</c:v>
                </c:pt>
                <c:pt idx="11">
                  <c:v>4.4000000000000004</c:v>
                </c:pt>
                <c:pt idx="12">
                  <c:v>4.8099999999999996</c:v>
                </c:pt>
                <c:pt idx="13">
                  <c:v>5.26</c:v>
                </c:pt>
                <c:pt idx="14">
                  <c:v>5.76</c:v>
                </c:pt>
                <c:pt idx="15">
                  <c:v>6.3</c:v>
                </c:pt>
                <c:pt idx="16">
                  <c:v>6.89</c:v>
                </c:pt>
                <c:pt idx="17">
                  <c:v>7.53</c:v>
                </c:pt>
                <c:pt idx="18">
                  <c:v>8.24</c:v>
                </c:pt>
                <c:pt idx="19">
                  <c:v>9.02</c:v>
                </c:pt>
                <c:pt idx="20">
                  <c:v>9.86</c:v>
                </c:pt>
                <c:pt idx="21">
                  <c:v>10.78</c:v>
                </c:pt>
                <c:pt idx="22">
                  <c:v>11.77</c:v>
                </c:pt>
                <c:pt idx="23">
                  <c:v>12.87</c:v>
                </c:pt>
                <c:pt idx="24">
                  <c:v>14.16</c:v>
                </c:pt>
                <c:pt idx="25">
                  <c:v>15.45</c:v>
                </c:pt>
                <c:pt idx="26">
                  <c:v>16.850000000000001</c:v>
                </c:pt>
                <c:pt idx="27">
                  <c:v>18.489999999999998</c:v>
                </c:pt>
                <c:pt idx="28">
                  <c:v>20.28</c:v>
                </c:pt>
                <c:pt idx="29">
                  <c:v>22.17</c:v>
                </c:pt>
                <c:pt idx="30">
                  <c:v>24.29</c:v>
                </c:pt>
                <c:pt idx="31">
                  <c:v>26.55</c:v>
                </c:pt>
                <c:pt idx="32">
                  <c:v>28.89</c:v>
                </c:pt>
                <c:pt idx="33">
                  <c:v>31.69</c:v>
                </c:pt>
                <c:pt idx="34">
                  <c:v>34.880000000000003</c:v>
                </c:pt>
                <c:pt idx="35">
                  <c:v>37.869999999999997</c:v>
                </c:pt>
                <c:pt idx="36">
                  <c:v>41.14</c:v>
                </c:pt>
                <c:pt idx="37">
                  <c:v>44.64</c:v>
                </c:pt>
                <c:pt idx="38">
                  <c:v>49.24</c:v>
                </c:pt>
                <c:pt idx="39">
                  <c:v>53.96</c:v>
                </c:pt>
                <c:pt idx="40">
                  <c:v>59.13</c:v>
                </c:pt>
                <c:pt idx="41">
                  <c:v>64.53</c:v>
                </c:pt>
                <c:pt idx="42">
                  <c:v>71.12</c:v>
                </c:pt>
                <c:pt idx="43">
                  <c:v>77.180000000000007</c:v>
                </c:pt>
                <c:pt idx="44">
                  <c:v>84.97</c:v>
                </c:pt>
                <c:pt idx="45">
                  <c:v>92.98</c:v>
                </c:pt>
                <c:pt idx="46">
                  <c:v>101.81</c:v>
                </c:pt>
                <c:pt idx="47">
                  <c:v>110.91</c:v>
                </c:pt>
                <c:pt idx="48">
                  <c:v>120.98</c:v>
                </c:pt>
                <c:pt idx="49">
                  <c:v>133.49</c:v>
                </c:pt>
                <c:pt idx="50">
                  <c:v>145.86000000000001</c:v>
                </c:pt>
                <c:pt idx="51">
                  <c:v>159.34</c:v>
                </c:pt>
                <c:pt idx="52">
                  <c:v>173.72</c:v>
                </c:pt>
                <c:pt idx="53">
                  <c:v>190.46</c:v>
                </c:pt>
                <c:pt idx="54">
                  <c:v>207.72</c:v>
                </c:pt>
                <c:pt idx="55">
                  <c:v>229.21</c:v>
                </c:pt>
                <c:pt idx="56">
                  <c:v>250.12</c:v>
                </c:pt>
                <c:pt idx="57">
                  <c:v>273.99</c:v>
                </c:pt>
                <c:pt idx="58">
                  <c:v>300.2</c:v>
                </c:pt>
                <c:pt idx="59">
                  <c:v>327.71</c:v>
                </c:pt>
                <c:pt idx="60">
                  <c:v>358.1</c:v>
                </c:pt>
                <c:pt idx="61">
                  <c:v>392.54</c:v>
                </c:pt>
                <c:pt idx="62">
                  <c:v>428.32</c:v>
                </c:pt>
                <c:pt idx="63">
                  <c:v>471.12</c:v>
                </c:pt>
                <c:pt idx="64">
                  <c:v>512</c:v>
                </c:pt>
                <c:pt idx="65">
                  <c:v>561.94000000000005</c:v>
                </c:pt>
                <c:pt idx="66">
                  <c:v>614.97</c:v>
                </c:pt>
                <c:pt idx="67">
                  <c:v>671.44</c:v>
                </c:pt>
                <c:pt idx="68">
                  <c:v>735.37</c:v>
                </c:pt>
                <c:pt idx="69">
                  <c:v>807.43</c:v>
                </c:pt>
                <c:pt idx="70">
                  <c:v>883.16</c:v>
                </c:pt>
                <c:pt idx="71">
                  <c:v>965.85</c:v>
                </c:pt>
                <c:pt idx="72">
                  <c:v>1048.8800000000001</c:v>
                </c:pt>
                <c:pt idx="73">
                  <c:v>1148.8499999999999</c:v>
                </c:pt>
                <c:pt idx="74">
                  <c:v>1264.97</c:v>
                </c:pt>
                <c:pt idx="75">
                  <c:v>1377.45</c:v>
                </c:pt>
                <c:pt idx="76">
                  <c:v>1509.84</c:v>
                </c:pt>
                <c:pt idx="77">
                  <c:v>1649.69</c:v>
                </c:pt>
                <c:pt idx="78">
                  <c:v>1808.4</c:v>
                </c:pt>
                <c:pt idx="79">
                  <c:v>1977.94</c:v>
                </c:pt>
                <c:pt idx="80">
                  <c:v>2161.91</c:v>
                </c:pt>
                <c:pt idx="81">
                  <c:v>2370.84</c:v>
                </c:pt>
                <c:pt idx="82">
                  <c:v>2588.0300000000002</c:v>
                </c:pt>
                <c:pt idx="83">
                  <c:v>2829.52</c:v>
                </c:pt>
                <c:pt idx="84">
                  <c:v>3100.06</c:v>
                </c:pt>
                <c:pt idx="85">
                  <c:v>3389.06</c:v>
                </c:pt>
                <c:pt idx="86">
                  <c:v>3707.98</c:v>
                </c:pt>
                <c:pt idx="87">
                  <c:v>4058.34</c:v>
                </c:pt>
                <c:pt idx="88">
                  <c:v>4438.8100000000004</c:v>
                </c:pt>
                <c:pt idx="89">
                  <c:v>4846.57</c:v>
                </c:pt>
                <c:pt idx="90">
                  <c:v>5304.81</c:v>
                </c:pt>
                <c:pt idx="91">
                  <c:v>5806.16</c:v>
                </c:pt>
                <c:pt idx="92">
                  <c:v>6356.54</c:v>
                </c:pt>
                <c:pt idx="93">
                  <c:v>6947.83</c:v>
                </c:pt>
                <c:pt idx="94">
                  <c:v>7608.42</c:v>
                </c:pt>
                <c:pt idx="95">
                  <c:v>8316.11</c:v>
                </c:pt>
                <c:pt idx="96">
                  <c:v>9098.23</c:v>
                </c:pt>
                <c:pt idx="97">
                  <c:v>9956.81</c:v>
                </c:pt>
                <c:pt idx="98">
                  <c:v>10897.03</c:v>
                </c:pt>
                <c:pt idx="99">
                  <c:v>11896.33</c:v>
                </c:pt>
                <c:pt idx="100">
                  <c:v>12997.05</c:v>
                </c:pt>
                <c:pt idx="101">
                  <c:v>14297.04</c:v>
                </c:pt>
                <c:pt idx="102">
                  <c:v>15596.46</c:v>
                </c:pt>
                <c:pt idx="103">
                  <c:v>17096.099999999999</c:v>
                </c:pt>
                <c:pt idx="104">
                  <c:v>18696.13</c:v>
                </c:pt>
                <c:pt idx="105">
                  <c:v>20396.48</c:v>
                </c:pt>
                <c:pt idx="106">
                  <c:v>22295.17</c:v>
                </c:pt>
                <c:pt idx="107">
                  <c:v>24397.05</c:v>
                </c:pt>
                <c:pt idx="108">
                  <c:v>26698.03</c:v>
                </c:pt>
                <c:pt idx="109">
                  <c:v>29298.26</c:v>
                </c:pt>
                <c:pt idx="110">
                  <c:v>31997.98</c:v>
                </c:pt>
                <c:pt idx="111">
                  <c:v>34990.199999999997</c:v>
                </c:pt>
                <c:pt idx="112">
                  <c:v>38299.26</c:v>
                </c:pt>
                <c:pt idx="113">
                  <c:v>41897.74</c:v>
                </c:pt>
                <c:pt idx="114">
                  <c:v>45801.39</c:v>
                </c:pt>
                <c:pt idx="115">
                  <c:v>50095.74</c:v>
                </c:pt>
                <c:pt idx="116">
                  <c:v>54799.33</c:v>
                </c:pt>
                <c:pt idx="117">
                  <c:v>59999.26</c:v>
                </c:pt>
                <c:pt idx="118">
                  <c:v>59999.26</c:v>
                </c:pt>
                <c:pt idx="119">
                  <c:v>59999.26</c:v>
                </c:pt>
                <c:pt idx="120">
                  <c:v>59999.26</c:v>
                </c:pt>
                <c:pt idx="121">
                  <c:v>59999.26</c:v>
                </c:pt>
                <c:pt idx="122">
                  <c:v>59999.26</c:v>
                </c:pt>
                <c:pt idx="123">
                  <c:v>59999.26</c:v>
                </c:pt>
                <c:pt idx="124">
                  <c:v>59999.26</c:v>
                </c:pt>
                <c:pt idx="125">
                  <c:v>59999.26</c:v>
                </c:pt>
                <c:pt idx="126">
                  <c:v>59999.26</c:v>
                </c:pt>
                <c:pt idx="127">
                  <c:v>59999.26</c:v>
                </c:pt>
                <c:pt idx="128">
                  <c:v>59999.26</c:v>
                </c:pt>
                <c:pt idx="129">
                  <c:v>59999.26</c:v>
                </c:pt>
                <c:pt idx="130">
                  <c:v>59999.26</c:v>
                </c:pt>
                <c:pt idx="131">
                  <c:v>59999.26</c:v>
                </c:pt>
                <c:pt idx="132">
                  <c:v>59999.26</c:v>
                </c:pt>
                <c:pt idx="133">
                  <c:v>59999.26</c:v>
                </c:pt>
                <c:pt idx="134">
                  <c:v>59999.26</c:v>
                </c:pt>
                <c:pt idx="135">
                  <c:v>59999.26</c:v>
                </c:pt>
                <c:pt idx="136">
                  <c:v>59999.26</c:v>
                </c:pt>
                <c:pt idx="137">
                  <c:v>59999.26</c:v>
                </c:pt>
                <c:pt idx="138">
                  <c:v>59999.26</c:v>
                </c:pt>
                <c:pt idx="139">
                  <c:v>59999.26</c:v>
                </c:pt>
                <c:pt idx="140">
                  <c:v>59999.26</c:v>
                </c:pt>
                <c:pt idx="141">
                  <c:v>59999.26</c:v>
                </c:pt>
                <c:pt idx="142">
                  <c:v>59999.26</c:v>
                </c:pt>
                <c:pt idx="143">
                  <c:v>59999.26</c:v>
                </c:pt>
                <c:pt idx="144">
                  <c:v>59999.26</c:v>
                </c:pt>
                <c:pt idx="145">
                  <c:v>59999.26</c:v>
                </c:pt>
                <c:pt idx="146">
                  <c:v>59999.26</c:v>
                </c:pt>
                <c:pt idx="147">
                  <c:v>59999.26</c:v>
                </c:pt>
                <c:pt idx="148">
                  <c:v>59999.26</c:v>
                </c:pt>
                <c:pt idx="149">
                  <c:v>59999.26</c:v>
                </c:pt>
                <c:pt idx="150">
                  <c:v>59999.26</c:v>
                </c:pt>
                <c:pt idx="151">
                  <c:v>59999.26</c:v>
                </c:pt>
                <c:pt idx="152">
                  <c:v>59999.26</c:v>
                </c:pt>
                <c:pt idx="153">
                  <c:v>59999.26</c:v>
                </c:pt>
                <c:pt idx="154">
                  <c:v>59999.26</c:v>
                </c:pt>
                <c:pt idx="155">
                  <c:v>59999.26</c:v>
                </c:pt>
                <c:pt idx="156">
                  <c:v>59999.26</c:v>
                </c:pt>
                <c:pt idx="157">
                  <c:v>59999.26</c:v>
                </c:pt>
                <c:pt idx="158">
                  <c:v>59999.26</c:v>
                </c:pt>
                <c:pt idx="159">
                  <c:v>59999.26</c:v>
                </c:pt>
                <c:pt idx="160">
                  <c:v>59999.26</c:v>
                </c:pt>
                <c:pt idx="161">
                  <c:v>59999.26</c:v>
                </c:pt>
                <c:pt idx="162">
                  <c:v>59999.26</c:v>
                </c:pt>
                <c:pt idx="163">
                  <c:v>59999.26</c:v>
                </c:pt>
                <c:pt idx="164">
                  <c:v>59999.26</c:v>
                </c:pt>
                <c:pt idx="165">
                  <c:v>59999.26</c:v>
                </c:pt>
                <c:pt idx="166">
                  <c:v>59999.26</c:v>
                </c:pt>
                <c:pt idx="167">
                  <c:v>59999.26</c:v>
                </c:pt>
                <c:pt idx="168">
                  <c:v>59999.26</c:v>
                </c:pt>
                <c:pt idx="169">
                  <c:v>59999.26</c:v>
                </c:pt>
                <c:pt idx="170">
                  <c:v>59999.26</c:v>
                </c:pt>
                <c:pt idx="171">
                  <c:v>59999.26</c:v>
                </c:pt>
                <c:pt idx="172">
                  <c:v>59999.26</c:v>
                </c:pt>
                <c:pt idx="173">
                  <c:v>59999.26</c:v>
                </c:pt>
                <c:pt idx="174">
                  <c:v>59999.26</c:v>
                </c:pt>
                <c:pt idx="175">
                  <c:v>59999.26</c:v>
                </c:pt>
                <c:pt idx="176">
                  <c:v>59999.26</c:v>
                </c:pt>
                <c:pt idx="177">
                  <c:v>59999.26</c:v>
                </c:pt>
                <c:pt idx="178">
                  <c:v>59999.26</c:v>
                </c:pt>
                <c:pt idx="179">
                  <c:v>59999.26</c:v>
                </c:pt>
                <c:pt idx="180">
                  <c:v>59999.26</c:v>
                </c:pt>
                <c:pt idx="181">
                  <c:v>59999.26</c:v>
                </c:pt>
                <c:pt idx="182">
                  <c:v>59999.26</c:v>
                </c:pt>
                <c:pt idx="183">
                  <c:v>59999.26</c:v>
                </c:pt>
                <c:pt idx="184">
                  <c:v>59999.26</c:v>
                </c:pt>
                <c:pt idx="185">
                  <c:v>59999.26</c:v>
                </c:pt>
                <c:pt idx="186">
                  <c:v>59999.26</c:v>
                </c:pt>
                <c:pt idx="187">
                  <c:v>59999.26</c:v>
                </c:pt>
                <c:pt idx="188">
                  <c:v>59999.26</c:v>
                </c:pt>
                <c:pt idx="189">
                  <c:v>59999.26</c:v>
                </c:pt>
                <c:pt idx="190">
                  <c:v>59999.26</c:v>
                </c:pt>
                <c:pt idx="191">
                  <c:v>59999.26</c:v>
                </c:pt>
                <c:pt idx="192">
                  <c:v>59999.26</c:v>
                </c:pt>
                <c:pt idx="193">
                  <c:v>59999.26</c:v>
                </c:pt>
                <c:pt idx="194">
                  <c:v>59999.26</c:v>
                </c:pt>
                <c:pt idx="195">
                  <c:v>59999.26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THOMfitedt_196!$I$304</c:f>
              <c:strCache>
                <c:ptCount val="1"/>
                <c:pt idx="0">
                  <c:v>THOMEER BV2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THOMfitedt_196!$G$305:$G$500</c:f>
              <c:numCache>
                <c:formatCode>0.0000</c:formatCode>
                <c:ptCount val="1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5.2850153412798598E-2</c:v>
                </c:pt>
                <c:pt idx="55">
                  <c:v>0.60478266531713376</c:v>
                </c:pt>
                <c:pt idx="56">
                  <c:v>1.2191662781175403</c:v>
                </c:pt>
                <c:pt idx="57">
                  <c:v>1.7741223245250879</c:v>
                </c:pt>
                <c:pt idx="58">
                  <c:v>2.2239358252369104</c:v>
                </c:pt>
                <c:pt idx="59">
                  <c:v>2.5726161083170958</c:v>
                </c:pt>
                <c:pt idx="60">
                  <c:v>2.861203305200783</c:v>
                </c:pt>
                <c:pt idx="61">
                  <c:v>3.1078871870319129</c:v>
                </c:pt>
                <c:pt idx="62">
                  <c:v>3.3042189824582437</c:v>
                </c:pt>
                <c:pt idx="63">
                  <c:v>3.4856083548325874</c:v>
                </c:pt>
                <c:pt idx="64">
                  <c:v>3.6216474423876579</c:v>
                </c:pt>
                <c:pt idx="65">
                  <c:v>3.7538801131300605</c:v>
                </c:pt>
                <c:pt idx="66">
                  <c:v>3.8655949608000908</c:v>
                </c:pt>
                <c:pt idx="67">
                  <c:v>3.9616297778733855</c:v>
                </c:pt>
                <c:pt idx="68">
                  <c:v>4.0499490305036723</c:v>
                </c:pt>
                <c:pt idx="69">
                  <c:v>4.1308300547926446</c:v>
                </c:pt>
                <c:pt idx="70">
                  <c:v>4.2004073699039051</c:v>
                </c:pt>
                <c:pt idx="71">
                  <c:v>4.2631988391066375</c:v>
                </c:pt>
                <c:pt idx="72">
                  <c:v>4.3159432584953494</c:v>
                </c:pt>
                <c:pt idx="73">
                  <c:v>4.3692039887025453</c:v>
                </c:pt>
                <c:pt idx="74">
                  <c:v>4.420580720958962</c:v>
                </c:pt>
                <c:pt idx="75">
                  <c:v>4.4623076001322959</c:v>
                </c:pt>
                <c:pt idx="76">
                  <c:v>4.5038071726521736</c:v>
                </c:pt>
                <c:pt idx="77">
                  <c:v>4.5408449019616999</c:v>
                </c:pt>
                <c:pt idx="78">
                  <c:v>4.5764586403396805</c:v>
                </c:pt>
                <c:pt idx="79">
                  <c:v>4.6087507529201668</c:v>
                </c:pt>
                <c:pt idx="80">
                  <c:v>4.6386467591632448</c:v>
                </c:pt>
                <c:pt idx="81">
                  <c:v>4.6676145279137531</c:v>
                </c:pt>
                <c:pt idx="82">
                  <c:v>4.6933927907726813</c:v>
                </c:pt>
                <c:pt idx="83">
                  <c:v>4.7180431183845126</c:v>
                </c:pt>
                <c:pt idx="84">
                  <c:v>4.741764853833371</c:v>
                </c:pt>
                <c:pt idx="85">
                  <c:v>4.7635737992186638</c:v>
                </c:pt>
                <c:pt idx="86">
                  <c:v>4.7843457911212912</c:v>
                </c:pt>
                <c:pt idx="87">
                  <c:v>4.8040547504825311</c:v>
                </c:pt>
                <c:pt idx="88">
                  <c:v>4.8225732282217457</c:v>
                </c:pt>
                <c:pt idx="89">
                  <c:v>4.8398032399817854</c:v>
                </c:pt>
                <c:pt idx="90">
                  <c:v>4.8566260317192542</c:v>
                </c:pt>
                <c:pt idx="91">
                  <c:v>4.872607450525579</c:v>
                </c:pt>
                <c:pt idx="92">
                  <c:v>4.8878577233972722</c:v>
                </c:pt>
                <c:pt idx="93">
                  <c:v>4.9021313036644099</c:v>
                </c:pt>
                <c:pt idx="94">
                  <c:v>4.9160365486803137</c:v>
                </c:pt>
                <c:pt idx="95">
                  <c:v>4.9290406965461688</c:v>
                </c:pt>
                <c:pt idx="96">
                  <c:v>4.9416082815598399</c:v>
                </c:pt>
                <c:pt idx="97">
                  <c:v>4.9536732144706397</c:v>
                </c:pt>
                <c:pt idx="98">
                  <c:v>4.9652353903779343</c:v>
                </c:pt>
                <c:pt idx="99">
                  <c:v>4.9760185903021377</c:v>
                </c:pt>
                <c:pt idx="100">
                  <c:v>4.9864629656580313</c:v>
                </c:pt>
                <c:pt idx="101">
                  <c:v>4.997258649450754</c:v>
                </c:pt>
                <c:pt idx="102">
                  <c:v>5.0067216940347334</c:v>
                </c:pt>
                <c:pt idx="103">
                  <c:v>5.0163299564202219</c:v>
                </c:pt>
                <c:pt idx="104">
                  <c:v>5.0253401402583311</c:v>
                </c:pt>
                <c:pt idx="105">
                  <c:v>5.0337903198691292</c:v>
                </c:pt>
                <c:pt idx="106">
                  <c:v>5.042125604474208</c:v>
                </c:pt>
                <c:pt idx="107">
                  <c:v>5.0502645076266841</c:v>
                </c:pt>
                <c:pt idx="108">
                  <c:v>5.0581223254686334</c:v>
                </c:pt>
                <c:pt idx="109">
                  <c:v>5.0659428955477948</c:v>
                </c:pt>
                <c:pt idx="110">
                  <c:v>5.0731086756089034</c:v>
                </c:pt>
                <c:pt idx="111">
                  <c:v>5.080138577144039</c:v>
                </c:pt>
                <c:pt idx="112">
                  <c:v>5.0870132176893721</c:v>
                </c:pt>
                <c:pt idx="113">
                  <c:v>5.093625811123184</c:v>
                </c:pt>
                <c:pt idx="114">
                  <c:v>5.0999796297750803</c:v>
                </c:pt>
                <c:pt idx="115">
                  <c:v>5.1061745950316002</c:v>
                </c:pt>
                <c:pt idx="116">
                  <c:v>5.1121886452711429</c:v>
                </c:pt>
                <c:pt idx="117">
                  <c:v>5.118080256863359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</c:numCache>
            </c:numRef>
          </c:xVal>
          <c:yVal>
            <c:numRef>
              <c:f>THOMfitedt_196!$I$305:$I$500</c:f>
              <c:numCache>
                <c:formatCode>General</c:formatCode>
                <c:ptCount val="196"/>
                <c:pt idx="0">
                  <c:v>1.54</c:v>
                </c:pt>
                <c:pt idx="1">
                  <c:v>1.81</c:v>
                </c:pt>
                <c:pt idx="2">
                  <c:v>1.95</c:v>
                </c:pt>
                <c:pt idx="3">
                  <c:v>2.16</c:v>
                </c:pt>
                <c:pt idx="4">
                  <c:v>2.35</c:v>
                </c:pt>
                <c:pt idx="5">
                  <c:v>2.57</c:v>
                </c:pt>
                <c:pt idx="6">
                  <c:v>2.81</c:v>
                </c:pt>
                <c:pt idx="7">
                  <c:v>3.08</c:v>
                </c:pt>
                <c:pt idx="8">
                  <c:v>3.37</c:v>
                </c:pt>
                <c:pt idx="9">
                  <c:v>3.67</c:v>
                </c:pt>
                <c:pt idx="10">
                  <c:v>4.03</c:v>
                </c:pt>
                <c:pt idx="11">
                  <c:v>4.4000000000000004</c:v>
                </c:pt>
                <c:pt idx="12">
                  <c:v>4.8099999999999996</c:v>
                </c:pt>
                <c:pt idx="13">
                  <c:v>5.26</c:v>
                </c:pt>
                <c:pt idx="14">
                  <c:v>5.76</c:v>
                </c:pt>
                <c:pt idx="15">
                  <c:v>6.3</c:v>
                </c:pt>
                <c:pt idx="16">
                  <c:v>6.89</c:v>
                </c:pt>
                <c:pt idx="17">
                  <c:v>7.53</c:v>
                </c:pt>
                <c:pt idx="18">
                  <c:v>8.24</c:v>
                </c:pt>
                <c:pt idx="19">
                  <c:v>9.02</c:v>
                </c:pt>
                <c:pt idx="20">
                  <c:v>9.86</c:v>
                </c:pt>
                <c:pt idx="21">
                  <c:v>10.78</c:v>
                </c:pt>
                <c:pt idx="22">
                  <c:v>11.77</c:v>
                </c:pt>
                <c:pt idx="23">
                  <c:v>12.87</c:v>
                </c:pt>
                <c:pt idx="24">
                  <c:v>14.16</c:v>
                </c:pt>
                <c:pt idx="25">
                  <c:v>15.45</c:v>
                </c:pt>
                <c:pt idx="26">
                  <c:v>16.850000000000001</c:v>
                </c:pt>
                <c:pt idx="27">
                  <c:v>18.489999999999998</c:v>
                </c:pt>
                <c:pt idx="28">
                  <c:v>20.28</c:v>
                </c:pt>
                <c:pt idx="29">
                  <c:v>22.17</c:v>
                </c:pt>
                <c:pt idx="30">
                  <c:v>24.29</c:v>
                </c:pt>
                <c:pt idx="31">
                  <c:v>26.55</c:v>
                </c:pt>
                <c:pt idx="32">
                  <c:v>28.89</c:v>
                </c:pt>
                <c:pt idx="33">
                  <c:v>31.69</c:v>
                </c:pt>
                <c:pt idx="34">
                  <c:v>34.880000000000003</c:v>
                </c:pt>
                <c:pt idx="35">
                  <c:v>37.869999999999997</c:v>
                </c:pt>
                <c:pt idx="36">
                  <c:v>41.14</c:v>
                </c:pt>
                <c:pt idx="37">
                  <c:v>44.64</c:v>
                </c:pt>
                <c:pt idx="38">
                  <c:v>49.24</c:v>
                </c:pt>
                <c:pt idx="39">
                  <c:v>53.96</c:v>
                </c:pt>
                <c:pt idx="40">
                  <c:v>59.13</c:v>
                </c:pt>
                <c:pt idx="41">
                  <c:v>64.53</c:v>
                </c:pt>
                <c:pt idx="42">
                  <c:v>71.12</c:v>
                </c:pt>
                <c:pt idx="43">
                  <c:v>77.180000000000007</c:v>
                </c:pt>
                <c:pt idx="44">
                  <c:v>84.97</c:v>
                </c:pt>
                <c:pt idx="45">
                  <c:v>92.98</c:v>
                </c:pt>
                <c:pt idx="46">
                  <c:v>101.81</c:v>
                </c:pt>
                <c:pt idx="47">
                  <c:v>110.91</c:v>
                </c:pt>
                <c:pt idx="48">
                  <c:v>120.98</c:v>
                </c:pt>
                <c:pt idx="49">
                  <c:v>133.49</c:v>
                </c:pt>
                <c:pt idx="50">
                  <c:v>145.86000000000001</c:v>
                </c:pt>
                <c:pt idx="51">
                  <c:v>159.34</c:v>
                </c:pt>
                <c:pt idx="52">
                  <c:v>173.72</c:v>
                </c:pt>
                <c:pt idx="53">
                  <c:v>190.46</c:v>
                </c:pt>
                <c:pt idx="54">
                  <c:v>207.72</c:v>
                </c:pt>
                <c:pt idx="55">
                  <c:v>229.21</c:v>
                </c:pt>
                <c:pt idx="56">
                  <c:v>250.12</c:v>
                </c:pt>
                <c:pt idx="57">
                  <c:v>273.99</c:v>
                </c:pt>
                <c:pt idx="58">
                  <c:v>300.2</c:v>
                </c:pt>
                <c:pt idx="59">
                  <c:v>327.71</c:v>
                </c:pt>
                <c:pt idx="60">
                  <c:v>358.1</c:v>
                </c:pt>
                <c:pt idx="61">
                  <c:v>392.54</c:v>
                </c:pt>
                <c:pt idx="62">
                  <c:v>428.32</c:v>
                </c:pt>
                <c:pt idx="63">
                  <c:v>471.12</c:v>
                </c:pt>
                <c:pt idx="64">
                  <c:v>512</c:v>
                </c:pt>
                <c:pt idx="65">
                  <c:v>561.94000000000005</c:v>
                </c:pt>
                <c:pt idx="66">
                  <c:v>614.97</c:v>
                </c:pt>
                <c:pt idx="67">
                  <c:v>671.44</c:v>
                </c:pt>
                <c:pt idx="68">
                  <c:v>735.37</c:v>
                </c:pt>
                <c:pt idx="69">
                  <c:v>807.43</c:v>
                </c:pt>
                <c:pt idx="70">
                  <c:v>883.16</c:v>
                </c:pt>
                <c:pt idx="71">
                  <c:v>965.85</c:v>
                </c:pt>
                <c:pt idx="72">
                  <c:v>1048.8800000000001</c:v>
                </c:pt>
                <c:pt idx="73">
                  <c:v>1148.8499999999999</c:v>
                </c:pt>
                <c:pt idx="74">
                  <c:v>1264.97</c:v>
                </c:pt>
                <c:pt idx="75">
                  <c:v>1377.45</c:v>
                </c:pt>
                <c:pt idx="76">
                  <c:v>1509.84</c:v>
                </c:pt>
                <c:pt idx="77">
                  <c:v>1649.69</c:v>
                </c:pt>
                <c:pt idx="78">
                  <c:v>1808.4</c:v>
                </c:pt>
                <c:pt idx="79">
                  <c:v>1977.94</c:v>
                </c:pt>
                <c:pt idx="80">
                  <c:v>2161.91</c:v>
                </c:pt>
                <c:pt idx="81">
                  <c:v>2370.84</c:v>
                </c:pt>
                <c:pt idx="82">
                  <c:v>2588.0300000000002</c:v>
                </c:pt>
                <c:pt idx="83">
                  <c:v>2829.52</c:v>
                </c:pt>
                <c:pt idx="84">
                  <c:v>3100.06</c:v>
                </c:pt>
                <c:pt idx="85">
                  <c:v>3389.06</c:v>
                </c:pt>
                <c:pt idx="86">
                  <c:v>3707.98</c:v>
                </c:pt>
                <c:pt idx="87">
                  <c:v>4058.34</c:v>
                </c:pt>
                <c:pt idx="88">
                  <c:v>4438.8100000000004</c:v>
                </c:pt>
                <c:pt idx="89">
                  <c:v>4846.57</c:v>
                </c:pt>
                <c:pt idx="90">
                  <c:v>5304.81</c:v>
                </c:pt>
                <c:pt idx="91">
                  <c:v>5806.16</c:v>
                </c:pt>
                <c:pt idx="92">
                  <c:v>6356.54</c:v>
                </c:pt>
                <c:pt idx="93">
                  <c:v>6947.83</c:v>
                </c:pt>
                <c:pt idx="94">
                  <c:v>7608.42</c:v>
                </c:pt>
                <c:pt idx="95">
                  <c:v>8316.11</c:v>
                </c:pt>
                <c:pt idx="96">
                  <c:v>9098.23</c:v>
                </c:pt>
                <c:pt idx="97">
                  <c:v>9956.81</c:v>
                </c:pt>
                <c:pt idx="98">
                  <c:v>10897.03</c:v>
                </c:pt>
                <c:pt idx="99">
                  <c:v>11896.33</c:v>
                </c:pt>
                <c:pt idx="100">
                  <c:v>12997.05</c:v>
                </c:pt>
                <c:pt idx="101">
                  <c:v>14297.04</c:v>
                </c:pt>
                <c:pt idx="102">
                  <c:v>15596.46</c:v>
                </c:pt>
                <c:pt idx="103">
                  <c:v>17096.099999999999</c:v>
                </c:pt>
                <c:pt idx="104">
                  <c:v>18696.13</c:v>
                </c:pt>
                <c:pt idx="105">
                  <c:v>20396.48</c:v>
                </c:pt>
                <c:pt idx="106">
                  <c:v>22295.17</c:v>
                </c:pt>
                <c:pt idx="107">
                  <c:v>24397.05</c:v>
                </c:pt>
                <c:pt idx="108">
                  <c:v>26698.03</c:v>
                </c:pt>
                <c:pt idx="109">
                  <c:v>29298.26</c:v>
                </c:pt>
                <c:pt idx="110">
                  <c:v>31997.98</c:v>
                </c:pt>
                <c:pt idx="111">
                  <c:v>34990.199999999997</c:v>
                </c:pt>
                <c:pt idx="112">
                  <c:v>38299.26</c:v>
                </c:pt>
                <c:pt idx="113">
                  <c:v>41897.74</c:v>
                </c:pt>
                <c:pt idx="114">
                  <c:v>45801.39</c:v>
                </c:pt>
                <c:pt idx="115">
                  <c:v>50095.74</c:v>
                </c:pt>
                <c:pt idx="116">
                  <c:v>54799.33</c:v>
                </c:pt>
                <c:pt idx="117">
                  <c:v>59999.26</c:v>
                </c:pt>
                <c:pt idx="118">
                  <c:v>59999.26</c:v>
                </c:pt>
                <c:pt idx="119">
                  <c:v>59999.26</c:v>
                </c:pt>
                <c:pt idx="120">
                  <c:v>59999.26</c:v>
                </c:pt>
                <c:pt idx="121">
                  <c:v>59999.26</c:v>
                </c:pt>
                <c:pt idx="122">
                  <c:v>59999.26</c:v>
                </c:pt>
                <c:pt idx="123">
                  <c:v>59999.26</c:v>
                </c:pt>
                <c:pt idx="124">
                  <c:v>59999.26</c:v>
                </c:pt>
                <c:pt idx="125">
                  <c:v>59999.26</c:v>
                </c:pt>
                <c:pt idx="126">
                  <c:v>59999.26</c:v>
                </c:pt>
                <c:pt idx="127">
                  <c:v>59999.26</c:v>
                </c:pt>
                <c:pt idx="128">
                  <c:v>59999.26</c:v>
                </c:pt>
                <c:pt idx="129">
                  <c:v>59999.26</c:v>
                </c:pt>
                <c:pt idx="130">
                  <c:v>59999.26</c:v>
                </c:pt>
                <c:pt idx="131">
                  <c:v>59999.26</c:v>
                </c:pt>
                <c:pt idx="132">
                  <c:v>59999.26</c:v>
                </c:pt>
                <c:pt idx="133">
                  <c:v>59999.26</c:v>
                </c:pt>
                <c:pt idx="134">
                  <c:v>59999.26</c:v>
                </c:pt>
                <c:pt idx="135">
                  <c:v>59999.26</c:v>
                </c:pt>
                <c:pt idx="136">
                  <c:v>59999.26</c:v>
                </c:pt>
                <c:pt idx="137">
                  <c:v>59999.26</c:v>
                </c:pt>
                <c:pt idx="138">
                  <c:v>59999.26</c:v>
                </c:pt>
                <c:pt idx="139">
                  <c:v>59999.26</c:v>
                </c:pt>
                <c:pt idx="140">
                  <c:v>59999.26</c:v>
                </c:pt>
                <c:pt idx="141">
                  <c:v>59999.26</c:v>
                </c:pt>
                <c:pt idx="142">
                  <c:v>59999.26</c:v>
                </c:pt>
                <c:pt idx="143">
                  <c:v>59999.26</c:v>
                </c:pt>
                <c:pt idx="144">
                  <c:v>59999.26</c:v>
                </c:pt>
                <c:pt idx="145">
                  <c:v>59999.26</c:v>
                </c:pt>
                <c:pt idx="146">
                  <c:v>59999.26</c:v>
                </c:pt>
                <c:pt idx="147">
                  <c:v>59999.26</c:v>
                </c:pt>
                <c:pt idx="148">
                  <c:v>59999.26</c:v>
                </c:pt>
                <c:pt idx="149">
                  <c:v>59999.26</c:v>
                </c:pt>
                <c:pt idx="150">
                  <c:v>59999.26</c:v>
                </c:pt>
                <c:pt idx="151">
                  <c:v>59999.26</c:v>
                </c:pt>
                <c:pt idx="152">
                  <c:v>59999.26</c:v>
                </c:pt>
                <c:pt idx="153">
                  <c:v>59999.26</c:v>
                </c:pt>
                <c:pt idx="154">
                  <c:v>59999.26</c:v>
                </c:pt>
                <c:pt idx="155">
                  <c:v>59999.26</c:v>
                </c:pt>
                <c:pt idx="156">
                  <c:v>59999.26</c:v>
                </c:pt>
                <c:pt idx="157">
                  <c:v>59999.26</c:v>
                </c:pt>
                <c:pt idx="158">
                  <c:v>59999.26</c:v>
                </c:pt>
                <c:pt idx="159">
                  <c:v>59999.26</c:v>
                </c:pt>
                <c:pt idx="160">
                  <c:v>59999.26</c:v>
                </c:pt>
                <c:pt idx="161">
                  <c:v>59999.26</c:v>
                </c:pt>
                <c:pt idx="162">
                  <c:v>59999.26</c:v>
                </c:pt>
                <c:pt idx="163">
                  <c:v>59999.26</c:v>
                </c:pt>
                <c:pt idx="164">
                  <c:v>59999.26</c:v>
                </c:pt>
                <c:pt idx="165">
                  <c:v>59999.26</c:v>
                </c:pt>
                <c:pt idx="166">
                  <c:v>59999.26</c:v>
                </c:pt>
                <c:pt idx="167">
                  <c:v>59999.26</c:v>
                </c:pt>
                <c:pt idx="168">
                  <c:v>59999.26</c:v>
                </c:pt>
                <c:pt idx="169">
                  <c:v>59999.26</c:v>
                </c:pt>
                <c:pt idx="170">
                  <c:v>59999.26</c:v>
                </c:pt>
                <c:pt idx="171">
                  <c:v>59999.26</c:v>
                </c:pt>
                <c:pt idx="172">
                  <c:v>59999.26</c:v>
                </c:pt>
                <c:pt idx="173">
                  <c:v>59999.26</c:v>
                </c:pt>
                <c:pt idx="174">
                  <c:v>59999.26</c:v>
                </c:pt>
                <c:pt idx="175">
                  <c:v>59999.26</c:v>
                </c:pt>
                <c:pt idx="176">
                  <c:v>59999.26</c:v>
                </c:pt>
                <c:pt idx="177">
                  <c:v>59999.26</c:v>
                </c:pt>
                <c:pt idx="178">
                  <c:v>59999.26</c:v>
                </c:pt>
                <c:pt idx="179">
                  <c:v>59999.26</c:v>
                </c:pt>
                <c:pt idx="180">
                  <c:v>59999.26</c:v>
                </c:pt>
                <c:pt idx="181">
                  <c:v>59999.26</c:v>
                </c:pt>
                <c:pt idx="182">
                  <c:v>59999.26</c:v>
                </c:pt>
                <c:pt idx="183">
                  <c:v>59999.26</c:v>
                </c:pt>
                <c:pt idx="184">
                  <c:v>59999.26</c:v>
                </c:pt>
                <c:pt idx="185">
                  <c:v>59999.26</c:v>
                </c:pt>
                <c:pt idx="186">
                  <c:v>59999.26</c:v>
                </c:pt>
                <c:pt idx="187">
                  <c:v>59999.26</c:v>
                </c:pt>
                <c:pt idx="188">
                  <c:v>59999.26</c:v>
                </c:pt>
                <c:pt idx="189">
                  <c:v>59999.26</c:v>
                </c:pt>
                <c:pt idx="190">
                  <c:v>59999.26</c:v>
                </c:pt>
                <c:pt idx="191">
                  <c:v>59999.26</c:v>
                </c:pt>
                <c:pt idx="192">
                  <c:v>59999.26</c:v>
                </c:pt>
                <c:pt idx="193">
                  <c:v>59999.26</c:v>
                </c:pt>
                <c:pt idx="194">
                  <c:v>59999.26</c:v>
                </c:pt>
                <c:pt idx="195">
                  <c:v>59999.26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THOMfitedt_196!$K$304</c:f>
              <c:strCache>
                <c:ptCount val="1"/>
                <c:pt idx="0">
                  <c:v> BV1+BV2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THOMfitedt_196!$J$305:$J$500</c:f>
              <c:numCache>
                <c:formatCode>#,##0.00</c:formatCode>
                <c:ptCount val="196"/>
                <c:pt idx="0">
                  <c:v>6.2435927989993212E-4</c:v>
                </c:pt>
                <c:pt idx="1">
                  <c:v>8.5832979369703979E-2</c:v>
                </c:pt>
                <c:pt idx="2">
                  <c:v>0.2216627277643157</c:v>
                </c:pt>
                <c:pt idx="3">
                  <c:v>0.51808882160937131</c:v>
                </c:pt>
                <c:pt idx="4">
                  <c:v>0.83665435031322333</c:v>
                </c:pt>
                <c:pt idx="5">
                  <c:v>1.2222053968018198</c:v>
                </c:pt>
                <c:pt idx="6">
                  <c:v>1.6340642738265678</c:v>
                </c:pt>
                <c:pt idx="7">
                  <c:v>2.0686064318313768</c:v>
                </c:pt>
                <c:pt idx="8">
                  <c:v>2.4943501200226024</c:v>
                </c:pt>
                <c:pt idx="9">
                  <c:v>2.8905422532916676</c:v>
                </c:pt>
                <c:pt idx="10">
                  <c:v>3.3122566726467553</c:v>
                </c:pt>
                <c:pt idx="11">
                  <c:v>3.6930234860895319</c:v>
                </c:pt>
                <c:pt idx="12">
                  <c:v>4.0628695237932506</c:v>
                </c:pt>
                <c:pt idx="13">
                  <c:v>4.4170063649426039</c:v>
                </c:pt>
                <c:pt idx="14">
                  <c:v>4.7590254183180782</c:v>
                </c:pt>
                <c:pt idx="15">
                  <c:v>5.0795810596396374</c:v>
                </c:pt>
                <c:pt idx="16">
                  <c:v>5.3835820485756196</c:v>
                </c:pt>
                <c:pt idx="17">
                  <c:v>5.6698951771539381</c:v>
                </c:pt>
                <c:pt idx="18">
                  <c:v>5.9455414422275528</c:v>
                </c:pt>
                <c:pt idx="19">
                  <c:v>6.2080680921161147</c:v>
                </c:pt>
                <c:pt idx="20">
                  <c:v>6.4534814920550811</c:v>
                </c:pt>
                <c:pt idx="21">
                  <c:v>6.6871542542864573</c:v>
                </c:pt>
                <c:pt idx="22">
                  <c:v>6.9061012586566903</c:v>
                </c:pt>
                <c:pt idx="23">
                  <c:v>7.1180502263846135</c:v>
                </c:pt>
                <c:pt idx="24">
                  <c:v>7.3334819708042671</c:v>
                </c:pt>
                <c:pt idx="25">
                  <c:v>7.5206809740666625</c:v>
                </c:pt>
                <c:pt idx="26">
                  <c:v>7.6985459353313725</c:v>
                </c:pt>
                <c:pt idx="27">
                  <c:v>7.8803068831475764</c:v>
                </c:pt>
                <c:pt idx="28">
                  <c:v>8.0527793739148912</c:v>
                </c:pt>
                <c:pt idx="29">
                  <c:v>8.2116878043622599</c:v>
                </c:pt>
                <c:pt idx="30">
                  <c:v>8.367475305527309</c:v>
                </c:pt>
                <c:pt idx="31">
                  <c:v>8.5127593817922005</c:v>
                </c:pt>
                <c:pt idx="32">
                  <c:v>8.645124449697585</c:v>
                </c:pt>
                <c:pt idx="33">
                  <c:v>8.7842219576435863</c:v>
                </c:pt>
                <c:pt idx="34">
                  <c:v>8.9223441035857594</c:v>
                </c:pt>
                <c:pt idx="35">
                  <c:v>9.0361235071195694</c:v>
                </c:pt>
                <c:pt idx="36">
                  <c:v>9.1465875584274823</c:v>
                </c:pt>
                <c:pt idx="37">
                  <c:v>9.2516541974278628</c:v>
                </c:pt>
                <c:pt idx="38">
                  <c:v>9.3730939988423625</c:v>
                </c:pt>
                <c:pt idx="39">
                  <c:v>9.4819994424332918</c:v>
                </c:pt>
                <c:pt idx="40">
                  <c:v>9.5868111493963344</c:v>
                </c:pt>
                <c:pt idx="41">
                  <c:v>9.683344526435226</c:v>
                </c:pt>
                <c:pt idx="42">
                  <c:v>9.7868626500569231</c:v>
                </c:pt>
                <c:pt idx="43">
                  <c:v>9.8709015235327904</c:v>
                </c:pt>
                <c:pt idx="44">
                  <c:v>9.9663826035013887</c:v>
                </c:pt>
                <c:pt idx="45">
                  <c:v>10.052717316508829</c:v>
                </c:pt>
                <c:pt idx="46">
                  <c:v>10.136767533677043</c:v>
                </c:pt>
                <c:pt idx="47">
                  <c:v>10.213542087765369</c:v>
                </c:pt>
                <c:pt idx="48">
                  <c:v>10.289073566526939</c:v>
                </c:pt>
                <c:pt idx="49">
                  <c:v>10.371807698347697</c:v>
                </c:pt>
                <c:pt idx="50">
                  <c:v>10.443902599085398</c:v>
                </c:pt>
                <c:pt idx="51">
                  <c:v>10.513637148141836</c:v>
                </c:pt>
                <c:pt idx="52">
                  <c:v>10.57979506168064</c:v>
                </c:pt>
                <c:pt idx="53">
                  <c:v>10.648148567015808</c:v>
                </c:pt>
                <c:pt idx="54">
                  <c:v>10.763565463099756</c:v>
                </c:pt>
                <c:pt idx="55">
                  <c:v>11.384381291426601</c:v>
                </c:pt>
                <c:pt idx="56">
                  <c:v>12.05804401027633</c:v>
                </c:pt>
                <c:pt idx="57">
                  <c:v>12.673158768584273</c:v>
                </c:pt>
                <c:pt idx="58">
                  <c:v>13.181563534840999</c:v>
                </c:pt>
                <c:pt idx="59">
                  <c:v>13.584938154380543</c:v>
                </c:pt>
                <c:pt idx="60">
                  <c:v>13.927373622278962</c:v>
                </c:pt>
                <c:pt idx="61">
                  <c:v>14.228316011926308</c:v>
                </c:pt>
                <c:pt idx="62">
                  <c:v>14.474834995416627</c:v>
                </c:pt>
                <c:pt idx="63">
                  <c:v>14.709569825871526</c:v>
                </c:pt>
                <c:pt idx="64">
                  <c:v>14.891023711988227</c:v>
                </c:pt>
                <c:pt idx="65">
                  <c:v>15.072784535442642</c:v>
                </c:pt>
                <c:pt idx="66">
                  <c:v>15.231259221958492</c:v>
                </c:pt>
                <c:pt idx="67">
                  <c:v>15.37172688295666</c:v>
                </c:pt>
                <c:pt idx="68">
                  <c:v>15.504923437693501</c:v>
                </c:pt>
                <c:pt idx="69">
                  <c:v>15.630785178572111</c:v>
                </c:pt>
                <c:pt idx="70">
                  <c:v>15.742446727551124</c:v>
                </c:pt>
                <c:pt idx="71">
                  <c:v>15.846261829284714</c:v>
                </c:pt>
                <c:pt idx="72">
                  <c:v>15.93595947216647</c:v>
                </c:pt>
                <c:pt idx="73">
                  <c:v>16.029101302684278</c:v>
                </c:pt>
                <c:pt idx="74">
                  <c:v>16.121652786103578</c:v>
                </c:pt>
                <c:pt idx="75">
                  <c:v>16.198974742555894</c:v>
                </c:pt>
                <c:pt idx="76">
                  <c:v>16.277975713812307</c:v>
                </c:pt>
                <c:pt idx="77">
                  <c:v>16.350408678472682</c:v>
                </c:pt>
                <c:pt idx="78">
                  <c:v>16.42191798332572</c:v>
                </c:pt>
                <c:pt idx="79">
                  <c:v>16.488463656368811</c:v>
                </c:pt>
                <c:pt idx="80">
                  <c:v>16.551630361461598</c:v>
                </c:pt>
                <c:pt idx="81">
                  <c:v>16.614371468854475</c:v>
                </c:pt>
                <c:pt idx="82">
                  <c:v>16.671564788915024</c:v>
                </c:pt>
                <c:pt idx="83">
                  <c:v>16.727534501238047</c:v>
                </c:pt>
                <c:pt idx="84">
                  <c:v>16.782652072672086</c:v>
                </c:pt>
                <c:pt idx="85">
                  <c:v>16.834479663793676</c:v>
                </c:pt>
                <c:pt idx="86">
                  <c:v>16.884932498405433</c:v>
                </c:pt>
                <c:pt idx="87">
                  <c:v>16.933842059826933</c:v>
                </c:pt>
                <c:pt idx="88">
                  <c:v>16.98076952444649</c:v>
                </c:pt>
                <c:pt idx="89">
                  <c:v>17.025322106289213</c:v>
                </c:pt>
                <c:pt idx="90">
                  <c:v>17.069691428143912</c:v>
                </c:pt>
                <c:pt idx="91">
                  <c:v>17.11267639838988</c:v>
                </c:pt>
                <c:pt idx="92">
                  <c:v>17.15448922198653</c:v>
                </c:pt>
                <c:pt idx="93">
                  <c:v>17.194359129929715</c:v>
                </c:pt>
                <c:pt idx="94">
                  <c:v>17.233913741742874</c:v>
                </c:pt>
                <c:pt idx="95">
                  <c:v>17.27156941988202</c:v>
                </c:pt>
                <c:pt idx="96">
                  <c:v>17.308596201853881</c:v>
                </c:pt>
                <c:pt idx="97">
                  <c:v>17.344752880423659</c:v>
                </c:pt>
                <c:pt idx="98">
                  <c:v>17.379986099644249</c:v>
                </c:pt>
                <c:pt idx="99">
                  <c:v>17.413379147297157</c:v>
                </c:pt>
                <c:pt idx="100">
                  <c:v>17.446231531717373</c:v>
                </c:pt>
                <c:pt idx="101">
                  <c:v>17.480733620784147</c:v>
                </c:pt>
                <c:pt idx="102">
                  <c:v>17.511447744849526</c:v>
                </c:pt>
                <c:pt idx="103">
                  <c:v>17.543098651641234</c:v>
                </c:pt>
                <c:pt idx="104">
                  <c:v>17.573219200568069</c:v>
                </c:pt>
                <c:pt idx="105">
                  <c:v>17.601866575307614</c:v>
                </c:pt>
                <c:pt idx="106">
                  <c:v>17.630514066517076</c:v>
                </c:pt>
                <c:pt idx="107">
                  <c:v>17.658870956699534</c:v>
                </c:pt>
                <c:pt idx="108">
                  <c:v>17.686619234955458</c:v>
                </c:pt>
                <c:pt idx="109">
                  <c:v>17.714607923650348</c:v>
                </c:pt>
                <c:pt idx="110">
                  <c:v>17.740587966316724</c:v>
                </c:pt>
                <c:pt idx="111">
                  <c:v>17.766394797871577</c:v>
                </c:pt>
                <c:pt idx="112">
                  <c:v>17.791945552989475</c:v>
                </c:pt>
                <c:pt idx="113">
                  <c:v>17.816822672512895</c:v>
                </c:pt>
                <c:pt idx="114">
                  <c:v>17.841010544668798</c:v>
                </c:pt>
                <c:pt idx="115">
                  <c:v>17.864868407392809</c:v>
                </c:pt>
                <c:pt idx="116">
                  <c:v>17.88829511608435</c:v>
                </c:pt>
                <c:pt idx="117">
                  <c:v>17.911504460492793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</c:numCache>
            </c:numRef>
          </c:xVal>
          <c:yVal>
            <c:numRef>
              <c:f>THOMfitedt_196!$K$305:$K$500</c:f>
              <c:numCache>
                <c:formatCode>General</c:formatCode>
                <c:ptCount val="196"/>
                <c:pt idx="0">
                  <c:v>1.54</c:v>
                </c:pt>
                <c:pt idx="1">
                  <c:v>1.81</c:v>
                </c:pt>
                <c:pt idx="2">
                  <c:v>1.95</c:v>
                </c:pt>
                <c:pt idx="3">
                  <c:v>2.16</c:v>
                </c:pt>
                <c:pt idx="4">
                  <c:v>2.35</c:v>
                </c:pt>
                <c:pt idx="5">
                  <c:v>2.57</c:v>
                </c:pt>
                <c:pt idx="6">
                  <c:v>2.81</c:v>
                </c:pt>
                <c:pt idx="7">
                  <c:v>3.08</c:v>
                </c:pt>
                <c:pt idx="8">
                  <c:v>3.37</c:v>
                </c:pt>
                <c:pt idx="9">
                  <c:v>3.67</c:v>
                </c:pt>
                <c:pt idx="10">
                  <c:v>4.03</c:v>
                </c:pt>
                <c:pt idx="11">
                  <c:v>4.4000000000000004</c:v>
                </c:pt>
                <c:pt idx="12">
                  <c:v>4.8099999999999996</c:v>
                </c:pt>
                <c:pt idx="13">
                  <c:v>5.26</c:v>
                </c:pt>
                <c:pt idx="14">
                  <c:v>5.76</c:v>
                </c:pt>
                <c:pt idx="15">
                  <c:v>6.3</c:v>
                </c:pt>
                <c:pt idx="16">
                  <c:v>6.89</c:v>
                </c:pt>
                <c:pt idx="17">
                  <c:v>7.53</c:v>
                </c:pt>
                <c:pt idx="18">
                  <c:v>8.24</c:v>
                </c:pt>
                <c:pt idx="19">
                  <c:v>9.02</c:v>
                </c:pt>
                <c:pt idx="20">
                  <c:v>9.86</c:v>
                </c:pt>
                <c:pt idx="21">
                  <c:v>10.78</c:v>
                </c:pt>
                <c:pt idx="22">
                  <c:v>11.77</c:v>
                </c:pt>
                <c:pt idx="23">
                  <c:v>12.87</c:v>
                </c:pt>
                <c:pt idx="24">
                  <c:v>14.16</c:v>
                </c:pt>
                <c:pt idx="25">
                  <c:v>15.45</c:v>
                </c:pt>
                <c:pt idx="26">
                  <c:v>16.850000000000001</c:v>
                </c:pt>
                <c:pt idx="27">
                  <c:v>18.489999999999998</c:v>
                </c:pt>
                <c:pt idx="28">
                  <c:v>20.28</c:v>
                </c:pt>
                <c:pt idx="29">
                  <c:v>22.17</c:v>
                </c:pt>
                <c:pt idx="30">
                  <c:v>24.29</c:v>
                </c:pt>
                <c:pt idx="31">
                  <c:v>26.55</c:v>
                </c:pt>
                <c:pt idx="32">
                  <c:v>28.89</c:v>
                </c:pt>
                <c:pt idx="33">
                  <c:v>31.69</c:v>
                </c:pt>
                <c:pt idx="34">
                  <c:v>34.880000000000003</c:v>
                </c:pt>
                <c:pt idx="35">
                  <c:v>37.869999999999997</c:v>
                </c:pt>
                <c:pt idx="36">
                  <c:v>41.14</c:v>
                </c:pt>
                <c:pt idx="37">
                  <c:v>44.64</c:v>
                </c:pt>
                <c:pt idx="38">
                  <c:v>49.24</c:v>
                </c:pt>
                <c:pt idx="39">
                  <c:v>53.96</c:v>
                </c:pt>
                <c:pt idx="40">
                  <c:v>59.13</c:v>
                </c:pt>
                <c:pt idx="41">
                  <c:v>64.53</c:v>
                </c:pt>
                <c:pt idx="42">
                  <c:v>71.12</c:v>
                </c:pt>
                <c:pt idx="43">
                  <c:v>77.180000000000007</c:v>
                </c:pt>
                <c:pt idx="44">
                  <c:v>84.97</c:v>
                </c:pt>
                <c:pt idx="45">
                  <c:v>92.98</c:v>
                </c:pt>
                <c:pt idx="46">
                  <c:v>101.81</c:v>
                </c:pt>
                <c:pt idx="47">
                  <c:v>110.91</c:v>
                </c:pt>
                <c:pt idx="48">
                  <c:v>120.98</c:v>
                </c:pt>
                <c:pt idx="49">
                  <c:v>133.49</c:v>
                </c:pt>
                <c:pt idx="50">
                  <c:v>145.86000000000001</c:v>
                </c:pt>
                <c:pt idx="51">
                  <c:v>159.34</c:v>
                </c:pt>
                <c:pt idx="52">
                  <c:v>173.72</c:v>
                </c:pt>
                <c:pt idx="53">
                  <c:v>190.46</c:v>
                </c:pt>
                <c:pt idx="54">
                  <c:v>207.72</c:v>
                </c:pt>
                <c:pt idx="55">
                  <c:v>229.21</c:v>
                </c:pt>
                <c:pt idx="56">
                  <c:v>250.12</c:v>
                </c:pt>
                <c:pt idx="57">
                  <c:v>273.99</c:v>
                </c:pt>
                <c:pt idx="58">
                  <c:v>300.2</c:v>
                </c:pt>
                <c:pt idx="59">
                  <c:v>327.71</c:v>
                </c:pt>
                <c:pt idx="60">
                  <c:v>358.1</c:v>
                </c:pt>
                <c:pt idx="61">
                  <c:v>392.54</c:v>
                </c:pt>
                <c:pt idx="62">
                  <c:v>428.32</c:v>
                </c:pt>
                <c:pt idx="63">
                  <c:v>471.12</c:v>
                </c:pt>
                <c:pt idx="64">
                  <c:v>512</c:v>
                </c:pt>
                <c:pt idx="65">
                  <c:v>561.94000000000005</c:v>
                </c:pt>
                <c:pt idx="66">
                  <c:v>614.97</c:v>
                </c:pt>
                <c:pt idx="67">
                  <c:v>671.44</c:v>
                </c:pt>
                <c:pt idx="68">
                  <c:v>735.37</c:v>
                </c:pt>
                <c:pt idx="69">
                  <c:v>807.43</c:v>
                </c:pt>
                <c:pt idx="70">
                  <c:v>883.16</c:v>
                </c:pt>
                <c:pt idx="71">
                  <c:v>965.85</c:v>
                </c:pt>
                <c:pt idx="72">
                  <c:v>1048.8800000000001</c:v>
                </c:pt>
                <c:pt idx="73">
                  <c:v>1148.8499999999999</c:v>
                </c:pt>
                <c:pt idx="74">
                  <c:v>1264.97</c:v>
                </c:pt>
                <c:pt idx="75">
                  <c:v>1377.45</c:v>
                </c:pt>
                <c:pt idx="76">
                  <c:v>1509.84</c:v>
                </c:pt>
                <c:pt idx="77">
                  <c:v>1649.69</c:v>
                </c:pt>
                <c:pt idx="78">
                  <c:v>1808.4</c:v>
                </c:pt>
                <c:pt idx="79">
                  <c:v>1977.94</c:v>
                </c:pt>
                <c:pt idx="80">
                  <c:v>2161.91</c:v>
                </c:pt>
                <c:pt idx="81">
                  <c:v>2370.84</c:v>
                </c:pt>
                <c:pt idx="82">
                  <c:v>2588.0300000000002</c:v>
                </c:pt>
                <c:pt idx="83">
                  <c:v>2829.52</c:v>
                </c:pt>
                <c:pt idx="84">
                  <c:v>3100.06</c:v>
                </c:pt>
                <c:pt idx="85">
                  <c:v>3389.06</c:v>
                </c:pt>
                <c:pt idx="86">
                  <c:v>3707.98</c:v>
                </c:pt>
                <c:pt idx="87">
                  <c:v>4058.34</c:v>
                </c:pt>
                <c:pt idx="88">
                  <c:v>4438.8100000000004</c:v>
                </c:pt>
                <c:pt idx="89">
                  <c:v>4846.57</c:v>
                </c:pt>
                <c:pt idx="90">
                  <c:v>5304.81</c:v>
                </c:pt>
                <c:pt idx="91">
                  <c:v>5806.16</c:v>
                </c:pt>
                <c:pt idx="92">
                  <c:v>6356.54</c:v>
                </c:pt>
                <c:pt idx="93">
                  <c:v>6947.83</c:v>
                </c:pt>
                <c:pt idx="94">
                  <c:v>7608.42</c:v>
                </c:pt>
                <c:pt idx="95">
                  <c:v>8316.11</c:v>
                </c:pt>
                <c:pt idx="96">
                  <c:v>9098.23</c:v>
                </c:pt>
                <c:pt idx="97">
                  <c:v>9956.81</c:v>
                </c:pt>
                <c:pt idx="98">
                  <c:v>10897.03</c:v>
                </c:pt>
                <c:pt idx="99">
                  <c:v>11896.33</c:v>
                </c:pt>
                <c:pt idx="100">
                  <c:v>12997.05</c:v>
                </c:pt>
                <c:pt idx="101">
                  <c:v>14297.04</c:v>
                </c:pt>
                <c:pt idx="102">
                  <c:v>15596.46</c:v>
                </c:pt>
                <c:pt idx="103">
                  <c:v>17096.099999999999</c:v>
                </c:pt>
                <c:pt idx="104">
                  <c:v>18696.13</c:v>
                </c:pt>
                <c:pt idx="105">
                  <c:v>20396.48</c:v>
                </c:pt>
                <c:pt idx="106">
                  <c:v>22295.17</c:v>
                </c:pt>
                <c:pt idx="107">
                  <c:v>24397.05</c:v>
                </c:pt>
                <c:pt idx="108">
                  <c:v>26698.03</c:v>
                </c:pt>
                <c:pt idx="109">
                  <c:v>29298.26</c:v>
                </c:pt>
                <c:pt idx="110">
                  <c:v>31997.98</c:v>
                </c:pt>
                <c:pt idx="111">
                  <c:v>34990.199999999997</c:v>
                </c:pt>
                <c:pt idx="112">
                  <c:v>38299.26</c:v>
                </c:pt>
                <c:pt idx="113">
                  <c:v>41897.74</c:v>
                </c:pt>
                <c:pt idx="114">
                  <c:v>45801.39</c:v>
                </c:pt>
                <c:pt idx="115">
                  <c:v>50095.74</c:v>
                </c:pt>
                <c:pt idx="116">
                  <c:v>54799.33</c:v>
                </c:pt>
                <c:pt idx="117">
                  <c:v>59999.26</c:v>
                </c:pt>
                <c:pt idx="118">
                  <c:v>59999.26</c:v>
                </c:pt>
                <c:pt idx="119">
                  <c:v>59999.26</c:v>
                </c:pt>
                <c:pt idx="120">
                  <c:v>59999.26</c:v>
                </c:pt>
                <c:pt idx="121">
                  <c:v>59999.26</c:v>
                </c:pt>
                <c:pt idx="122">
                  <c:v>59999.26</c:v>
                </c:pt>
                <c:pt idx="123">
                  <c:v>59999.26</c:v>
                </c:pt>
                <c:pt idx="124">
                  <c:v>59999.26</c:v>
                </c:pt>
                <c:pt idx="125">
                  <c:v>59999.26</c:v>
                </c:pt>
                <c:pt idx="126">
                  <c:v>59999.26</c:v>
                </c:pt>
                <c:pt idx="127">
                  <c:v>59999.26</c:v>
                </c:pt>
                <c:pt idx="128">
                  <c:v>59999.26</c:v>
                </c:pt>
                <c:pt idx="129">
                  <c:v>59999.26</c:v>
                </c:pt>
                <c:pt idx="130">
                  <c:v>59999.26</c:v>
                </c:pt>
                <c:pt idx="131">
                  <c:v>59999.26</c:v>
                </c:pt>
                <c:pt idx="132">
                  <c:v>59999.26</c:v>
                </c:pt>
                <c:pt idx="133">
                  <c:v>59999.26</c:v>
                </c:pt>
                <c:pt idx="134">
                  <c:v>59999.26</c:v>
                </c:pt>
                <c:pt idx="135">
                  <c:v>59999.26</c:v>
                </c:pt>
                <c:pt idx="136">
                  <c:v>59999.26</c:v>
                </c:pt>
                <c:pt idx="137">
                  <c:v>59999.26</c:v>
                </c:pt>
                <c:pt idx="138">
                  <c:v>59999.26</c:v>
                </c:pt>
                <c:pt idx="139">
                  <c:v>59999.26</c:v>
                </c:pt>
                <c:pt idx="140">
                  <c:v>59999.26</c:v>
                </c:pt>
                <c:pt idx="141">
                  <c:v>59999.26</c:v>
                </c:pt>
                <c:pt idx="142">
                  <c:v>59999.26</c:v>
                </c:pt>
                <c:pt idx="143">
                  <c:v>59999.26</c:v>
                </c:pt>
                <c:pt idx="144">
                  <c:v>59999.26</c:v>
                </c:pt>
                <c:pt idx="145">
                  <c:v>59999.26</c:v>
                </c:pt>
                <c:pt idx="146">
                  <c:v>59999.26</c:v>
                </c:pt>
                <c:pt idx="147">
                  <c:v>59999.26</c:v>
                </c:pt>
                <c:pt idx="148">
                  <c:v>59999.26</c:v>
                </c:pt>
                <c:pt idx="149">
                  <c:v>59999.26</c:v>
                </c:pt>
                <c:pt idx="150">
                  <c:v>59999.26</c:v>
                </c:pt>
                <c:pt idx="151">
                  <c:v>59999.26</c:v>
                </c:pt>
                <c:pt idx="152">
                  <c:v>59999.26</c:v>
                </c:pt>
                <c:pt idx="153">
                  <c:v>59999.26</c:v>
                </c:pt>
                <c:pt idx="154">
                  <c:v>59999.26</c:v>
                </c:pt>
                <c:pt idx="155">
                  <c:v>59999.26</c:v>
                </c:pt>
                <c:pt idx="156">
                  <c:v>59999.26</c:v>
                </c:pt>
                <c:pt idx="157">
                  <c:v>59999.26</c:v>
                </c:pt>
                <c:pt idx="158">
                  <c:v>59999.26</c:v>
                </c:pt>
                <c:pt idx="159">
                  <c:v>59999.26</c:v>
                </c:pt>
                <c:pt idx="160">
                  <c:v>59999.26</c:v>
                </c:pt>
                <c:pt idx="161">
                  <c:v>59999.26</c:v>
                </c:pt>
                <c:pt idx="162">
                  <c:v>59999.26</c:v>
                </c:pt>
                <c:pt idx="163">
                  <c:v>59999.26</c:v>
                </c:pt>
                <c:pt idx="164">
                  <c:v>59999.26</c:v>
                </c:pt>
                <c:pt idx="165">
                  <c:v>59999.26</c:v>
                </c:pt>
                <c:pt idx="166">
                  <c:v>59999.26</c:v>
                </c:pt>
                <c:pt idx="167">
                  <c:v>59999.26</c:v>
                </c:pt>
                <c:pt idx="168">
                  <c:v>59999.26</c:v>
                </c:pt>
                <c:pt idx="169">
                  <c:v>59999.26</c:v>
                </c:pt>
                <c:pt idx="170">
                  <c:v>59999.26</c:v>
                </c:pt>
                <c:pt idx="171">
                  <c:v>59999.26</c:v>
                </c:pt>
                <c:pt idx="172">
                  <c:v>59999.26</c:v>
                </c:pt>
                <c:pt idx="173">
                  <c:v>59999.26</c:v>
                </c:pt>
                <c:pt idx="174">
                  <c:v>59999.26</c:v>
                </c:pt>
                <c:pt idx="175">
                  <c:v>59999.26</c:v>
                </c:pt>
                <c:pt idx="176">
                  <c:v>59999.26</c:v>
                </c:pt>
                <c:pt idx="177">
                  <c:v>59999.26</c:v>
                </c:pt>
                <c:pt idx="178">
                  <c:v>59999.26</c:v>
                </c:pt>
                <c:pt idx="179">
                  <c:v>59999.26</c:v>
                </c:pt>
                <c:pt idx="180">
                  <c:v>59999.26</c:v>
                </c:pt>
                <c:pt idx="181">
                  <c:v>59999.26</c:v>
                </c:pt>
                <c:pt idx="182">
                  <c:v>59999.26</c:v>
                </c:pt>
                <c:pt idx="183">
                  <c:v>59999.26</c:v>
                </c:pt>
                <c:pt idx="184">
                  <c:v>59999.26</c:v>
                </c:pt>
                <c:pt idx="185">
                  <c:v>59999.26</c:v>
                </c:pt>
                <c:pt idx="186">
                  <c:v>59999.26</c:v>
                </c:pt>
                <c:pt idx="187">
                  <c:v>59999.26</c:v>
                </c:pt>
                <c:pt idx="188">
                  <c:v>59999.26</c:v>
                </c:pt>
                <c:pt idx="189">
                  <c:v>59999.26</c:v>
                </c:pt>
                <c:pt idx="190">
                  <c:v>59999.26</c:v>
                </c:pt>
                <c:pt idx="191">
                  <c:v>59999.26</c:v>
                </c:pt>
                <c:pt idx="192">
                  <c:v>59999.26</c:v>
                </c:pt>
                <c:pt idx="193">
                  <c:v>59999.26</c:v>
                </c:pt>
                <c:pt idx="194">
                  <c:v>59999.26</c:v>
                </c:pt>
                <c:pt idx="195">
                  <c:v>59999.26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THOMfitedt_196!$T$337</c:f>
              <c:strCache>
                <c:ptCount val="1"/>
                <c:pt idx="0">
                  <c:v>Ht. above FWL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strRef>
                  <c:f>THOMfitedt_196!$T$332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{3E7BC504-08B7-4936-8329-287C4EA2C1E1}</c15:txfldGUID>
                      <c15:f>THOMfitedt_196!$T$332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THOMfitedt_196!$T$333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{490A006D-E14D-46EF-A1D1-6DF14233BE15}</c15:txfldGUID>
                      <c15:f>THOMfitedt_196!$T$333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THOMfitedt_196!$T$334</c:f>
                  <c:strCache>
                    <c:ptCount val="1"/>
                    <c:pt idx="0">
                      <c:v>292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{E66F505A-24D5-45BE-965D-F9E6C8B49678}</c15:txfldGUID>
                      <c15:f>THOMfitedt_196!$T$334</c15:f>
                      <c15:dlblFieldTableCache>
                        <c:ptCount val="1"/>
                        <c:pt idx="0">
                          <c:v>292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THOMfitedt_196!$T$335</c:f>
                  <c:strCache>
                    <c:ptCount val="1"/>
                    <c:pt idx="0">
                      <c:v>2924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{2D2204CF-6A36-4A74-8B35-73AB6B50C720}</c15:txfldGUID>
                      <c15:f>THOMfitedt_196!$T$335</c15:f>
                      <c15:dlblFieldTableCache>
                        <c:ptCount val="1"/>
                        <c:pt idx="0">
                          <c:v>2924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THOMfitedt_196!$S$338:$S$341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THOMfitedt_196!$T$338:$T$341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THOMfitedt_196!$W$337</c:f>
              <c:strCache>
                <c:ptCount val="1"/>
                <c:pt idx="0">
                  <c:v>Hg. Saturation%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strRef>
                  <c:f>THOMfitedt_196!$W$333</c:f>
                  <c:strCache>
                    <c:ptCount val="1"/>
                    <c:pt idx="0">
                      <c:v>4.65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{AC219C48-2BB9-41FA-AA90-AC0B0E56D569}</c15:txfldGUID>
                      <c15:f>THOMfitedt_196!$W$333</c15:f>
                      <c15:dlblFieldTableCache>
                        <c:ptCount val="1"/>
                        <c:pt idx="0">
                          <c:v>4.65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THOMfitedt_196!$W$334</c:f>
                  <c:strCache>
                    <c:ptCount val="1"/>
                    <c:pt idx="0">
                      <c:v>46.51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{C408BFF9-16AF-4A24-84CD-F21DE84B54E7}</c15:txfldGUID>
                      <c15:f>THOMfitedt_196!$W$334</c15:f>
                      <c15:dlblFieldTableCache>
                        <c:ptCount val="1"/>
                        <c:pt idx="0">
                          <c:v>46.51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THOMfitedt_196!$V$338:$V$340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THOMfitedt_196!$W$338:$W$340</c:f>
              <c:numCache>
                <c:formatCode>General</c:formatCode>
                <c:ptCount val="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THOMfitedt_196!$N$304</c:f>
              <c:strCache>
                <c:ptCount val="1"/>
                <c:pt idx="0">
                  <c:v>BV1+BV2+BV3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THOMfitedt_196!$M$305:$M$500</c:f>
              <c:numCache>
                <c:formatCode>General</c:formatCode>
                <c:ptCount val="196"/>
                <c:pt idx="0">
                  <c:v>6.2435927989993212E-4</c:v>
                </c:pt>
                <c:pt idx="1">
                  <c:v>8.5832979369703979E-2</c:v>
                </c:pt>
                <c:pt idx="2">
                  <c:v>0.2216627277643157</c:v>
                </c:pt>
                <c:pt idx="3">
                  <c:v>0.51808882160937131</c:v>
                </c:pt>
                <c:pt idx="4">
                  <c:v>0.83665435031322333</c:v>
                </c:pt>
                <c:pt idx="5">
                  <c:v>1.2222053968018198</c:v>
                </c:pt>
                <c:pt idx="6">
                  <c:v>1.6340642738265678</c:v>
                </c:pt>
                <c:pt idx="7">
                  <c:v>2.0686064318313768</c:v>
                </c:pt>
                <c:pt idx="8">
                  <c:v>2.4943501200226024</c:v>
                </c:pt>
                <c:pt idx="9">
                  <c:v>2.8905422532916676</c:v>
                </c:pt>
                <c:pt idx="10">
                  <c:v>3.3122566726467553</c:v>
                </c:pt>
                <c:pt idx="11">
                  <c:v>3.6930234860895319</c:v>
                </c:pt>
                <c:pt idx="12">
                  <c:v>4.0628695237932506</c:v>
                </c:pt>
                <c:pt idx="13">
                  <c:v>4.4170063649426039</c:v>
                </c:pt>
                <c:pt idx="14">
                  <c:v>4.7590254183180782</c:v>
                </c:pt>
                <c:pt idx="15">
                  <c:v>5.0795810596396374</c:v>
                </c:pt>
                <c:pt idx="16">
                  <c:v>5.3835820485756196</c:v>
                </c:pt>
                <c:pt idx="17">
                  <c:v>5.6698951771539381</c:v>
                </c:pt>
                <c:pt idx="18">
                  <c:v>5.9455414422275528</c:v>
                </c:pt>
                <c:pt idx="19">
                  <c:v>6.2080680921161147</c:v>
                </c:pt>
                <c:pt idx="20">
                  <c:v>6.4534814920550811</c:v>
                </c:pt>
                <c:pt idx="21">
                  <c:v>6.6871542542864573</c:v>
                </c:pt>
                <c:pt idx="22">
                  <c:v>6.9061012586566903</c:v>
                </c:pt>
                <c:pt idx="23">
                  <c:v>7.1180502263846135</c:v>
                </c:pt>
                <c:pt idx="24">
                  <c:v>7.3334819708042671</c:v>
                </c:pt>
                <c:pt idx="25">
                  <c:v>7.5206809740666625</c:v>
                </c:pt>
                <c:pt idx="26">
                  <c:v>7.6985459353313725</c:v>
                </c:pt>
                <c:pt idx="27">
                  <c:v>7.8803068831475764</c:v>
                </c:pt>
                <c:pt idx="28">
                  <c:v>8.0527793739148912</c:v>
                </c:pt>
                <c:pt idx="29">
                  <c:v>8.2116878043622599</c:v>
                </c:pt>
                <c:pt idx="30">
                  <c:v>8.367475305527309</c:v>
                </c:pt>
                <c:pt idx="31">
                  <c:v>8.5127593817922005</c:v>
                </c:pt>
                <c:pt idx="32">
                  <c:v>8.645124449697585</c:v>
                </c:pt>
                <c:pt idx="33">
                  <c:v>8.7842219576435863</c:v>
                </c:pt>
                <c:pt idx="34">
                  <c:v>8.9223441035857594</c:v>
                </c:pt>
                <c:pt idx="35">
                  <c:v>9.0361235071195694</c:v>
                </c:pt>
                <c:pt idx="36">
                  <c:v>9.1465875584274823</c:v>
                </c:pt>
                <c:pt idx="37">
                  <c:v>9.2516541974278628</c:v>
                </c:pt>
                <c:pt idx="38">
                  <c:v>9.3730939988423625</c:v>
                </c:pt>
                <c:pt idx="39">
                  <c:v>9.4819994424332918</c:v>
                </c:pt>
                <c:pt idx="40">
                  <c:v>9.5868111493963344</c:v>
                </c:pt>
                <c:pt idx="41">
                  <c:v>9.683344526435226</c:v>
                </c:pt>
                <c:pt idx="42">
                  <c:v>9.7868626500569231</c:v>
                </c:pt>
                <c:pt idx="43">
                  <c:v>9.8709015235327904</c:v>
                </c:pt>
                <c:pt idx="44">
                  <c:v>9.9663826035013887</c:v>
                </c:pt>
                <c:pt idx="45">
                  <c:v>10.052717316508829</c:v>
                </c:pt>
                <c:pt idx="46">
                  <c:v>10.136767533677043</c:v>
                </c:pt>
                <c:pt idx="47">
                  <c:v>10.213542087765369</c:v>
                </c:pt>
                <c:pt idx="48">
                  <c:v>10.289073566526939</c:v>
                </c:pt>
                <c:pt idx="49">
                  <c:v>10.371807698347697</c:v>
                </c:pt>
                <c:pt idx="50">
                  <c:v>10.443902599085398</c:v>
                </c:pt>
                <c:pt idx="51">
                  <c:v>10.513637148141836</c:v>
                </c:pt>
                <c:pt idx="52">
                  <c:v>10.57979506168064</c:v>
                </c:pt>
                <c:pt idx="53">
                  <c:v>10.648148567015808</c:v>
                </c:pt>
                <c:pt idx="54">
                  <c:v>10.763565463099756</c:v>
                </c:pt>
                <c:pt idx="55">
                  <c:v>11.384381291426601</c:v>
                </c:pt>
                <c:pt idx="56">
                  <c:v>12.05804401027633</c:v>
                </c:pt>
                <c:pt idx="57">
                  <c:v>12.673158768584273</c:v>
                </c:pt>
                <c:pt idx="58">
                  <c:v>13.181563534840999</c:v>
                </c:pt>
                <c:pt idx="59">
                  <c:v>13.584938154380543</c:v>
                </c:pt>
                <c:pt idx="60">
                  <c:v>13.927373622278962</c:v>
                </c:pt>
                <c:pt idx="61">
                  <c:v>14.228316011926308</c:v>
                </c:pt>
                <c:pt idx="62">
                  <c:v>14.474834995416627</c:v>
                </c:pt>
                <c:pt idx="63">
                  <c:v>14.709569825871526</c:v>
                </c:pt>
                <c:pt idx="64">
                  <c:v>14.891023711988227</c:v>
                </c:pt>
                <c:pt idx="65">
                  <c:v>15.072784535442642</c:v>
                </c:pt>
                <c:pt idx="66">
                  <c:v>15.231259221958492</c:v>
                </c:pt>
                <c:pt idx="67">
                  <c:v>15.37172688295666</c:v>
                </c:pt>
                <c:pt idx="68">
                  <c:v>15.504923437693501</c:v>
                </c:pt>
                <c:pt idx="69">
                  <c:v>15.630785178572111</c:v>
                </c:pt>
                <c:pt idx="70">
                  <c:v>15.744894445653729</c:v>
                </c:pt>
                <c:pt idx="71">
                  <c:v>16.01141533040969</c:v>
                </c:pt>
                <c:pt idx="72">
                  <c:v>16.270678068754702</c:v>
                </c:pt>
                <c:pt idx="73">
                  <c:v>16.495018046913753</c:v>
                </c:pt>
                <c:pt idx="74">
                  <c:v>16.682236964637458</c:v>
                </c:pt>
                <c:pt idx="75">
                  <c:v>16.819836835004811</c:v>
                </c:pt>
                <c:pt idx="76">
                  <c:v>16.947953603990154</c:v>
                </c:pt>
                <c:pt idx="77">
                  <c:v>17.057209226590405</c:v>
                </c:pt>
                <c:pt idx="78">
                  <c:v>17.159198424723517</c:v>
                </c:pt>
                <c:pt idx="79">
                  <c:v>17.249976994170883</c:v>
                </c:pt>
                <c:pt idx="80">
                  <c:v>17.333168494574203</c:v>
                </c:pt>
                <c:pt idx="81">
                  <c:v>17.413428397603166</c:v>
                </c:pt>
                <c:pt idx="82">
                  <c:v>17.484858101438935</c:v>
                </c:pt>
                <c:pt idx="83">
                  <c:v>17.553391803277631</c:v>
                </c:pt>
                <c:pt idx="84">
                  <c:v>17.619736169075249</c:v>
                </c:pt>
                <c:pt idx="85">
                  <c:v>17.681212078570777</c:v>
                </c:pt>
                <c:pt idx="86">
                  <c:v>17.740309669736774</c:v>
                </c:pt>
                <c:pt idx="87">
                  <c:v>17.79697131566088</c:v>
                </c:pt>
                <c:pt idx="88">
                  <c:v>17.850814067353099</c:v>
                </c:pt>
                <c:pt idx="89">
                  <c:v>17.901502991638804</c:v>
                </c:pt>
                <c:pt idx="90">
                  <c:v>17.951605005937818</c:v>
                </c:pt>
                <c:pt idx="91">
                  <c:v>17.999813913408154</c:v>
                </c:pt>
                <c:pt idx="92">
                  <c:v>18.04642172290448</c:v>
                </c:pt>
                <c:pt idx="93">
                  <c:v>18.090620587796913</c:v>
                </c:pt>
                <c:pt idx="94">
                  <c:v>18.134252206165865</c:v>
                </c:pt>
                <c:pt idx="95">
                  <c:v>18.175601419072134</c:v>
                </c:pt>
                <c:pt idx="96">
                  <c:v>18.216093140797611</c:v>
                </c:pt>
                <c:pt idx="97">
                  <c:v>18.25548355025386</c:v>
                </c:pt>
                <c:pt idx="98">
                  <c:v>18.293734034205801</c:v>
                </c:pt>
                <c:pt idx="99">
                  <c:v>18.32987171863412</c:v>
                </c:pt>
                <c:pt idx="100">
                  <c:v>18.365320967294753</c:v>
                </c:pt>
                <c:pt idx="101">
                  <c:v>18.402445821524775</c:v>
                </c:pt>
                <c:pt idx="102">
                  <c:v>18.435409257390596</c:v>
                </c:pt>
                <c:pt idx="103">
                  <c:v>18.469297989423183</c:v>
                </c:pt>
                <c:pt idx="104">
                  <c:v>18.501476186565988</c:v>
                </c:pt>
                <c:pt idx="105">
                  <c:v>18.532018374533177</c:v>
                </c:pt>
                <c:pt idx="106">
                  <c:v>18.562502653819429</c:v>
                </c:pt>
                <c:pt idx="107">
                  <c:v>18.59262292417662</c:v>
                </c:pt>
                <c:pt idx="108">
                  <c:v>18.622046128224277</c:v>
                </c:pt>
                <c:pt idx="109">
                  <c:v>18.651675567233827</c:v>
                </c:pt>
                <c:pt idx="110">
                  <c:v>18.679136530180269</c:v>
                </c:pt>
                <c:pt idx="111">
                  <c:v>18.706375787499315</c:v>
                </c:pt>
                <c:pt idx="112">
                  <c:v>18.733308184000286</c:v>
                </c:pt>
                <c:pt idx="113">
                  <c:v>18.759496771950403</c:v>
                </c:pt>
                <c:pt idx="114">
                  <c:v>18.784928928472642</c:v>
                </c:pt>
                <c:pt idx="115">
                  <c:v>18.809985276643072</c:v>
                </c:pt>
                <c:pt idx="116">
                  <c:v>18.83456184265081</c:v>
                </c:pt>
                <c:pt idx="117">
                  <c:v>18.858884840533804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</c:numCache>
            </c:numRef>
          </c:xVal>
          <c:yVal>
            <c:numRef>
              <c:f>THOMfitedt_196!$N$305:$N$500</c:f>
              <c:numCache>
                <c:formatCode>General</c:formatCode>
                <c:ptCount val="196"/>
                <c:pt idx="0">
                  <c:v>1.54</c:v>
                </c:pt>
                <c:pt idx="1">
                  <c:v>1.81</c:v>
                </c:pt>
                <c:pt idx="2">
                  <c:v>1.95</c:v>
                </c:pt>
                <c:pt idx="3">
                  <c:v>2.16</c:v>
                </c:pt>
                <c:pt idx="4">
                  <c:v>2.35</c:v>
                </c:pt>
                <c:pt idx="5">
                  <c:v>2.57</c:v>
                </c:pt>
                <c:pt idx="6">
                  <c:v>2.81</c:v>
                </c:pt>
                <c:pt idx="7">
                  <c:v>3.08</c:v>
                </c:pt>
                <c:pt idx="8">
                  <c:v>3.37</c:v>
                </c:pt>
                <c:pt idx="9">
                  <c:v>3.67</c:v>
                </c:pt>
                <c:pt idx="10">
                  <c:v>4.03</c:v>
                </c:pt>
                <c:pt idx="11">
                  <c:v>4.4000000000000004</c:v>
                </c:pt>
                <c:pt idx="12">
                  <c:v>4.8099999999999996</c:v>
                </c:pt>
                <c:pt idx="13">
                  <c:v>5.26</c:v>
                </c:pt>
                <c:pt idx="14">
                  <c:v>5.76</c:v>
                </c:pt>
                <c:pt idx="15">
                  <c:v>6.3</c:v>
                </c:pt>
                <c:pt idx="16">
                  <c:v>6.89</c:v>
                </c:pt>
                <c:pt idx="17">
                  <c:v>7.53</c:v>
                </c:pt>
                <c:pt idx="18">
                  <c:v>8.24</c:v>
                </c:pt>
                <c:pt idx="19">
                  <c:v>9.02</c:v>
                </c:pt>
                <c:pt idx="20">
                  <c:v>9.86</c:v>
                </c:pt>
                <c:pt idx="21">
                  <c:v>10.78</c:v>
                </c:pt>
                <c:pt idx="22">
                  <c:v>11.77</c:v>
                </c:pt>
                <c:pt idx="23">
                  <c:v>12.87</c:v>
                </c:pt>
                <c:pt idx="24">
                  <c:v>14.16</c:v>
                </c:pt>
                <c:pt idx="25">
                  <c:v>15.45</c:v>
                </c:pt>
                <c:pt idx="26">
                  <c:v>16.850000000000001</c:v>
                </c:pt>
                <c:pt idx="27">
                  <c:v>18.489999999999998</c:v>
                </c:pt>
                <c:pt idx="28">
                  <c:v>20.28</c:v>
                </c:pt>
                <c:pt idx="29">
                  <c:v>22.17</c:v>
                </c:pt>
                <c:pt idx="30">
                  <c:v>24.29</c:v>
                </c:pt>
                <c:pt idx="31">
                  <c:v>26.55</c:v>
                </c:pt>
                <c:pt idx="32">
                  <c:v>28.89</c:v>
                </c:pt>
                <c:pt idx="33">
                  <c:v>31.69</c:v>
                </c:pt>
                <c:pt idx="34">
                  <c:v>34.880000000000003</c:v>
                </c:pt>
                <c:pt idx="35">
                  <c:v>37.869999999999997</c:v>
                </c:pt>
                <c:pt idx="36">
                  <c:v>41.14</c:v>
                </c:pt>
                <c:pt idx="37">
                  <c:v>44.64</c:v>
                </c:pt>
                <c:pt idx="38">
                  <c:v>49.24</c:v>
                </c:pt>
                <c:pt idx="39">
                  <c:v>53.96</c:v>
                </c:pt>
                <c:pt idx="40">
                  <c:v>59.13</c:v>
                </c:pt>
                <c:pt idx="41">
                  <c:v>64.53</c:v>
                </c:pt>
                <c:pt idx="42">
                  <c:v>71.12</c:v>
                </c:pt>
                <c:pt idx="43">
                  <c:v>77.180000000000007</c:v>
                </c:pt>
                <c:pt idx="44">
                  <c:v>84.97</c:v>
                </c:pt>
                <c:pt idx="45">
                  <c:v>92.98</c:v>
                </c:pt>
                <c:pt idx="46">
                  <c:v>101.81</c:v>
                </c:pt>
                <c:pt idx="47">
                  <c:v>110.91</c:v>
                </c:pt>
                <c:pt idx="48">
                  <c:v>120.98</c:v>
                </c:pt>
                <c:pt idx="49">
                  <c:v>133.49</c:v>
                </c:pt>
                <c:pt idx="50">
                  <c:v>145.86000000000001</c:v>
                </c:pt>
                <c:pt idx="51">
                  <c:v>159.34</c:v>
                </c:pt>
                <c:pt idx="52">
                  <c:v>173.72</c:v>
                </c:pt>
                <c:pt idx="53">
                  <c:v>190.46</c:v>
                </c:pt>
                <c:pt idx="54">
                  <c:v>207.72</c:v>
                </c:pt>
                <c:pt idx="55">
                  <c:v>229.21</c:v>
                </c:pt>
                <c:pt idx="56">
                  <c:v>250.12</c:v>
                </c:pt>
                <c:pt idx="57">
                  <c:v>273.99</c:v>
                </c:pt>
                <c:pt idx="58">
                  <c:v>300.2</c:v>
                </c:pt>
                <c:pt idx="59">
                  <c:v>327.71</c:v>
                </c:pt>
                <c:pt idx="60">
                  <c:v>358.1</c:v>
                </c:pt>
                <c:pt idx="61">
                  <c:v>392.54</c:v>
                </c:pt>
                <c:pt idx="62">
                  <c:v>428.32</c:v>
                </c:pt>
                <c:pt idx="63">
                  <c:v>471.12</c:v>
                </c:pt>
                <c:pt idx="64">
                  <c:v>512</c:v>
                </c:pt>
                <c:pt idx="65">
                  <c:v>561.94000000000005</c:v>
                </c:pt>
                <c:pt idx="66">
                  <c:v>614.97</c:v>
                </c:pt>
                <c:pt idx="67">
                  <c:v>671.44</c:v>
                </c:pt>
                <c:pt idx="68">
                  <c:v>735.37</c:v>
                </c:pt>
                <c:pt idx="69">
                  <c:v>807.43</c:v>
                </c:pt>
                <c:pt idx="70">
                  <c:v>883.16</c:v>
                </c:pt>
                <c:pt idx="71">
                  <c:v>965.85</c:v>
                </c:pt>
                <c:pt idx="72">
                  <c:v>1048.8800000000001</c:v>
                </c:pt>
                <c:pt idx="73">
                  <c:v>1148.8499999999999</c:v>
                </c:pt>
                <c:pt idx="74">
                  <c:v>1264.97</c:v>
                </c:pt>
                <c:pt idx="75">
                  <c:v>1377.45</c:v>
                </c:pt>
                <c:pt idx="76">
                  <c:v>1509.84</c:v>
                </c:pt>
                <c:pt idx="77">
                  <c:v>1649.69</c:v>
                </c:pt>
                <c:pt idx="78">
                  <c:v>1808.4</c:v>
                </c:pt>
                <c:pt idx="79">
                  <c:v>1977.94</c:v>
                </c:pt>
                <c:pt idx="80">
                  <c:v>2161.91</c:v>
                </c:pt>
                <c:pt idx="81">
                  <c:v>2370.84</c:v>
                </c:pt>
                <c:pt idx="82">
                  <c:v>2588.0300000000002</c:v>
                </c:pt>
                <c:pt idx="83">
                  <c:v>2829.52</c:v>
                </c:pt>
                <c:pt idx="84">
                  <c:v>3100.06</c:v>
                </c:pt>
                <c:pt idx="85">
                  <c:v>3389.06</c:v>
                </c:pt>
                <c:pt idx="86">
                  <c:v>3707.98</c:v>
                </c:pt>
                <c:pt idx="87">
                  <c:v>4058.34</c:v>
                </c:pt>
                <c:pt idx="88">
                  <c:v>4438.8100000000004</c:v>
                </c:pt>
                <c:pt idx="89">
                  <c:v>4846.57</c:v>
                </c:pt>
                <c:pt idx="90">
                  <c:v>5304.81</c:v>
                </c:pt>
                <c:pt idx="91">
                  <c:v>5806.16</c:v>
                </c:pt>
                <c:pt idx="92">
                  <c:v>6356.54</c:v>
                </c:pt>
                <c:pt idx="93">
                  <c:v>6947.83</c:v>
                </c:pt>
                <c:pt idx="94">
                  <c:v>7608.42</c:v>
                </c:pt>
                <c:pt idx="95">
                  <c:v>8316.11</c:v>
                </c:pt>
                <c:pt idx="96">
                  <c:v>9098.23</c:v>
                </c:pt>
                <c:pt idx="97">
                  <c:v>9956.81</c:v>
                </c:pt>
                <c:pt idx="98">
                  <c:v>10897.03</c:v>
                </c:pt>
                <c:pt idx="99">
                  <c:v>11896.33</c:v>
                </c:pt>
                <c:pt idx="100">
                  <c:v>12997.05</c:v>
                </c:pt>
                <c:pt idx="101">
                  <c:v>14297.04</c:v>
                </c:pt>
                <c:pt idx="102">
                  <c:v>15596.46</c:v>
                </c:pt>
                <c:pt idx="103">
                  <c:v>17096.099999999999</c:v>
                </c:pt>
                <c:pt idx="104">
                  <c:v>18696.13</c:v>
                </c:pt>
                <c:pt idx="105">
                  <c:v>20396.48</c:v>
                </c:pt>
                <c:pt idx="106">
                  <c:v>22295.17</c:v>
                </c:pt>
                <c:pt idx="107">
                  <c:v>24397.05</c:v>
                </c:pt>
                <c:pt idx="108">
                  <c:v>26698.03</c:v>
                </c:pt>
                <c:pt idx="109">
                  <c:v>29298.26</c:v>
                </c:pt>
                <c:pt idx="110">
                  <c:v>31997.98</c:v>
                </c:pt>
                <c:pt idx="111">
                  <c:v>34990.199999999997</c:v>
                </c:pt>
                <c:pt idx="112">
                  <c:v>38299.26</c:v>
                </c:pt>
                <c:pt idx="113">
                  <c:v>41897.74</c:v>
                </c:pt>
                <c:pt idx="114">
                  <c:v>45801.39</c:v>
                </c:pt>
                <c:pt idx="115">
                  <c:v>50095.74</c:v>
                </c:pt>
                <c:pt idx="116">
                  <c:v>54799.33</c:v>
                </c:pt>
                <c:pt idx="117">
                  <c:v>59999.26</c:v>
                </c:pt>
                <c:pt idx="118">
                  <c:v>59999.26</c:v>
                </c:pt>
                <c:pt idx="119">
                  <c:v>59999.26</c:v>
                </c:pt>
                <c:pt idx="120">
                  <c:v>59999.26</c:v>
                </c:pt>
                <c:pt idx="121">
                  <c:v>59999.26</c:v>
                </c:pt>
                <c:pt idx="122">
                  <c:v>59999.26</c:v>
                </c:pt>
                <c:pt idx="123">
                  <c:v>59999.26</c:v>
                </c:pt>
                <c:pt idx="124">
                  <c:v>59999.26</c:v>
                </c:pt>
                <c:pt idx="125">
                  <c:v>59999.26</c:v>
                </c:pt>
                <c:pt idx="126">
                  <c:v>59999.26</c:v>
                </c:pt>
                <c:pt idx="127">
                  <c:v>59999.26</c:v>
                </c:pt>
                <c:pt idx="128">
                  <c:v>59999.26</c:v>
                </c:pt>
                <c:pt idx="129">
                  <c:v>59999.26</c:v>
                </c:pt>
                <c:pt idx="130">
                  <c:v>59999.26</c:v>
                </c:pt>
                <c:pt idx="131">
                  <c:v>59999.26</c:v>
                </c:pt>
                <c:pt idx="132">
                  <c:v>59999.26</c:v>
                </c:pt>
                <c:pt idx="133">
                  <c:v>59999.26</c:v>
                </c:pt>
                <c:pt idx="134">
                  <c:v>59999.26</c:v>
                </c:pt>
                <c:pt idx="135">
                  <c:v>59999.26</c:v>
                </c:pt>
                <c:pt idx="136">
                  <c:v>59999.26</c:v>
                </c:pt>
                <c:pt idx="137">
                  <c:v>59999.26</c:v>
                </c:pt>
                <c:pt idx="138">
                  <c:v>59999.26</c:v>
                </c:pt>
                <c:pt idx="139">
                  <c:v>59999.26</c:v>
                </c:pt>
                <c:pt idx="140">
                  <c:v>59999.26</c:v>
                </c:pt>
                <c:pt idx="141">
                  <c:v>59999.26</c:v>
                </c:pt>
                <c:pt idx="142">
                  <c:v>59999.26</c:v>
                </c:pt>
                <c:pt idx="143">
                  <c:v>59999.26</c:v>
                </c:pt>
                <c:pt idx="144">
                  <c:v>59999.26</c:v>
                </c:pt>
                <c:pt idx="145">
                  <c:v>59999.26</c:v>
                </c:pt>
                <c:pt idx="146">
                  <c:v>59999.26</c:v>
                </c:pt>
                <c:pt idx="147">
                  <c:v>59999.26</c:v>
                </c:pt>
                <c:pt idx="148">
                  <c:v>59999.26</c:v>
                </c:pt>
                <c:pt idx="149">
                  <c:v>59999.26</c:v>
                </c:pt>
                <c:pt idx="150">
                  <c:v>59999.26</c:v>
                </c:pt>
                <c:pt idx="151">
                  <c:v>59999.26</c:v>
                </c:pt>
                <c:pt idx="152">
                  <c:v>59999.26</c:v>
                </c:pt>
                <c:pt idx="153">
                  <c:v>59999.26</c:v>
                </c:pt>
                <c:pt idx="154">
                  <c:v>59999.26</c:v>
                </c:pt>
                <c:pt idx="155">
                  <c:v>59999.26</c:v>
                </c:pt>
                <c:pt idx="156">
                  <c:v>59999.26</c:v>
                </c:pt>
                <c:pt idx="157">
                  <c:v>59999.26</c:v>
                </c:pt>
                <c:pt idx="158">
                  <c:v>59999.26</c:v>
                </c:pt>
                <c:pt idx="159">
                  <c:v>59999.26</c:v>
                </c:pt>
                <c:pt idx="160">
                  <c:v>59999.26</c:v>
                </c:pt>
                <c:pt idx="161">
                  <c:v>59999.26</c:v>
                </c:pt>
                <c:pt idx="162">
                  <c:v>59999.26</c:v>
                </c:pt>
                <c:pt idx="163">
                  <c:v>59999.26</c:v>
                </c:pt>
                <c:pt idx="164">
                  <c:v>59999.26</c:v>
                </c:pt>
                <c:pt idx="165">
                  <c:v>59999.26</c:v>
                </c:pt>
                <c:pt idx="166">
                  <c:v>59999.26</c:v>
                </c:pt>
                <c:pt idx="167">
                  <c:v>59999.26</c:v>
                </c:pt>
                <c:pt idx="168">
                  <c:v>59999.26</c:v>
                </c:pt>
                <c:pt idx="169">
                  <c:v>59999.26</c:v>
                </c:pt>
                <c:pt idx="170">
                  <c:v>59999.26</c:v>
                </c:pt>
                <c:pt idx="171">
                  <c:v>59999.26</c:v>
                </c:pt>
                <c:pt idx="172">
                  <c:v>59999.26</c:v>
                </c:pt>
                <c:pt idx="173">
                  <c:v>59999.26</c:v>
                </c:pt>
                <c:pt idx="174">
                  <c:v>59999.26</c:v>
                </c:pt>
                <c:pt idx="175">
                  <c:v>59999.26</c:v>
                </c:pt>
                <c:pt idx="176">
                  <c:v>59999.26</c:v>
                </c:pt>
                <c:pt idx="177">
                  <c:v>59999.26</c:v>
                </c:pt>
                <c:pt idx="178">
                  <c:v>59999.26</c:v>
                </c:pt>
                <c:pt idx="179">
                  <c:v>59999.26</c:v>
                </c:pt>
                <c:pt idx="180">
                  <c:v>59999.26</c:v>
                </c:pt>
                <c:pt idx="181">
                  <c:v>59999.26</c:v>
                </c:pt>
                <c:pt idx="182">
                  <c:v>59999.26</c:v>
                </c:pt>
                <c:pt idx="183">
                  <c:v>59999.26</c:v>
                </c:pt>
                <c:pt idx="184">
                  <c:v>59999.26</c:v>
                </c:pt>
                <c:pt idx="185">
                  <c:v>59999.26</c:v>
                </c:pt>
                <c:pt idx="186">
                  <c:v>59999.26</c:v>
                </c:pt>
                <c:pt idx="187">
                  <c:v>59999.26</c:v>
                </c:pt>
                <c:pt idx="188">
                  <c:v>59999.26</c:v>
                </c:pt>
                <c:pt idx="189">
                  <c:v>59999.26</c:v>
                </c:pt>
                <c:pt idx="190">
                  <c:v>59999.26</c:v>
                </c:pt>
                <c:pt idx="191">
                  <c:v>59999.26</c:v>
                </c:pt>
                <c:pt idx="192">
                  <c:v>59999.26</c:v>
                </c:pt>
                <c:pt idx="193">
                  <c:v>59999.26</c:v>
                </c:pt>
                <c:pt idx="194">
                  <c:v>59999.26</c:v>
                </c:pt>
                <c:pt idx="195">
                  <c:v>59999.26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THOMfitedt_196!$D$3</c:f>
              <c:strCache>
                <c:ptCount val="1"/>
                <c:pt idx="0">
                  <c:v>Closure Correction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THOMfitedt_196!$D$4</c:f>
              <c:numCache>
                <c:formatCode>0.00</c:formatCode>
                <c:ptCount val="1"/>
                <c:pt idx="0">
                  <c:v>0.2</c:v>
                </c:pt>
              </c:numCache>
            </c:numRef>
          </c:xVal>
          <c:yVal>
            <c:numRef>
              <c:f>THOMfitedt_196!$D$5</c:f>
              <c:numCache>
                <c:formatCode>0.0</c:formatCode>
                <c:ptCount val="1"/>
                <c:pt idx="0">
                  <c:v>1.81</c:v>
                </c:pt>
              </c:numCache>
            </c:numRef>
          </c:yVal>
          <c:smooth val="0"/>
        </c:ser>
        <c:ser>
          <c:idx val="9"/>
          <c:order val="9"/>
          <c:tx>
            <c:v>Swanson Point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12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THOMfitedt_196!$O$6</c:f>
              <c:numCache>
                <c:formatCode>0.0</c:formatCode>
                <c:ptCount val="1"/>
                <c:pt idx="0">
                  <c:v>4.1186356055976221</c:v>
                </c:pt>
              </c:numCache>
            </c:numRef>
          </c:xVal>
          <c:yVal>
            <c:numRef>
              <c:f>THOMfitedt_196!$M$6</c:f>
              <c:numCache>
                <c:formatCode>@</c:formatCode>
                <c:ptCount val="1"/>
                <c:pt idx="0">
                  <c:v>4.8099999999999996</c:v>
                </c:pt>
              </c:numCache>
            </c:numRef>
          </c:yVal>
          <c:smooth val="0"/>
        </c:ser>
        <c:ser>
          <c:idx val="10"/>
          <c:order val="10"/>
          <c:tx>
            <c:v>Xducer Switch Splice</c:v>
          </c:tx>
          <c:spPr>
            <a:ln>
              <a:noFill/>
            </a:ln>
          </c:spPr>
          <c:marker>
            <c:symbol val="square"/>
            <c:size val="20"/>
            <c:spPr>
              <a:solidFill>
                <a:schemeClr val="tx2">
                  <a:lumMod val="60000"/>
                  <a:lumOff val="40000"/>
                  <a:alpha val="40000"/>
                </a:schemeClr>
              </a:solidFill>
              <a:ln>
                <a:noFill/>
              </a:ln>
            </c:spPr>
          </c:marker>
          <c:xVal>
            <c:numRef>
              <c:f>THOMfitedt_196!$T$305:$T$309</c:f>
              <c:numCache>
                <c:formatCode>0.00000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xVal>
          <c:yVal>
            <c:numRef>
              <c:f>THOMfitedt_196!$S$305:$S$309</c:f>
              <c:numCache>
                <c:formatCode>General</c:formatCode>
                <c:ptCount val="5"/>
                <c:pt idx="0">
                  <c:v>26.55</c:v>
                </c:pt>
                <c:pt idx="1">
                  <c:v>28.89</c:v>
                </c:pt>
                <c:pt idx="2">
                  <c:v>31.69</c:v>
                </c:pt>
                <c:pt idx="3">
                  <c:v>34.880000000000003</c:v>
                </c:pt>
                <c:pt idx="4">
                  <c:v>37.869999999999997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89096"/>
        <c:axId val="248989488"/>
      </c:scatterChart>
      <c:valAx>
        <c:axId val="248989096"/>
        <c:scaling>
          <c:logBase val="10"/>
          <c:orientation val="maxMin"/>
          <c:max val="100"/>
          <c:min val="0.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%BV occ</a:t>
                </a:r>
              </a:p>
            </c:rich>
          </c:tx>
          <c:layout>
            <c:manualLayout>
              <c:xMode val="edge"/>
              <c:yMode val="edge"/>
              <c:x val="0.33832919999173333"/>
              <c:y val="0.919158289502349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48989488"/>
        <c:crosses val="autoZero"/>
        <c:crossBetween val="midCat"/>
        <c:majorUnit val="10"/>
      </c:valAx>
      <c:valAx>
        <c:axId val="248989488"/>
        <c:scaling>
          <c:logBase val="10"/>
          <c:orientation val="minMax"/>
          <c:max val="100000"/>
          <c:min val="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489890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677217021100713"/>
          <c:y val="0.69846928718890378"/>
          <c:w val="0.12992136317605962"/>
          <c:h val="0.26383995725830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"/>
          <a:ea typeface="Helv"/>
          <a:cs typeface="Helv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THOMfitedt_196!$AO$10:$AO$44</c:f>
          <c:strCache>
            <c:ptCount val="35"/>
            <c:pt idx="0">
              <c:v>SAMPLE NO.:</c:v>
            </c:pt>
            <c:pt idx="1">
              <c:v>Example</c:v>
            </c:pt>
            <c:pt idx="2">
              <c:v>Description:</c:v>
            </c:pt>
            <c:pt idx="3">
              <c:v>Clerke GeoArabia 2008 Trimodal</c:v>
            </c:pt>
            <c:pt idx="4">
              <c:v>Phi:</c:v>
            </c:pt>
            <c:pt idx="5">
              <c:v>23.9</c:v>
            </c:pt>
            <c:pt idx="6">
              <c:v>BVTot:</c:v>
            </c:pt>
            <c:pt idx="7">
              <c:v>21.50</c:v>
            </c:pt>
            <c:pt idx="8">
              <c:v>Perm:</c:v>
            </c:pt>
            <c:pt idx="9">
              <c:v>948</c:v>
            </c:pt>
            <c:pt idx="10">
              <c:v>Buiting-Clerke Perm:</c:v>
            </c:pt>
            <c:pt idx="11">
              <c:v>987.1</c:v>
            </c:pt>
            <c:pt idx="12">
              <c:v>PORE SYSTEM 1:</c:v>
            </c:pt>
            <c:pt idx="13">
              <c:v>G1:</c:v>
            </c:pt>
            <c:pt idx="14">
              <c:v>0.74</c:v>
            </c:pt>
            <c:pt idx="15">
              <c:v>Pd1:</c:v>
            </c:pt>
            <c:pt idx="16">
              <c:v>1.30</c:v>
            </c:pt>
            <c:pt idx="17">
              <c:v>BV1:</c:v>
            </c:pt>
            <c:pt idx="18">
              <c:v>15.00</c:v>
            </c:pt>
            <c:pt idx="19">
              <c:v>Closure Corr:</c:v>
            </c:pt>
            <c:pt idx="20">
              <c:v>0.20</c:v>
            </c:pt>
            <c:pt idx="21">
              <c:v>PORE SYSTEM 2:</c:v>
            </c:pt>
            <c:pt idx="22">
              <c:v>G2:</c:v>
            </c:pt>
            <c:pt idx="23">
              <c:v>0.18</c:v>
            </c:pt>
            <c:pt idx="24">
              <c:v>Pd2:</c:v>
            </c:pt>
            <c:pt idx="25">
              <c:v>190.00</c:v>
            </c:pt>
            <c:pt idx="26">
              <c:v>BV2:</c:v>
            </c:pt>
            <c:pt idx="27">
              <c:v>5.50</c:v>
            </c:pt>
            <c:pt idx="28">
              <c:v>PORE SYSTEM 3:</c:v>
            </c:pt>
            <c:pt idx="29">
              <c:v>G3:</c:v>
            </c:pt>
            <c:pt idx="30">
              <c:v>0.10</c:v>
            </c:pt>
            <c:pt idx="31">
              <c:v>Pd3:</c:v>
            </c:pt>
            <c:pt idx="32">
              <c:v>850.00</c:v>
            </c:pt>
            <c:pt idx="33">
              <c:v>BV3:</c:v>
            </c:pt>
            <c:pt idx="34">
              <c:v>1.00</c:v>
            </c:pt>
          </c:strCache>
        </c:strRef>
      </c:tx>
      <c:layout>
        <c:manualLayout>
          <c:xMode val="edge"/>
          <c:yMode val="edge"/>
          <c:x val="0.1118760322312955"/>
          <c:y val="0.118930667498771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33916518453322E-2"/>
          <c:y val="0.25296152060414828"/>
          <c:w val="0.86008995526407495"/>
          <c:h val="0.664813643556288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THOMfitedt_196!$AG$9</c:f>
              <c:strCache>
                <c:ptCount val="1"/>
                <c:pt idx="0">
                  <c:v>delta %Bvocc corr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x"/>
            <c:errBarType val="both"/>
            <c:errValType val="percentage"/>
            <c:noEndCap val="0"/>
            <c:val val="1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4.0000000000000001E-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THOMfitedt_196!$AE$10:$AE$205</c:f>
              <c:numCache>
                <c:formatCode>0.0000</c:formatCode>
                <c:ptCount val="196"/>
                <c:pt idx="0">
                  <c:v>138.34553438340964</c:v>
                </c:pt>
                <c:pt idx="1">
                  <c:v>117.70835522124356</c:v>
                </c:pt>
                <c:pt idx="2">
                  <c:v>109.25749894894915</c:v>
                </c:pt>
                <c:pt idx="3">
                  <c:v>98.6352421066902</c:v>
                </c:pt>
                <c:pt idx="4">
                  <c:v>90.660477851255678</c:v>
                </c:pt>
                <c:pt idx="5">
                  <c:v>82.899658735583984</c:v>
                </c:pt>
                <c:pt idx="6">
                  <c:v>75.819260836459378</c:v>
                </c:pt>
                <c:pt idx="7">
                  <c:v>69.172767191704821</c:v>
                </c:pt>
                <c:pt idx="8">
                  <c:v>63.22021452535634</c:v>
                </c:pt>
                <c:pt idx="9">
                  <c:v>58.05234957777953</c:v>
                </c:pt>
                <c:pt idx="10">
                  <c:v>52.866531749491529</c:v>
                </c:pt>
                <c:pt idx="11">
                  <c:v>48.420937034193379</c:v>
                </c:pt>
                <c:pt idx="12">
                  <c:v>44.293580654979394</c:v>
                </c:pt>
                <c:pt idx="13">
                  <c:v>40.504205884116139</c:v>
                </c:pt>
                <c:pt idx="14">
                  <c:v>36.98821579000883</c:v>
                </c:pt>
                <c:pt idx="15">
                  <c:v>33.817797293722357</c:v>
                </c:pt>
                <c:pt idx="16">
                  <c:v>30.921933664796935</c:v>
                </c:pt>
                <c:pt idx="17">
                  <c:v>28.293774628213924</c:v>
                </c:pt>
                <c:pt idx="18">
                  <c:v>25.855840163889667</c:v>
                </c:pt>
                <c:pt idx="19">
                  <c:v>23.619969284972381</c:v>
                </c:pt>
                <c:pt idx="20">
                  <c:v>21.607720380370271</c:v>
                </c:pt>
                <c:pt idx="21">
                  <c:v>19.763647769058522</c:v>
                </c:pt>
                <c:pt idx="22">
                  <c:v>18.101284872595656</c:v>
                </c:pt>
                <c:pt idx="23" formatCode="0.00E+00">
                  <c:v>16.554166507416539</c:v>
                </c:pt>
                <c:pt idx="24" formatCode="0.00E+00">
                  <c:v>15.046053880681557</c:v>
                </c:pt>
                <c:pt idx="25" formatCode="0.00E+00">
                  <c:v>13.789781420741155</c:v>
                </c:pt>
                <c:pt idx="26" formatCode="0.00E+00">
                  <c:v>12.644042905071268</c:v>
                </c:pt>
                <c:pt idx="27" formatCode="0.00E+00">
                  <c:v>11.522559380770733</c:v>
                </c:pt>
                <c:pt idx="28" formatCode="0.00E+00">
                  <c:v>10.505528745091265</c:v>
                </c:pt>
                <c:pt idx="29" formatCode="0.00E+00">
                  <c:v>9.6099288656044575</c:v>
                </c:pt>
                <c:pt idx="30" formatCode="0.00E+00">
                  <c:v>8.7711866179683362</c:v>
                </c:pt>
                <c:pt idx="31" formatCode="0.00E+00">
                  <c:v>8.0245620696968309</c:v>
                </c:pt>
                <c:pt idx="32" formatCode="0.00E+00">
                  <c:v>7.3745975406871178</c:v>
                </c:pt>
                <c:pt idx="33" formatCode="0.00E+00">
                  <c:v>6.7230079820274806</c:v>
                </c:pt>
                <c:pt idx="34" formatCode="0.00E+00">
                  <c:v>6.1081457267904478</c:v>
                </c:pt>
                <c:pt idx="35" formatCode="0.00E+00">
                  <c:v>5.6258812503419824</c:v>
                </c:pt>
                <c:pt idx="36" formatCode="0.00E+00">
                  <c:v>5.1787098432292389</c:v>
                </c:pt>
                <c:pt idx="37" formatCode="0.00E+00">
                  <c:v>4.7726730051624298</c:v>
                </c:pt>
                <c:pt idx="38" formatCode="0.00E+00">
                  <c:v>4.3268099705615528</c:v>
                </c:pt>
                <c:pt idx="39" formatCode="0.00E+00">
                  <c:v>3.9483343763982734</c:v>
                </c:pt>
                <c:pt idx="40" formatCode="0.00E+00">
                  <c:v>3.6031138669110576</c:v>
                </c:pt>
                <c:pt idx="41" formatCode="0.00E+00">
                  <c:v>3.3015980621486261</c:v>
                </c:pt>
                <c:pt idx="42" formatCode="0.00E+00">
                  <c:v>2.9956710201132006</c:v>
                </c:pt>
                <c:pt idx="43" formatCode="0.00E+00">
                  <c:v>2.7604576697389325</c:v>
                </c:pt>
                <c:pt idx="44" formatCode="0.00E+00">
                  <c:v>2.5073805219542291</c:v>
                </c:pt>
                <c:pt idx="45" formatCode="0.00E+00">
                  <c:v>2.2913758114696798</c:v>
                </c:pt>
                <c:pt idx="46" formatCode="0.00E+00">
                  <c:v>2.0926443664713763</c:v>
                </c:pt>
                <c:pt idx="47" formatCode="0.00E+00">
                  <c:v>1.9209460188481728</c:v>
                </c:pt>
                <c:pt idx="48" formatCode="0.00E+00">
                  <c:v>1.7610524297441799</c:v>
                </c:pt>
                <c:pt idx="49" formatCode="0.00E+00">
                  <c:v>1.5960156037939235</c:v>
                </c:pt>
                <c:pt idx="50" formatCode="0.00E+00">
                  <c:v>1.4606617506544002</c:v>
                </c:pt>
                <c:pt idx="51" formatCode="0.00E+00">
                  <c:v>1.337091269928774</c:v>
                </c:pt>
                <c:pt idx="52" formatCode="0.00E+00">
                  <c:v>1.2264110232008456</c:v>
                </c:pt>
                <c:pt idx="53" formatCode="0.00E+00">
                  <c:v>1.1186187280817539</c:v>
                </c:pt>
                <c:pt idx="54" formatCode="0.00E+00">
                  <c:v>1.0256697619413193</c:v>
                </c:pt>
                <c:pt idx="55" formatCode="0.00E+00">
                  <c:v>0.9295062298784994</c:v>
                </c:pt>
                <c:pt idx="56" formatCode="0.00E+00">
                  <c:v>0.8517996279803729</c:v>
                </c:pt>
                <c:pt idx="57" formatCode="0.00E+00">
                  <c:v>0.77759087174878938</c:v>
                </c:pt>
                <c:pt idx="58" formatCode="0.00E+00">
                  <c:v>0.7097006094285504</c:v>
                </c:pt>
                <c:pt idx="59" formatCode="0.00E+00">
                  <c:v>0.65012396005752304</c:v>
                </c:pt>
                <c:pt idx="60" formatCode="0.00E+00">
                  <c:v>0.59495147431011131</c:v>
                </c:pt>
                <c:pt idx="61" formatCode="0.00E+00">
                  <c:v>0.54275264419027569</c:v>
                </c:pt>
                <c:pt idx="62" formatCode="0.00E+00">
                  <c:v>0.49741343610023081</c:v>
                </c:pt>
                <c:pt idx="63" formatCode="0.00E+00">
                  <c:v>0.45222474730525314</c:v>
                </c:pt>
                <c:pt idx="64" formatCode="0.00E+00">
                  <c:v>0.41611742763759935</c:v>
                </c:pt>
                <c:pt idx="65" formatCode="0.00E+00">
                  <c:v>0.37913678141874724</c:v>
                </c:pt>
                <c:pt idx="66" formatCode="0.00E+00">
                  <c:v>0.34644311584378235</c:v>
                </c:pt>
                <c:pt idx="67" formatCode="0.00E+00">
                  <c:v>0.3173062715215817</c:v>
                </c:pt>
                <c:pt idx="68" formatCode="0.00E+00">
                  <c:v>0.28972098800665086</c:v>
                </c:pt>
                <c:pt idx="69" formatCode="0.00E+00">
                  <c:v>0.26386451203256117</c:v>
                </c:pt>
                <c:pt idx="70" formatCode="0.00E+00">
                  <c:v>0.24123841993574305</c:v>
                </c:pt>
                <c:pt idx="71" formatCode="0.00E+00">
                  <c:v>0.2205851042609627</c:v>
                </c:pt>
                <c:pt idx="72" formatCode="0.00E+00">
                  <c:v>0.20312344877436009</c:v>
                </c:pt>
                <c:pt idx="73" formatCode="0.00E+00">
                  <c:v>0.18544816377286055</c:v>
                </c:pt>
                <c:pt idx="74" formatCode="0.00E+00">
                  <c:v>0.16842464481406741</c:v>
                </c:pt>
                <c:pt idx="75" formatCode="0.00E+00">
                  <c:v>0.15467140219278439</c:v>
                </c:pt>
                <c:pt idx="76" formatCode="0.00E+00">
                  <c:v>0.14110907311400603</c:v>
                </c:pt>
                <c:pt idx="77" formatCode="0.00E+00">
                  <c:v>0.12914676269508263</c:v>
                </c:pt>
                <c:pt idx="78" formatCode="0.00E+00">
                  <c:v>0.11781249886665056</c:v>
                </c:pt>
                <c:pt idx="79" formatCode="0.00E+00">
                  <c:v>0.10771414853355049</c:v>
                </c:pt>
                <c:pt idx="80" formatCode="0.00E+00">
                  <c:v>9.8548100036750297E-2</c:v>
                </c:pt>
                <c:pt idx="81" formatCode="0.00E+00">
                  <c:v>8.9863560151866362E-2</c:v>
                </c:pt>
                <c:pt idx="82" formatCode="0.00E+00">
                  <c:v>8.2322122599216715E-2</c:v>
                </c:pt>
                <c:pt idx="83" formatCode="0.00E+00">
                  <c:v>7.5296206759609713E-2</c:v>
                </c:pt>
                <c:pt idx="84" formatCode="0.00E+00">
                  <c:v>6.8725161109930405E-2</c:v>
                </c:pt>
                <c:pt idx="85" formatCode="0.00E+00">
                  <c:v>6.2864665408830428E-2</c:v>
                </c:pt>
                <c:pt idx="86" formatCode="0.00E+00">
                  <c:v>5.7457732498678749E-2</c:v>
                </c:pt>
                <c:pt idx="87" formatCode="0.00E+00">
                  <c:v>5.2497356788847371E-2</c:v>
                </c:pt>
                <c:pt idx="88" formatCode="0.00E+00">
                  <c:v>4.7997576591575407E-2</c:v>
                </c:pt>
                <c:pt idx="89" formatCode="0.00E+00">
                  <c:v>4.3959361558886155E-2</c:v>
                </c:pt>
                <c:pt idx="90" formatCode="0.00E+00">
                  <c:v>4.016206479599662E-2</c:v>
                </c:pt>
                <c:pt idx="91" formatCode="0.00E+00">
                  <c:v>3.669415292559125E-2</c:v>
                </c:pt>
                <c:pt idx="92" formatCode="0.00E+00">
                  <c:v>3.3516995558975617E-2</c:v>
                </c:pt>
                <c:pt idx="93" formatCode="0.00E+00">
                  <c:v>3.0664556120465074E-2</c:v>
                </c:pt>
                <c:pt idx="94" formatCode="0.00E+00">
                  <c:v>2.8002150637116623E-2</c:v>
                </c:pt>
                <c:pt idx="95" formatCode="0.00E+00">
                  <c:v>2.5619204525968373E-2</c:v>
                </c:pt>
                <c:pt idx="96" formatCode="0.00E+00">
                  <c:v>2.3416875914375749E-2</c:v>
                </c:pt>
                <c:pt idx="97" formatCode="0.00E+00">
                  <c:v>2.1397628653198251E-2</c:v>
                </c:pt>
                <c:pt idx="98" formatCode="0.00E+00">
                  <c:v>1.9551393632067711E-2</c:v>
                </c:pt>
                <c:pt idx="99" formatCode="0.00E+00">
                  <c:v>1.7909062958950436E-2</c:v>
                </c:pt>
                <c:pt idx="100" formatCode="0.00E+00">
                  <c:v>1.6392344643626888E-2</c:v>
                </c:pt>
                <c:pt idx="101" formatCode="0.00E+00">
                  <c:v>1.4901834432193714E-2</c:v>
                </c:pt>
                <c:pt idx="102" formatCode="0.00E+00">
                  <c:v>1.3660287203022408E-2</c:v>
                </c:pt>
                <c:pt idx="103" formatCode="0.00E+00">
                  <c:v>1.2462030694161292E-2</c:v>
                </c:pt>
                <c:pt idx="104" formatCode="0.00E+00">
                  <c:v>1.1395519979292551E-2</c:v>
                </c:pt>
                <c:pt idx="105" formatCode="0.00E+00">
                  <c:v>1.0445533883809895E-2</c:v>
                </c:pt>
                <c:pt idx="106" formatCode="0.00E+00">
                  <c:v>9.5559766061640641E-3</c:v>
                </c:pt>
                <c:pt idx="107" formatCode="0.00E+00">
                  <c:v>8.7327001809829816E-3</c:v>
                </c:pt>
                <c:pt idx="108" formatCode="0.00E+00">
                  <c:v>7.9800690519282076E-3</c:v>
                </c:pt>
                <c:pt idx="109" formatCode="0.00E+00">
                  <c:v>7.2718353564495243E-3</c:v>
                </c:pt>
                <c:pt idx="110" formatCode="0.00E+00">
                  <c:v>6.6582991473352641E-3</c:v>
                </c:pt>
                <c:pt idx="111" formatCode="0.00E+00">
                  <c:v>6.0889084072240467E-3</c:v>
                </c:pt>
                <c:pt idx="112" formatCode="0.00E+00">
                  <c:v>5.5628260950851497E-3</c:v>
                </c:pt>
                <c:pt idx="113" formatCode="0.00E+00">
                  <c:v>5.085050481253902E-3</c:v>
                </c:pt>
                <c:pt idx="114" formatCode="0.00E+00">
                  <c:v>4.6516519029324403E-3</c:v>
                </c:pt>
                <c:pt idx="115" formatCode="0.00E+00">
                  <c:v>4.2528990079885205E-3</c:v>
                </c:pt>
                <c:pt idx="116" formatCode="0.00E+00">
                  <c:v>3.8878599966541715E-3</c:v>
                </c:pt>
                <c:pt idx="117" formatCode="0.00E+00">
                  <c:v>3.5509125104284762E-3</c:v>
                </c:pt>
              </c:numCache>
            </c:numRef>
          </c:xVal>
          <c:yVal>
            <c:numRef>
              <c:f>THOMfitedt_196!$AQ$10:$AQ$205</c:f>
              <c:numCache>
                <c:formatCode>General</c:formatCode>
                <c:ptCount val="196"/>
                <c:pt idx="0">
                  <c:v>1E-4</c:v>
                </c:pt>
                <c:pt idx="1">
                  <c:v>1E-4</c:v>
                </c:pt>
                <c:pt idx="2">
                  <c:v>6.7132099315316773E-2</c:v>
                </c:pt>
                <c:pt idx="3">
                  <c:v>0.31165411586786962</c:v>
                </c:pt>
                <c:pt idx="4">
                  <c:v>0.40069814897297534</c:v>
                </c:pt>
                <c:pt idx="5">
                  <c:v>0.53426419863063335</c:v>
                </c:pt>
                <c:pt idx="6">
                  <c:v>0.40069814897297529</c:v>
                </c:pt>
                <c:pt idx="7">
                  <c:v>0.4452201655255279</c:v>
                </c:pt>
                <c:pt idx="8">
                  <c:v>0.42295915724925193</c:v>
                </c:pt>
                <c:pt idx="9">
                  <c:v>0.40069814897297551</c:v>
                </c:pt>
                <c:pt idx="10">
                  <c:v>0.3784371406966982</c:v>
                </c:pt>
                <c:pt idx="11">
                  <c:v>0.37843714069669954</c:v>
                </c:pt>
                <c:pt idx="12">
                  <c:v>0.37843714069669865</c:v>
                </c:pt>
                <c:pt idx="13">
                  <c:v>0.35617613242042179</c:v>
                </c:pt>
                <c:pt idx="14">
                  <c:v>0.31165411586786984</c:v>
                </c:pt>
                <c:pt idx="15">
                  <c:v>0.26713209931531701</c:v>
                </c:pt>
                <c:pt idx="16">
                  <c:v>0.28939310759159298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0.28939310759159298</c:v>
                </c:pt>
                <c:pt idx="21">
                  <c:v>0.17808806621021223</c:v>
                </c:pt>
                <c:pt idx="22">
                  <c:v>0.22261008276276417</c:v>
                </c:pt>
                <c:pt idx="23">
                  <c:v>0.20034907448648642</c:v>
                </c:pt>
                <c:pt idx="24">
                  <c:v>0.22261008276276506</c:v>
                </c:pt>
                <c:pt idx="25">
                  <c:v>0.2003490744864882</c:v>
                </c:pt>
                <c:pt idx="26">
                  <c:v>0.20034907448648553</c:v>
                </c:pt>
                <c:pt idx="27">
                  <c:v>0.22261008276276595</c:v>
                </c:pt>
                <c:pt idx="28">
                  <c:v>0.17808806621021134</c:v>
                </c:pt>
                <c:pt idx="29">
                  <c:v>0.15582705793393359</c:v>
                </c:pt>
                <c:pt idx="30">
                  <c:v>0.17808806621021311</c:v>
                </c:pt>
                <c:pt idx="31">
                  <c:v>0.13356604965765762</c:v>
                </c:pt>
                <c:pt idx="32">
                  <c:v>0.15582705793393536</c:v>
                </c:pt>
                <c:pt idx="33">
                  <c:v>0.13356604965765762</c:v>
                </c:pt>
                <c:pt idx="34">
                  <c:v>0.13356604965766117</c:v>
                </c:pt>
                <c:pt idx="35">
                  <c:v>0.13356604965765762</c:v>
                </c:pt>
                <c:pt idx="36">
                  <c:v>0.11130504138138342</c:v>
                </c:pt>
                <c:pt idx="37">
                  <c:v>0.13356604965765762</c:v>
                </c:pt>
                <c:pt idx="38">
                  <c:v>0.11130504138138342</c:v>
                </c:pt>
                <c:pt idx="39">
                  <c:v>0.11130504138137987</c:v>
                </c:pt>
                <c:pt idx="40">
                  <c:v>8.9044033105105669E-2</c:v>
                </c:pt>
                <c:pt idx="41">
                  <c:v>0.11130504138138342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0.15582705793393181</c:v>
                </c:pt>
                <c:pt idx="52">
                  <c:v>0.17808806621021489</c:v>
                </c:pt>
                <c:pt idx="53">
                  <c:v>0.22261008276276151</c:v>
                </c:pt>
                <c:pt idx="54">
                  <c:v>0.28939310759159653</c:v>
                </c:pt>
                <c:pt idx="55">
                  <c:v>0.37843714069669865</c:v>
                </c:pt>
                <c:pt idx="56">
                  <c:v>0.37843714069669687</c:v>
                </c:pt>
                <c:pt idx="57">
                  <c:v>0.40069814897297817</c:v>
                </c:pt>
                <c:pt idx="58">
                  <c:v>0.40069814897297462</c:v>
                </c:pt>
                <c:pt idx="59">
                  <c:v>0.37843714069670042</c:v>
                </c:pt>
                <c:pt idx="60">
                  <c:v>0.3561761324204209</c:v>
                </c:pt>
                <c:pt idx="61">
                  <c:v>0.3339151241441467</c:v>
                </c:pt>
                <c:pt idx="62">
                  <c:v>0.31165411586787073</c:v>
                </c:pt>
                <c:pt idx="63">
                  <c:v>0.26713209931531701</c:v>
                </c:pt>
                <c:pt idx="64">
                  <c:v>0.24487109103904103</c:v>
                </c:pt>
                <c:pt idx="65">
                  <c:v>0.17808806621020956</c:v>
                </c:pt>
                <c:pt idx="66">
                  <c:v>0.15582705793393892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0.15582705793393359</c:v>
                </c:pt>
                <c:pt idx="72">
                  <c:v>0.17808806621021134</c:v>
                </c:pt>
                <c:pt idx="73">
                  <c:v>0.17808806621020778</c:v>
                </c:pt>
                <c:pt idx="74">
                  <c:v>0.15582705793393714</c:v>
                </c:pt>
                <c:pt idx="75">
                  <c:v>0.13356604965765939</c:v>
                </c:pt>
                <c:pt idx="76">
                  <c:v>0.11130504138138519</c:v>
                </c:pt>
                <c:pt idx="77">
                  <c:v>0.11130504138138164</c:v>
                </c:pt>
                <c:pt idx="78">
                  <c:v>8.9044033105103892E-2</c:v>
                </c:pt>
                <c:pt idx="79">
                  <c:v>8.9044033105107445E-2</c:v>
                </c:pt>
                <c:pt idx="80">
                  <c:v>6.6783024828826143E-2</c:v>
                </c:pt>
                <c:pt idx="81">
                  <c:v>8.9044033105107445E-2</c:v>
                </c:pt>
                <c:pt idx="82">
                  <c:v>6.678302482882259E-2</c:v>
                </c:pt>
                <c:pt idx="83">
                  <c:v>6.6783024828829696E-2</c:v>
                </c:pt>
                <c:pt idx="84">
                  <c:v>6.6783024828826143E-2</c:v>
                </c:pt>
                <c:pt idx="85">
                  <c:v>6.6783024828833248E-2</c:v>
                </c:pt>
                <c:pt idx="86">
                  <c:v>4.4522016552551946E-2</c:v>
                </c:pt>
                <c:pt idx="87">
                  <c:v>4.4522016552551946E-2</c:v>
                </c:pt>
                <c:pt idx="88">
                  <c:v>4.4522016552555499E-2</c:v>
                </c:pt>
                <c:pt idx="89">
                  <c:v>4.4522016552551946E-2</c:v>
                </c:pt>
                <c:pt idx="90">
                  <c:v>2.2261008276281302E-2</c:v>
                </c:pt>
                <c:pt idx="91">
                  <c:v>2.2261008276274197E-2</c:v>
                </c:pt>
                <c:pt idx="92">
                  <c:v>1E-4</c:v>
                </c:pt>
                <c:pt idx="93">
                  <c:v>2.2261008276277749E-2</c:v>
                </c:pt>
                <c:pt idx="94">
                  <c:v>1E-4</c:v>
                </c:pt>
                <c:pt idx="95">
                  <c:v>1E-4</c:v>
                </c:pt>
                <c:pt idx="96">
                  <c:v>2.2261008276277749E-2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THOMfitedt_196!$AI$9</c:f>
              <c:strCache>
                <c:ptCount val="1"/>
                <c:pt idx="0">
                  <c:v>delta BV tot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THOMfitedt_196!$AE$10:$AE$205</c:f>
              <c:numCache>
                <c:formatCode>0.0000</c:formatCode>
                <c:ptCount val="196"/>
                <c:pt idx="0">
                  <c:v>138.34553438340964</c:v>
                </c:pt>
                <c:pt idx="1">
                  <c:v>117.70835522124356</c:v>
                </c:pt>
                <c:pt idx="2">
                  <c:v>109.25749894894915</c:v>
                </c:pt>
                <c:pt idx="3">
                  <c:v>98.6352421066902</c:v>
                </c:pt>
                <c:pt idx="4">
                  <c:v>90.660477851255678</c:v>
                </c:pt>
                <c:pt idx="5">
                  <c:v>82.899658735583984</c:v>
                </c:pt>
                <c:pt idx="6">
                  <c:v>75.819260836459378</c:v>
                </c:pt>
                <c:pt idx="7">
                  <c:v>69.172767191704821</c:v>
                </c:pt>
                <c:pt idx="8">
                  <c:v>63.22021452535634</c:v>
                </c:pt>
                <c:pt idx="9">
                  <c:v>58.05234957777953</c:v>
                </c:pt>
                <c:pt idx="10">
                  <c:v>52.866531749491529</c:v>
                </c:pt>
                <c:pt idx="11">
                  <c:v>48.420937034193379</c:v>
                </c:pt>
                <c:pt idx="12">
                  <c:v>44.293580654979394</c:v>
                </c:pt>
                <c:pt idx="13">
                  <c:v>40.504205884116139</c:v>
                </c:pt>
                <c:pt idx="14">
                  <c:v>36.98821579000883</c:v>
                </c:pt>
                <c:pt idx="15">
                  <c:v>33.817797293722357</c:v>
                </c:pt>
                <c:pt idx="16">
                  <c:v>30.921933664796935</c:v>
                </c:pt>
                <c:pt idx="17">
                  <c:v>28.293774628213924</c:v>
                </c:pt>
                <c:pt idx="18">
                  <c:v>25.855840163889667</c:v>
                </c:pt>
                <c:pt idx="19">
                  <c:v>23.619969284972381</c:v>
                </c:pt>
                <c:pt idx="20">
                  <c:v>21.607720380370271</c:v>
                </c:pt>
                <c:pt idx="21">
                  <c:v>19.763647769058522</c:v>
                </c:pt>
                <c:pt idx="22">
                  <c:v>18.101284872595656</c:v>
                </c:pt>
                <c:pt idx="23" formatCode="0.00E+00">
                  <c:v>16.554166507416539</c:v>
                </c:pt>
                <c:pt idx="24" formatCode="0.00E+00">
                  <c:v>15.046053880681557</c:v>
                </c:pt>
                <c:pt idx="25" formatCode="0.00E+00">
                  <c:v>13.789781420741155</c:v>
                </c:pt>
                <c:pt idx="26" formatCode="0.00E+00">
                  <c:v>12.644042905071268</c:v>
                </c:pt>
                <c:pt idx="27" formatCode="0.00E+00">
                  <c:v>11.522559380770733</c:v>
                </c:pt>
                <c:pt idx="28" formatCode="0.00E+00">
                  <c:v>10.505528745091265</c:v>
                </c:pt>
                <c:pt idx="29" formatCode="0.00E+00">
                  <c:v>9.6099288656044575</c:v>
                </c:pt>
                <c:pt idx="30" formatCode="0.00E+00">
                  <c:v>8.7711866179683362</c:v>
                </c:pt>
                <c:pt idx="31" formatCode="0.00E+00">
                  <c:v>8.0245620696968309</c:v>
                </c:pt>
                <c:pt idx="32" formatCode="0.00E+00">
                  <c:v>7.3745975406871178</c:v>
                </c:pt>
                <c:pt idx="33" formatCode="0.00E+00">
                  <c:v>6.7230079820274806</c:v>
                </c:pt>
                <c:pt idx="34" formatCode="0.00E+00">
                  <c:v>6.1081457267904478</c:v>
                </c:pt>
                <c:pt idx="35" formatCode="0.00E+00">
                  <c:v>5.6258812503419824</c:v>
                </c:pt>
                <c:pt idx="36" formatCode="0.00E+00">
                  <c:v>5.1787098432292389</c:v>
                </c:pt>
                <c:pt idx="37" formatCode="0.00E+00">
                  <c:v>4.7726730051624298</c:v>
                </c:pt>
                <c:pt idx="38" formatCode="0.00E+00">
                  <c:v>4.3268099705615528</c:v>
                </c:pt>
                <c:pt idx="39" formatCode="0.00E+00">
                  <c:v>3.9483343763982734</c:v>
                </c:pt>
                <c:pt idx="40" formatCode="0.00E+00">
                  <c:v>3.6031138669110576</c:v>
                </c:pt>
                <c:pt idx="41" formatCode="0.00E+00">
                  <c:v>3.3015980621486261</c:v>
                </c:pt>
                <c:pt idx="42" formatCode="0.00E+00">
                  <c:v>2.9956710201132006</c:v>
                </c:pt>
                <c:pt idx="43" formatCode="0.00E+00">
                  <c:v>2.7604576697389325</c:v>
                </c:pt>
                <c:pt idx="44" formatCode="0.00E+00">
                  <c:v>2.5073805219542291</c:v>
                </c:pt>
                <c:pt idx="45" formatCode="0.00E+00">
                  <c:v>2.2913758114696798</c:v>
                </c:pt>
                <c:pt idx="46" formatCode="0.00E+00">
                  <c:v>2.0926443664713763</c:v>
                </c:pt>
                <c:pt idx="47" formatCode="0.00E+00">
                  <c:v>1.9209460188481728</c:v>
                </c:pt>
                <c:pt idx="48" formatCode="0.00E+00">
                  <c:v>1.7610524297441799</c:v>
                </c:pt>
                <c:pt idx="49" formatCode="0.00E+00">
                  <c:v>1.5960156037939235</c:v>
                </c:pt>
                <c:pt idx="50" formatCode="0.00E+00">
                  <c:v>1.4606617506544002</c:v>
                </c:pt>
                <c:pt idx="51" formatCode="0.00E+00">
                  <c:v>1.337091269928774</c:v>
                </c:pt>
                <c:pt idx="52" formatCode="0.00E+00">
                  <c:v>1.2264110232008456</c:v>
                </c:pt>
                <c:pt idx="53" formatCode="0.00E+00">
                  <c:v>1.1186187280817539</c:v>
                </c:pt>
                <c:pt idx="54" formatCode="0.00E+00">
                  <c:v>1.0256697619413193</c:v>
                </c:pt>
                <c:pt idx="55" formatCode="0.00E+00">
                  <c:v>0.9295062298784994</c:v>
                </c:pt>
                <c:pt idx="56" formatCode="0.00E+00">
                  <c:v>0.8517996279803729</c:v>
                </c:pt>
                <c:pt idx="57" formatCode="0.00E+00">
                  <c:v>0.77759087174878938</c:v>
                </c:pt>
                <c:pt idx="58" formatCode="0.00E+00">
                  <c:v>0.7097006094285504</c:v>
                </c:pt>
                <c:pt idx="59" formatCode="0.00E+00">
                  <c:v>0.65012396005752304</c:v>
                </c:pt>
                <c:pt idx="60" formatCode="0.00E+00">
                  <c:v>0.59495147431011131</c:v>
                </c:pt>
                <c:pt idx="61" formatCode="0.00E+00">
                  <c:v>0.54275264419027569</c:v>
                </c:pt>
                <c:pt idx="62" formatCode="0.00E+00">
                  <c:v>0.49741343610023081</c:v>
                </c:pt>
                <c:pt idx="63" formatCode="0.00E+00">
                  <c:v>0.45222474730525314</c:v>
                </c:pt>
                <c:pt idx="64" formatCode="0.00E+00">
                  <c:v>0.41611742763759935</c:v>
                </c:pt>
                <c:pt idx="65" formatCode="0.00E+00">
                  <c:v>0.37913678141874724</c:v>
                </c:pt>
                <c:pt idx="66" formatCode="0.00E+00">
                  <c:v>0.34644311584378235</c:v>
                </c:pt>
                <c:pt idx="67" formatCode="0.00E+00">
                  <c:v>0.3173062715215817</c:v>
                </c:pt>
                <c:pt idx="68" formatCode="0.00E+00">
                  <c:v>0.28972098800665086</c:v>
                </c:pt>
                <c:pt idx="69" formatCode="0.00E+00">
                  <c:v>0.26386451203256117</c:v>
                </c:pt>
                <c:pt idx="70" formatCode="0.00E+00">
                  <c:v>0.24123841993574305</c:v>
                </c:pt>
                <c:pt idx="71" formatCode="0.00E+00">
                  <c:v>0.2205851042609627</c:v>
                </c:pt>
                <c:pt idx="72" formatCode="0.00E+00">
                  <c:v>0.20312344877436009</c:v>
                </c:pt>
                <c:pt idx="73" formatCode="0.00E+00">
                  <c:v>0.18544816377286055</c:v>
                </c:pt>
                <c:pt idx="74" formatCode="0.00E+00">
                  <c:v>0.16842464481406741</c:v>
                </c:pt>
                <c:pt idx="75" formatCode="0.00E+00">
                  <c:v>0.15467140219278439</c:v>
                </c:pt>
                <c:pt idx="76" formatCode="0.00E+00">
                  <c:v>0.14110907311400603</c:v>
                </c:pt>
                <c:pt idx="77" formatCode="0.00E+00">
                  <c:v>0.12914676269508263</c:v>
                </c:pt>
                <c:pt idx="78" formatCode="0.00E+00">
                  <c:v>0.11781249886665056</c:v>
                </c:pt>
                <c:pt idx="79" formatCode="0.00E+00">
                  <c:v>0.10771414853355049</c:v>
                </c:pt>
                <c:pt idx="80" formatCode="0.00E+00">
                  <c:v>9.8548100036750297E-2</c:v>
                </c:pt>
                <c:pt idx="81" formatCode="0.00E+00">
                  <c:v>8.9863560151866362E-2</c:v>
                </c:pt>
                <c:pt idx="82" formatCode="0.00E+00">
                  <c:v>8.2322122599216715E-2</c:v>
                </c:pt>
                <c:pt idx="83" formatCode="0.00E+00">
                  <c:v>7.5296206759609713E-2</c:v>
                </c:pt>
                <c:pt idx="84" formatCode="0.00E+00">
                  <c:v>6.8725161109930405E-2</c:v>
                </c:pt>
                <c:pt idx="85" formatCode="0.00E+00">
                  <c:v>6.2864665408830428E-2</c:v>
                </c:pt>
                <c:pt idx="86" formatCode="0.00E+00">
                  <c:v>5.7457732498678749E-2</c:v>
                </c:pt>
                <c:pt idx="87" formatCode="0.00E+00">
                  <c:v>5.2497356788847371E-2</c:v>
                </c:pt>
                <c:pt idx="88" formatCode="0.00E+00">
                  <c:v>4.7997576591575407E-2</c:v>
                </c:pt>
                <c:pt idx="89" formatCode="0.00E+00">
                  <c:v>4.3959361558886155E-2</c:v>
                </c:pt>
                <c:pt idx="90" formatCode="0.00E+00">
                  <c:v>4.016206479599662E-2</c:v>
                </c:pt>
                <c:pt idx="91" formatCode="0.00E+00">
                  <c:v>3.669415292559125E-2</c:v>
                </c:pt>
                <c:pt idx="92" formatCode="0.00E+00">
                  <c:v>3.3516995558975617E-2</c:v>
                </c:pt>
                <c:pt idx="93" formatCode="0.00E+00">
                  <c:v>3.0664556120465074E-2</c:v>
                </c:pt>
                <c:pt idx="94" formatCode="0.00E+00">
                  <c:v>2.8002150637116623E-2</c:v>
                </c:pt>
                <c:pt idx="95" formatCode="0.00E+00">
                  <c:v>2.5619204525968373E-2</c:v>
                </c:pt>
                <c:pt idx="96" formatCode="0.00E+00">
                  <c:v>2.3416875914375749E-2</c:v>
                </c:pt>
                <c:pt idx="97" formatCode="0.00E+00">
                  <c:v>2.1397628653198251E-2</c:v>
                </c:pt>
                <c:pt idx="98" formatCode="0.00E+00">
                  <c:v>1.9551393632067711E-2</c:v>
                </c:pt>
                <c:pt idx="99" formatCode="0.00E+00">
                  <c:v>1.7909062958950436E-2</c:v>
                </c:pt>
                <c:pt idx="100" formatCode="0.00E+00">
                  <c:v>1.6392344643626888E-2</c:v>
                </c:pt>
                <c:pt idx="101" formatCode="0.00E+00">
                  <c:v>1.4901834432193714E-2</c:v>
                </c:pt>
                <c:pt idx="102" formatCode="0.00E+00">
                  <c:v>1.3660287203022408E-2</c:v>
                </c:pt>
                <c:pt idx="103" formatCode="0.00E+00">
                  <c:v>1.2462030694161292E-2</c:v>
                </c:pt>
                <c:pt idx="104" formatCode="0.00E+00">
                  <c:v>1.1395519979292551E-2</c:v>
                </c:pt>
                <c:pt idx="105" formatCode="0.00E+00">
                  <c:v>1.0445533883809895E-2</c:v>
                </c:pt>
                <c:pt idx="106" formatCode="0.00E+00">
                  <c:v>9.5559766061640641E-3</c:v>
                </c:pt>
                <c:pt idx="107" formatCode="0.00E+00">
                  <c:v>8.7327001809829816E-3</c:v>
                </c:pt>
                <c:pt idx="108" formatCode="0.00E+00">
                  <c:v>7.9800690519282076E-3</c:v>
                </c:pt>
                <c:pt idx="109" formatCode="0.00E+00">
                  <c:v>7.2718353564495243E-3</c:v>
                </c:pt>
                <c:pt idx="110" formatCode="0.00E+00">
                  <c:v>6.6582991473352641E-3</c:v>
                </c:pt>
                <c:pt idx="111" formatCode="0.00E+00">
                  <c:v>6.0889084072240467E-3</c:v>
                </c:pt>
                <c:pt idx="112" formatCode="0.00E+00">
                  <c:v>5.5628260950851497E-3</c:v>
                </c:pt>
                <c:pt idx="113" formatCode="0.00E+00">
                  <c:v>5.085050481253902E-3</c:v>
                </c:pt>
                <c:pt idx="114" formatCode="0.00E+00">
                  <c:v>4.6516519029324403E-3</c:v>
                </c:pt>
                <c:pt idx="115" formatCode="0.00E+00">
                  <c:v>4.2528990079885205E-3</c:v>
                </c:pt>
                <c:pt idx="116" formatCode="0.00E+00">
                  <c:v>3.8878599966541715E-3</c:v>
                </c:pt>
                <c:pt idx="117" formatCode="0.00E+00">
                  <c:v>3.5509125104284762E-3</c:v>
                </c:pt>
              </c:numCache>
            </c:numRef>
          </c:xVal>
          <c:yVal>
            <c:numRef>
              <c:f>THOMfitedt_196!$AL$10:$AL$205</c:f>
              <c:numCache>
                <c:formatCode>0.0000</c:formatCode>
                <c:ptCount val="196"/>
                <c:pt idx="0">
                  <c:v>6.4745557791183905E-2</c:v>
                </c:pt>
                <c:pt idx="1">
                  <c:v>0.12583090390161644</c:v>
                </c:pt>
                <c:pt idx="2">
                  <c:v>0.17890294692641709</c:v>
                </c:pt>
                <c:pt idx="3">
                  <c:v>0.24124575104896542</c:v>
                </c:pt>
                <c:pt idx="4">
                  <c:v>0.2983184501569161</c:v>
                </c:pt>
                <c:pt idx="5">
                  <c:v>0.34925852339268681</c:v>
                </c:pt>
                <c:pt idx="6">
                  <c:v>0.38509230031901248</c:v>
                </c:pt>
                <c:pt idx="7">
                  <c:v>0.40358875113027415</c:v>
                </c:pt>
                <c:pt idx="8">
                  <c:v>0.41026410299594174</c:v>
                </c:pt>
                <c:pt idx="9">
                  <c:v>0.40460703253256203</c:v>
                </c:pt>
                <c:pt idx="10">
                  <c:v>0.4005820638088905</c:v>
                </c:pt>
                <c:pt idx="11">
                  <c:v>0.38389822499118476</c:v>
                </c:pt>
                <c:pt idx="12">
                  <c:v>0.36938462216509421</c:v>
                </c:pt>
                <c:pt idx="13">
                  <c:v>0.35589707955416316</c:v>
                </c:pt>
                <c:pt idx="14">
                  <c:v>0.33745719473533214</c:v>
                </c:pt>
                <c:pt idx="15">
                  <c:v>0.3216341996824475</c:v>
                </c:pt>
                <c:pt idx="16">
                  <c:v>0.30614994465735579</c:v>
                </c:pt>
                <c:pt idx="17">
                  <c:v>0.29034853196134947</c:v>
                </c:pt>
                <c:pt idx="18">
                  <c:v>0.27547188763024921</c:v>
                </c:pt>
                <c:pt idx="19">
                  <c:v>0.26113085611320186</c:v>
                </c:pt>
                <c:pt idx="20">
                  <c:v>0.24748519721849505</c:v>
                </c:pt>
                <c:pt idx="21">
                  <c:v>0.23715744448521314</c:v>
                </c:pt>
                <c:pt idx="22">
                  <c:v>0.22426081702616785</c:v>
                </c:pt>
                <c:pt idx="23">
                  <c:v>0.21280335136789763</c:v>
                </c:pt>
                <c:pt idx="24">
                  <c:v>0.20528214193901861</c:v>
                </c:pt>
                <c:pt idx="25">
                  <c:v>0.19410301536135366</c:v>
                </c:pt>
                <c:pt idx="26">
                  <c:v>0.18543143837128495</c:v>
                </c:pt>
                <c:pt idx="27">
                  <c:v>0.17889825336986243</c:v>
                </c:pt>
                <c:pt idx="28">
                  <c:v>0.16896873771940601</c:v>
                </c:pt>
                <c:pt idx="29">
                  <c:v>0.1604189882597864</c:v>
                </c:pt>
                <c:pt idx="30">
                  <c:v>0.15518294043465786</c:v>
                </c:pt>
                <c:pt idx="31">
                  <c:v>0.1484151620878843</c:v>
                </c:pt>
                <c:pt idx="32">
                  <c:v>0.13946365013875783</c:v>
                </c:pt>
                <c:pt idx="33">
                  <c:v>0.13424965775140296</c:v>
                </c:pt>
                <c:pt idx="34">
                  <c:v>0.12778762973034086</c:v>
                </c:pt>
                <c:pt idx="35">
                  <c:v>0.1217642525729965</c:v>
                </c:pt>
                <c:pt idx="36">
                  <c:v>0.11841738050545247</c:v>
                </c:pt>
                <c:pt idx="37">
                  <c:v>0.11345697884414108</c:v>
                </c:pt>
                <c:pt idx="38">
                  <c:v>0.1103050280329958</c:v>
                </c:pt>
                <c:pt idx="39">
                  <c:v>0.10745557331603539</c:v>
                </c:pt>
                <c:pt idx="40">
                  <c:v>0.10364070900854383</c:v>
                </c:pt>
                <c:pt idx="41">
                  <c:v>0.1014077228890522</c:v>
                </c:pt>
                <c:pt idx="42">
                  <c:v>9.7892680161020484E-2</c:v>
                </c:pt>
                <c:pt idx="43">
                  <c:v>9.2350870589952283E-2</c:v>
                </c:pt>
                <c:pt idx="44">
                  <c:v>9.0276502292204075E-2</c:v>
                </c:pt>
                <c:pt idx="45">
                  <c:v>8.6507969137394225E-2</c:v>
                </c:pt>
                <c:pt idx="46">
                  <c:v>8.3624408182373378E-2</c:v>
                </c:pt>
                <c:pt idx="47">
                  <c:v>8.1221953705116645E-2</c:v>
                </c:pt>
                <c:pt idx="48">
                  <c:v>7.7848252925252215E-2</c:v>
                </c:pt>
                <c:pt idx="49">
                  <c:v>7.6226484624071E-2</c:v>
                </c:pt>
                <c:pt idx="50">
                  <c:v>7.293449175955824E-2</c:v>
                </c:pt>
                <c:pt idx="51">
                  <c:v>7.7469740548853139E-2</c:v>
                </c:pt>
                <c:pt idx="52">
                  <c:v>0.14518320480480829</c:v>
                </c:pt>
                <c:pt idx="53">
                  <c:v>0.2193237271579751</c:v>
                </c:pt>
                <c:pt idx="54">
                  <c:v>0.29308413319785287</c:v>
                </c:pt>
                <c:pt idx="55">
                  <c:v>0.41109277687825108</c:v>
                </c:pt>
                <c:pt idx="56">
                  <c:v>0.45985072644370395</c:v>
                </c:pt>
                <c:pt idx="57">
                  <c:v>0.48679247669638714</c:v>
                </c:pt>
                <c:pt idx="58">
                  <c:v>0.49664441438540985</c:v>
                </c:pt>
                <c:pt idx="59">
                  <c:v>0.43672854044119624</c:v>
                </c:pt>
                <c:pt idx="60">
                  <c:v>0.37424516043670186</c:v>
                </c:pt>
                <c:pt idx="61">
                  <c:v>0.31485091663141263</c:v>
                </c:pt>
                <c:pt idx="62">
                  <c:v>0.26721749801149519</c:v>
                </c:pt>
                <c:pt idx="63">
                  <c:v>0.235131987254106</c:v>
                </c:pt>
                <c:pt idx="64">
                  <c:v>0.20322589334929986</c:v>
                </c:pt>
                <c:pt idx="65">
                  <c:v>0.18229603115270088</c:v>
                </c:pt>
                <c:pt idx="66">
                  <c:v>0.16430310870891685</c:v>
                </c:pt>
                <c:pt idx="67">
                  <c:v>0.14697403509754636</c:v>
                </c:pt>
                <c:pt idx="68">
                  <c:v>0.15669852164478804</c:v>
                </c:pt>
                <c:pt idx="69">
                  <c:v>0.1654694092738338</c:v>
                </c:pt>
                <c:pt idx="70">
                  <c:v>0.17223351150460986</c:v>
                </c:pt>
                <c:pt idx="71">
                  <c:v>0.19712887080459485</c:v>
                </c:pt>
                <c:pt idx="72">
                  <c:v>0.19677201695704016</c:v>
                </c:pt>
                <c:pt idx="73">
                  <c:v>0.19268855044713673</c:v>
                </c:pt>
                <c:pt idx="74">
                  <c:v>0.18744171233254758</c:v>
                </c:pt>
                <c:pt idx="75">
                  <c:v>0.16067287058514745</c:v>
                </c:pt>
                <c:pt idx="76">
                  <c:v>0.13842696180019054</c:v>
                </c:pt>
                <c:pt idx="77">
                  <c:v>0.11842575878258765</c:v>
                </c:pt>
                <c:pt idx="78">
                  <c:v>0.10414757888735249</c:v>
                </c:pt>
                <c:pt idx="79">
                  <c:v>9.4474979485186239E-2</c:v>
                </c:pt>
                <c:pt idx="80">
                  <c:v>8.6078712461349571E-2</c:v>
                </c:pt>
                <c:pt idx="81">
                  <c:v>8.0348355689225937E-2</c:v>
                </c:pt>
                <c:pt idx="82">
                  <c:v>7.4180419710378587E-2</c:v>
                </c:pt>
                <c:pt idx="83">
                  <c:v>6.9858297175573458E-2</c:v>
                </c:pt>
                <c:pt idx="84">
                  <c:v>6.6268398360536995E-2</c:v>
                </c:pt>
                <c:pt idx="85">
                  <c:v>6.2357697405682533E-2</c:v>
                </c:pt>
                <c:pt idx="86">
                  <c:v>5.9467810170733326E-2</c:v>
                </c:pt>
                <c:pt idx="87">
                  <c:v>5.6859356073036604E-2</c:v>
                </c:pt>
                <c:pt idx="88">
                  <c:v>5.4240062003140466E-2</c:v>
                </c:pt>
                <c:pt idx="89">
                  <c:v>5.1987321077425985E-2</c:v>
                </c:pt>
                <c:pt idx="90">
                  <c:v>5.0051616544894095E-2</c:v>
                </c:pt>
                <c:pt idx="91">
                  <c:v>4.8186224746915141E-2</c:v>
                </c:pt>
                <c:pt idx="92">
                  <c:v>4.6424395151920095E-2</c:v>
                </c:pt>
                <c:pt idx="93">
                  <c:v>4.4848626756404997E-2</c:v>
                </c:pt>
                <c:pt idx="94">
                  <c:v>4.3438770335624266E-2</c:v>
                </c:pt>
                <c:pt idx="95">
                  <c:v>4.190866671298954E-2</c:v>
                </c:pt>
                <c:pt idx="96">
                  <c:v>4.0492714681889641E-2</c:v>
                </c:pt>
                <c:pt idx="97">
                  <c:v>3.9261348619261227E-2</c:v>
                </c:pt>
                <c:pt idx="98">
                  <c:v>3.8305512413856491E-2</c:v>
                </c:pt>
                <c:pt idx="99">
                  <c:v>3.6993190343347582E-2</c:v>
                </c:pt>
                <c:pt idx="100">
                  <c:v>3.6081762160775632E-2</c:v>
                </c:pt>
                <c:pt idx="101">
                  <c:v>3.5389686317768732E-2</c:v>
                </c:pt>
                <c:pt idx="102">
                  <c:v>3.3905972024149467E-2</c:v>
                </c:pt>
                <c:pt idx="103">
                  <c:v>3.3314958402236972E-2</c:v>
                </c:pt>
                <c:pt idx="104">
                  <c:v>3.2435019253084008E-2</c:v>
                </c:pt>
                <c:pt idx="105">
                  <c:v>3.1267811833336268E-2</c:v>
                </c:pt>
                <c:pt idx="106">
                  <c:v>3.0843823641185431E-2</c:v>
                </c:pt>
                <c:pt idx="107">
                  <c:v>2.9994851389284705E-2</c:v>
                </c:pt>
                <c:pt idx="108">
                  <c:v>2.9290350622622974E-2</c:v>
                </c:pt>
                <c:pt idx="109">
                  <c:v>2.8864906059582474E-2</c:v>
                </c:pt>
                <c:pt idx="110">
                  <c:v>2.8056885134676968E-2</c:v>
                </c:pt>
                <c:pt idx="111">
                  <c:v>2.7443157701883436E-2</c:v>
                </c:pt>
                <c:pt idx="112">
                  <c:v>2.6858943114970835E-2</c:v>
                </c:pt>
                <c:pt idx="113">
                  <c:v>2.6134357920887474E-2</c:v>
                </c:pt>
                <c:pt idx="114">
                  <c:v>2.5647558359471745E-2</c:v>
                </c:pt>
                <c:pt idx="115">
                  <c:v>2.5277171486496698E-2</c:v>
                </c:pt>
                <c:pt idx="116">
                  <c:v>2.4881598303998498E-2</c:v>
                </c:pt>
                <c:pt idx="117">
                  <c:v>2.4585007514422053E-2</c:v>
                </c:pt>
              </c:numCache>
            </c:numRef>
          </c:yVal>
          <c:smooth val="1"/>
        </c:ser>
        <c:ser>
          <c:idx val="5"/>
          <c:order val="2"/>
          <c:tx>
            <c:v>xducer switch splice bkgd</c:v>
          </c:tx>
          <c:spPr>
            <a:ln>
              <a:noFill/>
            </a:ln>
          </c:spPr>
          <c:marker>
            <c:symbol val="square"/>
            <c:size val="19"/>
            <c:spPr>
              <a:solidFill>
                <a:schemeClr val="accent1">
                  <a:alpha val="40000"/>
                </a:schemeClr>
              </a:solidFill>
              <a:ln>
                <a:noFill/>
              </a:ln>
            </c:spPr>
          </c:marker>
          <c:xVal>
            <c:numRef>
              <c:f>THOMfitedt_196!$U$305:$U$309</c:f>
              <c:numCache>
                <c:formatCode>General</c:formatCode>
                <c:ptCount val="5"/>
                <c:pt idx="0">
                  <c:v>8.0245620696968309</c:v>
                </c:pt>
                <c:pt idx="1">
                  <c:v>7.3745975406871178</c:v>
                </c:pt>
                <c:pt idx="2">
                  <c:v>6.7230079820274806</c:v>
                </c:pt>
                <c:pt idx="3">
                  <c:v>6.1081457267904478</c:v>
                </c:pt>
                <c:pt idx="4">
                  <c:v>5.6258812503419824</c:v>
                </c:pt>
              </c:numCache>
            </c:numRef>
          </c:xVal>
          <c:yVal>
            <c:numRef>
              <c:f>THOMfitedt_196!$V$305:$V$309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86744"/>
        <c:axId val="250207152"/>
      </c:scatterChart>
      <c:valAx>
        <c:axId val="248986744"/>
        <c:scaling>
          <c:logBase val="10"/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Pore Throat Diameter (Microns)</a:t>
                </a:r>
              </a:p>
            </c:rich>
          </c:tx>
          <c:layout>
            <c:manualLayout>
              <c:xMode val="edge"/>
              <c:yMode val="edge"/>
              <c:x val="0.41870083505357031"/>
              <c:y val="0.955260064322945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207152"/>
        <c:crossesAt val="0.01"/>
        <c:crossBetween val="midCat"/>
      </c:valAx>
      <c:valAx>
        <c:axId val="250207152"/>
        <c:scaling>
          <c:logBase val="10"/>
          <c:orientation val="minMax"/>
          <c:max val="10"/>
          <c:min val="0.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Incremental  Pore Volume</a:t>
                </a:r>
              </a:p>
            </c:rich>
          </c:tx>
          <c:layout>
            <c:manualLayout>
              <c:xMode val="edge"/>
              <c:yMode val="edge"/>
              <c:x val="1.546936262596805E-2"/>
              <c:y val="0.44981873744655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86744"/>
        <c:crossesAt val="1E-3"/>
        <c:crossBetween val="midCat"/>
        <c:majorUnit val="10"/>
        <c:minorUnit val="10"/>
      </c:valAx>
      <c:spPr>
        <a:pattFill prst="pct25">
          <a:fgClr>
            <a:srgbClr val="FFFFCC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THOMfitedt_196!$AO$10:$AO$44</c:f>
          <c:strCache>
            <c:ptCount val="35"/>
            <c:pt idx="0">
              <c:v>SAMPLE NO.:</c:v>
            </c:pt>
            <c:pt idx="1">
              <c:v>Example</c:v>
            </c:pt>
            <c:pt idx="2">
              <c:v>Description:</c:v>
            </c:pt>
            <c:pt idx="3">
              <c:v>Clerke GeoArabia 2008 Trimodal</c:v>
            </c:pt>
            <c:pt idx="4">
              <c:v>Phi:</c:v>
            </c:pt>
            <c:pt idx="5">
              <c:v>23.9</c:v>
            </c:pt>
            <c:pt idx="6">
              <c:v>BVTot:</c:v>
            </c:pt>
            <c:pt idx="7">
              <c:v>21.50</c:v>
            </c:pt>
            <c:pt idx="8">
              <c:v>Perm:</c:v>
            </c:pt>
            <c:pt idx="9">
              <c:v>948</c:v>
            </c:pt>
            <c:pt idx="10">
              <c:v>Buiting-Clerke Perm:</c:v>
            </c:pt>
            <c:pt idx="11">
              <c:v>987.1</c:v>
            </c:pt>
            <c:pt idx="12">
              <c:v>PORE SYSTEM 1:</c:v>
            </c:pt>
            <c:pt idx="13">
              <c:v>G1:</c:v>
            </c:pt>
            <c:pt idx="14">
              <c:v>0.74</c:v>
            </c:pt>
            <c:pt idx="15">
              <c:v>Pd1:</c:v>
            </c:pt>
            <c:pt idx="16">
              <c:v>1.30</c:v>
            </c:pt>
            <c:pt idx="17">
              <c:v>BV1:</c:v>
            </c:pt>
            <c:pt idx="18">
              <c:v>15.00</c:v>
            </c:pt>
            <c:pt idx="19">
              <c:v>Closure Corr:</c:v>
            </c:pt>
            <c:pt idx="20">
              <c:v>0.20</c:v>
            </c:pt>
            <c:pt idx="21">
              <c:v>PORE SYSTEM 2:</c:v>
            </c:pt>
            <c:pt idx="22">
              <c:v>G2:</c:v>
            </c:pt>
            <c:pt idx="23">
              <c:v>0.18</c:v>
            </c:pt>
            <c:pt idx="24">
              <c:v>Pd2:</c:v>
            </c:pt>
            <c:pt idx="25">
              <c:v>190.00</c:v>
            </c:pt>
            <c:pt idx="26">
              <c:v>BV2:</c:v>
            </c:pt>
            <c:pt idx="27">
              <c:v>5.50</c:v>
            </c:pt>
            <c:pt idx="28">
              <c:v>PORE SYSTEM 3:</c:v>
            </c:pt>
            <c:pt idx="29">
              <c:v>G3:</c:v>
            </c:pt>
            <c:pt idx="30">
              <c:v>0.10</c:v>
            </c:pt>
            <c:pt idx="31">
              <c:v>Pd3:</c:v>
            </c:pt>
            <c:pt idx="32">
              <c:v>850.00</c:v>
            </c:pt>
            <c:pt idx="33">
              <c:v>BV3:</c:v>
            </c:pt>
            <c:pt idx="34">
              <c:v>1.00</c:v>
            </c:pt>
          </c:strCache>
        </c:strRef>
      </c:tx>
      <c:layout>
        <c:manualLayout>
          <c:xMode val="edge"/>
          <c:yMode val="edge"/>
          <c:x val="0.12815987485471086"/>
          <c:y val="0.128118556858714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5199982104511"/>
          <c:y val="0.25514765878145829"/>
          <c:w val="0.77364564692197568"/>
          <c:h val="0.65124573980491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THOMfitedt_196!$AG$9</c:f>
              <c:strCache>
                <c:ptCount val="1"/>
                <c:pt idx="0">
                  <c:v>delta %Bvocc corr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THOMfitedt_196!$AE$10:$AE$205</c:f>
              <c:numCache>
                <c:formatCode>0.0000</c:formatCode>
                <c:ptCount val="196"/>
                <c:pt idx="0">
                  <c:v>138.34553438340964</c:v>
                </c:pt>
                <c:pt idx="1">
                  <c:v>117.70835522124356</c:v>
                </c:pt>
                <c:pt idx="2">
                  <c:v>109.25749894894915</c:v>
                </c:pt>
                <c:pt idx="3">
                  <c:v>98.6352421066902</c:v>
                </c:pt>
                <c:pt idx="4">
                  <c:v>90.660477851255678</c:v>
                </c:pt>
                <c:pt idx="5">
                  <c:v>82.899658735583984</c:v>
                </c:pt>
                <c:pt idx="6">
                  <c:v>75.819260836459378</c:v>
                </c:pt>
                <c:pt idx="7">
                  <c:v>69.172767191704821</c:v>
                </c:pt>
                <c:pt idx="8">
                  <c:v>63.22021452535634</c:v>
                </c:pt>
                <c:pt idx="9">
                  <c:v>58.05234957777953</c:v>
                </c:pt>
                <c:pt idx="10">
                  <c:v>52.866531749491529</c:v>
                </c:pt>
                <c:pt idx="11">
                  <c:v>48.420937034193379</c:v>
                </c:pt>
                <c:pt idx="12">
                  <c:v>44.293580654979394</c:v>
                </c:pt>
                <c:pt idx="13">
                  <c:v>40.504205884116139</c:v>
                </c:pt>
                <c:pt idx="14">
                  <c:v>36.98821579000883</c:v>
                </c:pt>
                <c:pt idx="15">
                  <c:v>33.817797293722357</c:v>
                </c:pt>
                <c:pt idx="16">
                  <c:v>30.921933664796935</c:v>
                </c:pt>
                <c:pt idx="17">
                  <c:v>28.293774628213924</c:v>
                </c:pt>
                <c:pt idx="18">
                  <c:v>25.855840163889667</c:v>
                </c:pt>
                <c:pt idx="19">
                  <c:v>23.619969284972381</c:v>
                </c:pt>
                <c:pt idx="20">
                  <c:v>21.607720380370271</c:v>
                </c:pt>
                <c:pt idx="21">
                  <c:v>19.763647769058522</c:v>
                </c:pt>
                <c:pt idx="22">
                  <c:v>18.101284872595656</c:v>
                </c:pt>
                <c:pt idx="23" formatCode="0.00E+00">
                  <c:v>16.554166507416539</c:v>
                </c:pt>
                <c:pt idx="24" formatCode="0.00E+00">
                  <c:v>15.046053880681557</c:v>
                </c:pt>
                <c:pt idx="25" formatCode="0.00E+00">
                  <c:v>13.789781420741155</c:v>
                </c:pt>
                <c:pt idx="26" formatCode="0.00E+00">
                  <c:v>12.644042905071268</c:v>
                </c:pt>
                <c:pt idx="27" formatCode="0.00E+00">
                  <c:v>11.522559380770733</c:v>
                </c:pt>
                <c:pt idx="28" formatCode="0.00E+00">
                  <c:v>10.505528745091265</c:v>
                </c:pt>
                <c:pt idx="29" formatCode="0.00E+00">
                  <c:v>9.6099288656044575</c:v>
                </c:pt>
                <c:pt idx="30" formatCode="0.00E+00">
                  <c:v>8.7711866179683362</c:v>
                </c:pt>
                <c:pt idx="31" formatCode="0.00E+00">
                  <c:v>8.0245620696968309</c:v>
                </c:pt>
                <c:pt idx="32" formatCode="0.00E+00">
                  <c:v>7.3745975406871178</c:v>
                </c:pt>
                <c:pt idx="33" formatCode="0.00E+00">
                  <c:v>6.7230079820274806</c:v>
                </c:pt>
                <c:pt idx="34" formatCode="0.00E+00">
                  <c:v>6.1081457267904478</c:v>
                </c:pt>
                <c:pt idx="35" formatCode="0.00E+00">
                  <c:v>5.6258812503419824</c:v>
                </c:pt>
                <c:pt idx="36" formatCode="0.00E+00">
                  <c:v>5.1787098432292389</c:v>
                </c:pt>
                <c:pt idx="37" formatCode="0.00E+00">
                  <c:v>4.7726730051624298</c:v>
                </c:pt>
                <c:pt idx="38" formatCode="0.00E+00">
                  <c:v>4.3268099705615528</c:v>
                </c:pt>
                <c:pt idx="39" formatCode="0.00E+00">
                  <c:v>3.9483343763982734</c:v>
                </c:pt>
                <c:pt idx="40" formatCode="0.00E+00">
                  <c:v>3.6031138669110576</c:v>
                </c:pt>
                <c:pt idx="41" formatCode="0.00E+00">
                  <c:v>3.3015980621486261</c:v>
                </c:pt>
                <c:pt idx="42" formatCode="0.00E+00">
                  <c:v>2.9956710201132006</c:v>
                </c:pt>
                <c:pt idx="43" formatCode="0.00E+00">
                  <c:v>2.7604576697389325</c:v>
                </c:pt>
                <c:pt idx="44" formatCode="0.00E+00">
                  <c:v>2.5073805219542291</c:v>
                </c:pt>
                <c:pt idx="45" formatCode="0.00E+00">
                  <c:v>2.2913758114696798</c:v>
                </c:pt>
                <c:pt idx="46" formatCode="0.00E+00">
                  <c:v>2.0926443664713763</c:v>
                </c:pt>
                <c:pt idx="47" formatCode="0.00E+00">
                  <c:v>1.9209460188481728</c:v>
                </c:pt>
                <c:pt idx="48" formatCode="0.00E+00">
                  <c:v>1.7610524297441799</c:v>
                </c:pt>
                <c:pt idx="49" formatCode="0.00E+00">
                  <c:v>1.5960156037939235</c:v>
                </c:pt>
                <c:pt idx="50" formatCode="0.00E+00">
                  <c:v>1.4606617506544002</c:v>
                </c:pt>
                <c:pt idx="51" formatCode="0.00E+00">
                  <c:v>1.337091269928774</c:v>
                </c:pt>
                <c:pt idx="52" formatCode="0.00E+00">
                  <c:v>1.2264110232008456</c:v>
                </c:pt>
                <c:pt idx="53" formatCode="0.00E+00">
                  <c:v>1.1186187280817539</c:v>
                </c:pt>
                <c:pt idx="54" formatCode="0.00E+00">
                  <c:v>1.0256697619413193</c:v>
                </c:pt>
                <c:pt idx="55" formatCode="0.00E+00">
                  <c:v>0.9295062298784994</c:v>
                </c:pt>
                <c:pt idx="56" formatCode="0.00E+00">
                  <c:v>0.8517996279803729</c:v>
                </c:pt>
                <c:pt idx="57" formatCode="0.00E+00">
                  <c:v>0.77759087174878938</c:v>
                </c:pt>
                <c:pt idx="58" formatCode="0.00E+00">
                  <c:v>0.7097006094285504</c:v>
                </c:pt>
                <c:pt idx="59" formatCode="0.00E+00">
                  <c:v>0.65012396005752304</c:v>
                </c:pt>
                <c:pt idx="60" formatCode="0.00E+00">
                  <c:v>0.59495147431011131</c:v>
                </c:pt>
                <c:pt idx="61" formatCode="0.00E+00">
                  <c:v>0.54275264419027569</c:v>
                </c:pt>
                <c:pt idx="62" formatCode="0.00E+00">
                  <c:v>0.49741343610023081</c:v>
                </c:pt>
                <c:pt idx="63" formatCode="0.00E+00">
                  <c:v>0.45222474730525314</c:v>
                </c:pt>
                <c:pt idx="64" formatCode="0.00E+00">
                  <c:v>0.41611742763759935</c:v>
                </c:pt>
                <c:pt idx="65" formatCode="0.00E+00">
                  <c:v>0.37913678141874724</c:v>
                </c:pt>
                <c:pt idx="66" formatCode="0.00E+00">
                  <c:v>0.34644311584378235</c:v>
                </c:pt>
                <c:pt idx="67" formatCode="0.00E+00">
                  <c:v>0.3173062715215817</c:v>
                </c:pt>
                <c:pt idx="68" formatCode="0.00E+00">
                  <c:v>0.28972098800665086</c:v>
                </c:pt>
                <c:pt idx="69" formatCode="0.00E+00">
                  <c:v>0.26386451203256117</c:v>
                </c:pt>
                <c:pt idx="70" formatCode="0.00E+00">
                  <c:v>0.24123841993574305</c:v>
                </c:pt>
                <c:pt idx="71" formatCode="0.00E+00">
                  <c:v>0.2205851042609627</c:v>
                </c:pt>
                <c:pt idx="72" formatCode="0.00E+00">
                  <c:v>0.20312344877436009</c:v>
                </c:pt>
                <c:pt idx="73" formatCode="0.00E+00">
                  <c:v>0.18544816377286055</c:v>
                </c:pt>
                <c:pt idx="74" formatCode="0.00E+00">
                  <c:v>0.16842464481406741</c:v>
                </c:pt>
                <c:pt idx="75" formatCode="0.00E+00">
                  <c:v>0.15467140219278439</c:v>
                </c:pt>
                <c:pt idx="76" formatCode="0.00E+00">
                  <c:v>0.14110907311400603</c:v>
                </c:pt>
                <c:pt idx="77" formatCode="0.00E+00">
                  <c:v>0.12914676269508263</c:v>
                </c:pt>
                <c:pt idx="78" formatCode="0.00E+00">
                  <c:v>0.11781249886665056</c:v>
                </c:pt>
                <c:pt idx="79" formatCode="0.00E+00">
                  <c:v>0.10771414853355049</c:v>
                </c:pt>
                <c:pt idx="80" formatCode="0.00E+00">
                  <c:v>9.8548100036750297E-2</c:v>
                </c:pt>
                <c:pt idx="81" formatCode="0.00E+00">
                  <c:v>8.9863560151866362E-2</c:v>
                </c:pt>
                <c:pt idx="82" formatCode="0.00E+00">
                  <c:v>8.2322122599216715E-2</c:v>
                </c:pt>
                <c:pt idx="83" formatCode="0.00E+00">
                  <c:v>7.5296206759609713E-2</c:v>
                </c:pt>
                <c:pt idx="84" formatCode="0.00E+00">
                  <c:v>6.8725161109930405E-2</c:v>
                </c:pt>
                <c:pt idx="85" formatCode="0.00E+00">
                  <c:v>6.2864665408830428E-2</c:v>
                </c:pt>
                <c:pt idx="86" formatCode="0.00E+00">
                  <c:v>5.7457732498678749E-2</c:v>
                </c:pt>
                <c:pt idx="87" formatCode="0.00E+00">
                  <c:v>5.2497356788847371E-2</c:v>
                </c:pt>
                <c:pt idx="88" formatCode="0.00E+00">
                  <c:v>4.7997576591575407E-2</c:v>
                </c:pt>
                <c:pt idx="89" formatCode="0.00E+00">
                  <c:v>4.3959361558886155E-2</c:v>
                </c:pt>
                <c:pt idx="90" formatCode="0.00E+00">
                  <c:v>4.016206479599662E-2</c:v>
                </c:pt>
                <c:pt idx="91" formatCode="0.00E+00">
                  <c:v>3.669415292559125E-2</c:v>
                </c:pt>
                <c:pt idx="92" formatCode="0.00E+00">
                  <c:v>3.3516995558975617E-2</c:v>
                </c:pt>
                <c:pt idx="93" formatCode="0.00E+00">
                  <c:v>3.0664556120465074E-2</c:v>
                </c:pt>
                <c:pt idx="94" formatCode="0.00E+00">
                  <c:v>2.8002150637116623E-2</c:v>
                </c:pt>
                <c:pt idx="95" formatCode="0.00E+00">
                  <c:v>2.5619204525968373E-2</c:v>
                </c:pt>
                <c:pt idx="96" formatCode="0.00E+00">
                  <c:v>2.3416875914375749E-2</c:v>
                </c:pt>
                <c:pt idx="97" formatCode="0.00E+00">
                  <c:v>2.1397628653198251E-2</c:v>
                </c:pt>
                <c:pt idx="98" formatCode="0.00E+00">
                  <c:v>1.9551393632067711E-2</c:v>
                </c:pt>
                <c:pt idx="99" formatCode="0.00E+00">
                  <c:v>1.7909062958950436E-2</c:v>
                </c:pt>
                <c:pt idx="100" formatCode="0.00E+00">
                  <c:v>1.6392344643626888E-2</c:v>
                </c:pt>
                <c:pt idx="101" formatCode="0.00E+00">
                  <c:v>1.4901834432193714E-2</c:v>
                </c:pt>
                <c:pt idx="102" formatCode="0.00E+00">
                  <c:v>1.3660287203022408E-2</c:v>
                </c:pt>
                <c:pt idx="103" formatCode="0.00E+00">
                  <c:v>1.2462030694161292E-2</c:v>
                </c:pt>
                <c:pt idx="104" formatCode="0.00E+00">
                  <c:v>1.1395519979292551E-2</c:v>
                </c:pt>
                <c:pt idx="105" formatCode="0.00E+00">
                  <c:v>1.0445533883809895E-2</c:v>
                </c:pt>
                <c:pt idx="106" formatCode="0.00E+00">
                  <c:v>9.5559766061640641E-3</c:v>
                </c:pt>
                <c:pt idx="107" formatCode="0.00E+00">
                  <c:v>8.7327001809829816E-3</c:v>
                </c:pt>
                <c:pt idx="108" formatCode="0.00E+00">
                  <c:v>7.9800690519282076E-3</c:v>
                </c:pt>
                <c:pt idx="109" formatCode="0.00E+00">
                  <c:v>7.2718353564495243E-3</c:v>
                </c:pt>
                <c:pt idx="110" formatCode="0.00E+00">
                  <c:v>6.6582991473352641E-3</c:v>
                </c:pt>
                <c:pt idx="111" formatCode="0.00E+00">
                  <c:v>6.0889084072240467E-3</c:v>
                </c:pt>
                <c:pt idx="112" formatCode="0.00E+00">
                  <c:v>5.5628260950851497E-3</c:v>
                </c:pt>
                <c:pt idx="113" formatCode="0.00E+00">
                  <c:v>5.085050481253902E-3</c:v>
                </c:pt>
                <c:pt idx="114" formatCode="0.00E+00">
                  <c:v>4.6516519029324403E-3</c:v>
                </c:pt>
                <c:pt idx="115" formatCode="0.00E+00">
                  <c:v>4.2528990079885205E-3</c:v>
                </c:pt>
                <c:pt idx="116" formatCode="0.00E+00">
                  <c:v>3.8878599966541715E-3</c:v>
                </c:pt>
                <c:pt idx="117" formatCode="0.00E+00">
                  <c:v>3.5509125104284762E-3</c:v>
                </c:pt>
              </c:numCache>
            </c:numRef>
          </c:xVal>
          <c:yVal>
            <c:numRef>
              <c:f>THOMfitedt_196!$AG$10:$AG$205</c:f>
              <c:numCache>
                <c:formatCode>0.0000</c:formatCode>
                <c:ptCount val="196"/>
                <c:pt idx="0">
                  <c:v>1E-4</c:v>
                </c:pt>
                <c:pt idx="1">
                  <c:v>1E-4</c:v>
                </c:pt>
                <c:pt idx="2">
                  <c:v>6.7132099315316773E-2</c:v>
                </c:pt>
                <c:pt idx="3">
                  <c:v>0.31165411586786962</c:v>
                </c:pt>
                <c:pt idx="4">
                  <c:v>0.40069814897297534</c:v>
                </c:pt>
                <c:pt idx="5">
                  <c:v>0.53426419863063335</c:v>
                </c:pt>
                <c:pt idx="6">
                  <c:v>0.40069814897297529</c:v>
                </c:pt>
                <c:pt idx="7">
                  <c:v>0.4452201655255279</c:v>
                </c:pt>
                <c:pt idx="8">
                  <c:v>0.42295915724925193</c:v>
                </c:pt>
                <c:pt idx="9">
                  <c:v>0.40069814897297551</c:v>
                </c:pt>
                <c:pt idx="10">
                  <c:v>0.3784371406966982</c:v>
                </c:pt>
                <c:pt idx="11">
                  <c:v>0.37843714069669954</c:v>
                </c:pt>
                <c:pt idx="12">
                  <c:v>0.37843714069669865</c:v>
                </c:pt>
                <c:pt idx="13">
                  <c:v>0.35617613242042179</c:v>
                </c:pt>
                <c:pt idx="14">
                  <c:v>0.31165411586786984</c:v>
                </c:pt>
                <c:pt idx="15">
                  <c:v>0.26713209931531701</c:v>
                </c:pt>
                <c:pt idx="16">
                  <c:v>0.28939310759159298</c:v>
                </c:pt>
                <c:pt idx="17">
                  <c:v>0.28939310759159298</c:v>
                </c:pt>
                <c:pt idx="18">
                  <c:v>0.28939310759159387</c:v>
                </c:pt>
                <c:pt idx="19">
                  <c:v>0.37843714069669776</c:v>
                </c:pt>
                <c:pt idx="20">
                  <c:v>0.28939310759159298</c:v>
                </c:pt>
                <c:pt idx="21">
                  <c:v>0.17808806621021223</c:v>
                </c:pt>
                <c:pt idx="22">
                  <c:v>0.22261008276276417</c:v>
                </c:pt>
                <c:pt idx="23">
                  <c:v>0.20034907448648642</c:v>
                </c:pt>
                <c:pt idx="24">
                  <c:v>0.22261008276276506</c:v>
                </c:pt>
                <c:pt idx="25">
                  <c:v>0.2003490744864882</c:v>
                </c:pt>
                <c:pt idx="26">
                  <c:v>0.20034907448648553</c:v>
                </c:pt>
                <c:pt idx="27">
                  <c:v>0.22261008276276595</c:v>
                </c:pt>
                <c:pt idx="28">
                  <c:v>0.17808806621021134</c:v>
                </c:pt>
                <c:pt idx="29">
                  <c:v>0.15582705793393359</c:v>
                </c:pt>
                <c:pt idx="30">
                  <c:v>0.17808806621021311</c:v>
                </c:pt>
                <c:pt idx="31">
                  <c:v>0.13356604965765762</c:v>
                </c:pt>
                <c:pt idx="32">
                  <c:v>0.15582705793393536</c:v>
                </c:pt>
                <c:pt idx="33">
                  <c:v>0.13356604965765762</c:v>
                </c:pt>
                <c:pt idx="34">
                  <c:v>0.13356604965766117</c:v>
                </c:pt>
                <c:pt idx="35">
                  <c:v>0.13356604965765762</c:v>
                </c:pt>
                <c:pt idx="36">
                  <c:v>0.11130504138138342</c:v>
                </c:pt>
                <c:pt idx="37">
                  <c:v>0.13356604965765762</c:v>
                </c:pt>
                <c:pt idx="38">
                  <c:v>0.11130504138138342</c:v>
                </c:pt>
                <c:pt idx="39">
                  <c:v>0.11130504138137987</c:v>
                </c:pt>
                <c:pt idx="40">
                  <c:v>8.9044033105105669E-2</c:v>
                </c:pt>
                <c:pt idx="41">
                  <c:v>0.11130504138138342</c:v>
                </c:pt>
                <c:pt idx="42">
                  <c:v>8.9044033105103892E-2</c:v>
                </c:pt>
                <c:pt idx="43">
                  <c:v>8.9044033105105669E-2</c:v>
                </c:pt>
                <c:pt idx="44">
                  <c:v>8.9044033105105669E-2</c:v>
                </c:pt>
                <c:pt idx="45">
                  <c:v>8.9044033105103892E-2</c:v>
                </c:pt>
                <c:pt idx="46">
                  <c:v>8.9044033105105669E-2</c:v>
                </c:pt>
                <c:pt idx="47">
                  <c:v>0.11130504138138342</c:v>
                </c:pt>
                <c:pt idx="48">
                  <c:v>8.9044033105103892E-2</c:v>
                </c:pt>
                <c:pt idx="49">
                  <c:v>0.13356604965765762</c:v>
                </c:pt>
                <c:pt idx="50">
                  <c:v>0.13356604965766117</c:v>
                </c:pt>
                <c:pt idx="51">
                  <c:v>0.15582705793393181</c:v>
                </c:pt>
                <c:pt idx="52">
                  <c:v>0.17808806621021489</c:v>
                </c:pt>
                <c:pt idx="53">
                  <c:v>0.22261008276276151</c:v>
                </c:pt>
                <c:pt idx="54">
                  <c:v>0.28939310759159653</c:v>
                </c:pt>
                <c:pt idx="55">
                  <c:v>0.37843714069669865</c:v>
                </c:pt>
                <c:pt idx="56">
                  <c:v>0.37843714069669687</c:v>
                </c:pt>
                <c:pt idx="57">
                  <c:v>0.40069814897297817</c:v>
                </c:pt>
                <c:pt idx="58">
                  <c:v>0.40069814897297462</c:v>
                </c:pt>
                <c:pt idx="59">
                  <c:v>0.37843714069670042</c:v>
                </c:pt>
                <c:pt idx="60">
                  <c:v>0.3561761324204209</c:v>
                </c:pt>
                <c:pt idx="61">
                  <c:v>0.3339151241441467</c:v>
                </c:pt>
                <c:pt idx="62">
                  <c:v>0.31165411586787073</c:v>
                </c:pt>
                <c:pt idx="63">
                  <c:v>0.26713209931531701</c:v>
                </c:pt>
                <c:pt idx="64">
                  <c:v>0.24487109103904103</c:v>
                </c:pt>
                <c:pt idx="65">
                  <c:v>0.17808806621020956</c:v>
                </c:pt>
                <c:pt idx="66">
                  <c:v>0.15582705793393892</c:v>
                </c:pt>
                <c:pt idx="67">
                  <c:v>0.13356604965765762</c:v>
                </c:pt>
                <c:pt idx="68">
                  <c:v>0.13356604965765762</c:v>
                </c:pt>
                <c:pt idx="69">
                  <c:v>0.13356604965766117</c:v>
                </c:pt>
                <c:pt idx="70">
                  <c:v>0.13356604965765939</c:v>
                </c:pt>
                <c:pt idx="71">
                  <c:v>0.15582705793393359</c:v>
                </c:pt>
                <c:pt idx="72">
                  <c:v>0.17808806621021134</c:v>
                </c:pt>
                <c:pt idx="73">
                  <c:v>0.17808806621020778</c:v>
                </c:pt>
                <c:pt idx="74">
                  <c:v>0.15582705793393714</c:v>
                </c:pt>
                <c:pt idx="75">
                  <c:v>0.13356604965765939</c:v>
                </c:pt>
                <c:pt idx="76">
                  <c:v>0.11130504138138519</c:v>
                </c:pt>
                <c:pt idx="77">
                  <c:v>0.11130504138138164</c:v>
                </c:pt>
                <c:pt idx="78">
                  <c:v>8.9044033105103892E-2</c:v>
                </c:pt>
                <c:pt idx="79">
                  <c:v>8.9044033105107445E-2</c:v>
                </c:pt>
                <c:pt idx="80">
                  <c:v>6.6783024828826143E-2</c:v>
                </c:pt>
                <c:pt idx="81">
                  <c:v>8.9044033105107445E-2</c:v>
                </c:pt>
                <c:pt idx="82">
                  <c:v>6.678302482882259E-2</c:v>
                </c:pt>
                <c:pt idx="83">
                  <c:v>6.6783024828829696E-2</c:v>
                </c:pt>
                <c:pt idx="84">
                  <c:v>6.6783024828826143E-2</c:v>
                </c:pt>
                <c:pt idx="85">
                  <c:v>6.6783024828833248E-2</c:v>
                </c:pt>
                <c:pt idx="86">
                  <c:v>4.4522016552551946E-2</c:v>
                </c:pt>
                <c:pt idx="87">
                  <c:v>4.4522016552551946E-2</c:v>
                </c:pt>
                <c:pt idx="88">
                  <c:v>4.4522016552555499E-2</c:v>
                </c:pt>
                <c:pt idx="89">
                  <c:v>4.4522016552551946E-2</c:v>
                </c:pt>
                <c:pt idx="90">
                  <c:v>2.2261008276281302E-2</c:v>
                </c:pt>
                <c:pt idx="91">
                  <c:v>2.2261008276274197E-2</c:v>
                </c:pt>
                <c:pt idx="92">
                  <c:v>1E-4</c:v>
                </c:pt>
                <c:pt idx="93">
                  <c:v>2.2261008276277749E-2</c:v>
                </c:pt>
                <c:pt idx="94">
                  <c:v>1E-4</c:v>
                </c:pt>
                <c:pt idx="95">
                  <c:v>1E-4</c:v>
                </c:pt>
                <c:pt idx="96">
                  <c:v>2.2261008276277749E-2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THOMfitedt_196!$AI$9</c:f>
              <c:strCache>
                <c:ptCount val="1"/>
                <c:pt idx="0">
                  <c:v>delta BV tot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THOMfitedt_196!$AE$10:$AE$205</c:f>
              <c:numCache>
                <c:formatCode>0.0000</c:formatCode>
                <c:ptCount val="196"/>
                <c:pt idx="0">
                  <c:v>138.34553438340964</c:v>
                </c:pt>
                <c:pt idx="1">
                  <c:v>117.70835522124356</c:v>
                </c:pt>
                <c:pt idx="2">
                  <c:v>109.25749894894915</c:v>
                </c:pt>
                <c:pt idx="3">
                  <c:v>98.6352421066902</c:v>
                </c:pt>
                <c:pt idx="4">
                  <c:v>90.660477851255678</c:v>
                </c:pt>
                <c:pt idx="5">
                  <c:v>82.899658735583984</c:v>
                </c:pt>
                <c:pt idx="6">
                  <c:v>75.819260836459378</c:v>
                </c:pt>
                <c:pt idx="7">
                  <c:v>69.172767191704821</c:v>
                </c:pt>
                <c:pt idx="8">
                  <c:v>63.22021452535634</c:v>
                </c:pt>
                <c:pt idx="9">
                  <c:v>58.05234957777953</c:v>
                </c:pt>
                <c:pt idx="10">
                  <c:v>52.866531749491529</c:v>
                </c:pt>
                <c:pt idx="11">
                  <c:v>48.420937034193379</c:v>
                </c:pt>
                <c:pt idx="12">
                  <c:v>44.293580654979394</c:v>
                </c:pt>
                <c:pt idx="13">
                  <c:v>40.504205884116139</c:v>
                </c:pt>
                <c:pt idx="14">
                  <c:v>36.98821579000883</c:v>
                </c:pt>
                <c:pt idx="15">
                  <c:v>33.817797293722357</c:v>
                </c:pt>
                <c:pt idx="16">
                  <c:v>30.921933664796935</c:v>
                </c:pt>
                <c:pt idx="17">
                  <c:v>28.293774628213924</c:v>
                </c:pt>
                <c:pt idx="18">
                  <c:v>25.855840163889667</c:v>
                </c:pt>
                <c:pt idx="19">
                  <c:v>23.619969284972381</c:v>
                </c:pt>
                <c:pt idx="20">
                  <c:v>21.607720380370271</c:v>
                </c:pt>
                <c:pt idx="21">
                  <c:v>19.763647769058522</c:v>
                </c:pt>
                <c:pt idx="22">
                  <c:v>18.101284872595656</c:v>
                </c:pt>
                <c:pt idx="23" formatCode="0.00E+00">
                  <c:v>16.554166507416539</c:v>
                </c:pt>
                <c:pt idx="24" formatCode="0.00E+00">
                  <c:v>15.046053880681557</c:v>
                </c:pt>
                <c:pt idx="25" formatCode="0.00E+00">
                  <c:v>13.789781420741155</c:v>
                </c:pt>
                <c:pt idx="26" formatCode="0.00E+00">
                  <c:v>12.644042905071268</c:v>
                </c:pt>
                <c:pt idx="27" formatCode="0.00E+00">
                  <c:v>11.522559380770733</c:v>
                </c:pt>
                <c:pt idx="28" formatCode="0.00E+00">
                  <c:v>10.505528745091265</c:v>
                </c:pt>
                <c:pt idx="29" formatCode="0.00E+00">
                  <c:v>9.6099288656044575</c:v>
                </c:pt>
                <c:pt idx="30" formatCode="0.00E+00">
                  <c:v>8.7711866179683362</c:v>
                </c:pt>
                <c:pt idx="31" formatCode="0.00E+00">
                  <c:v>8.0245620696968309</c:v>
                </c:pt>
                <c:pt idx="32" formatCode="0.00E+00">
                  <c:v>7.3745975406871178</c:v>
                </c:pt>
                <c:pt idx="33" formatCode="0.00E+00">
                  <c:v>6.7230079820274806</c:v>
                </c:pt>
                <c:pt idx="34" formatCode="0.00E+00">
                  <c:v>6.1081457267904478</c:v>
                </c:pt>
                <c:pt idx="35" formatCode="0.00E+00">
                  <c:v>5.6258812503419824</c:v>
                </c:pt>
                <c:pt idx="36" formatCode="0.00E+00">
                  <c:v>5.1787098432292389</c:v>
                </c:pt>
                <c:pt idx="37" formatCode="0.00E+00">
                  <c:v>4.7726730051624298</c:v>
                </c:pt>
                <c:pt idx="38" formatCode="0.00E+00">
                  <c:v>4.3268099705615528</c:v>
                </c:pt>
                <c:pt idx="39" formatCode="0.00E+00">
                  <c:v>3.9483343763982734</c:v>
                </c:pt>
                <c:pt idx="40" formatCode="0.00E+00">
                  <c:v>3.6031138669110576</c:v>
                </c:pt>
                <c:pt idx="41" formatCode="0.00E+00">
                  <c:v>3.3015980621486261</c:v>
                </c:pt>
                <c:pt idx="42" formatCode="0.00E+00">
                  <c:v>2.9956710201132006</c:v>
                </c:pt>
                <c:pt idx="43" formatCode="0.00E+00">
                  <c:v>2.7604576697389325</c:v>
                </c:pt>
                <c:pt idx="44" formatCode="0.00E+00">
                  <c:v>2.5073805219542291</c:v>
                </c:pt>
                <c:pt idx="45" formatCode="0.00E+00">
                  <c:v>2.2913758114696798</c:v>
                </c:pt>
                <c:pt idx="46" formatCode="0.00E+00">
                  <c:v>2.0926443664713763</c:v>
                </c:pt>
                <c:pt idx="47" formatCode="0.00E+00">
                  <c:v>1.9209460188481728</c:v>
                </c:pt>
                <c:pt idx="48" formatCode="0.00E+00">
                  <c:v>1.7610524297441799</c:v>
                </c:pt>
                <c:pt idx="49" formatCode="0.00E+00">
                  <c:v>1.5960156037939235</c:v>
                </c:pt>
                <c:pt idx="50" formatCode="0.00E+00">
                  <c:v>1.4606617506544002</c:v>
                </c:pt>
                <c:pt idx="51" formatCode="0.00E+00">
                  <c:v>1.337091269928774</c:v>
                </c:pt>
                <c:pt idx="52" formatCode="0.00E+00">
                  <c:v>1.2264110232008456</c:v>
                </c:pt>
                <c:pt idx="53" formatCode="0.00E+00">
                  <c:v>1.1186187280817539</c:v>
                </c:pt>
                <c:pt idx="54" formatCode="0.00E+00">
                  <c:v>1.0256697619413193</c:v>
                </c:pt>
                <c:pt idx="55" formatCode="0.00E+00">
                  <c:v>0.9295062298784994</c:v>
                </c:pt>
                <c:pt idx="56" formatCode="0.00E+00">
                  <c:v>0.8517996279803729</c:v>
                </c:pt>
                <c:pt idx="57" formatCode="0.00E+00">
                  <c:v>0.77759087174878938</c:v>
                </c:pt>
                <c:pt idx="58" formatCode="0.00E+00">
                  <c:v>0.7097006094285504</c:v>
                </c:pt>
                <c:pt idx="59" formatCode="0.00E+00">
                  <c:v>0.65012396005752304</c:v>
                </c:pt>
                <c:pt idx="60" formatCode="0.00E+00">
                  <c:v>0.59495147431011131</c:v>
                </c:pt>
                <c:pt idx="61" formatCode="0.00E+00">
                  <c:v>0.54275264419027569</c:v>
                </c:pt>
                <c:pt idx="62" formatCode="0.00E+00">
                  <c:v>0.49741343610023081</c:v>
                </c:pt>
                <c:pt idx="63" formatCode="0.00E+00">
                  <c:v>0.45222474730525314</c:v>
                </c:pt>
                <c:pt idx="64" formatCode="0.00E+00">
                  <c:v>0.41611742763759935</c:v>
                </c:pt>
                <c:pt idx="65" formatCode="0.00E+00">
                  <c:v>0.37913678141874724</c:v>
                </c:pt>
                <c:pt idx="66" formatCode="0.00E+00">
                  <c:v>0.34644311584378235</c:v>
                </c:pt>
                <c:pt idx="67" formatCode="0.00E+00">
                  <c:v>0.3173062715215817</c:v>
                </c:pt>
                <c:pt idx="68" formatCode="0.00E+00">
                  <c:v>0.28972098800665086</c:v>
                </c:pt>
                <c:pt idx="69" formatCode="0.00E+00">
                  <c:v>0.26386451203256117</c:v>
                </c:pt>
                <c:pt idx="70" formatCode="0.00E+00">
                  <c:v>0.24123841993574305</c:v>
                </c:pt>
                <c:pt idx="71" formatCode="0.00E+00">
                  <c:v>0.2205851042609627</c:v>
                </c:pt>
                <c:pt idx="72" formatCode="0.00E+00">
                  <c:v>0.20312344877436009</c:v>
                </c:pt>
                <c:pt idx="73" formatCode="0.00E+00">
                  <c:v>0.18544816377286055</c:v>
                </c:pt>
                <c:pt idx="74" formatCode="0.00E+00">
                  <c:v>0.16842464481406741</c:v>
                </c:pt>
                <c:pt idx="75" formatCode="0.00E+00">
                  <c:v>0.15467140219278439</c:v>
                </c:pt>
                <c:pt idx="76" formatCode="0.00E+00">
                  <c:v>0.14110907311400603</c:v>
                </c:pt>
                <c:pt idx="77" formatCode="0.00E+00">
                  <c:v>0.12914676269508263</c:v>
                </c:pt>
                <c:pt idx="78" formatCode="0.00E+00">
                  <c:v>0.11781249886665056</c:v>
                </c:pt>
                <c:pt idx="79" formatCode="0.00E+00">
                  <c:v>0.10771414853355049</c:v>
                </c:pt>
                <c:pt idx="80" formatCode="0.00E+00">
                  <c:v>9.8548100036750297E-2</c:v>
                </c:pt>
                <c:pt idx="81" formatCode="0.00E+00">
                  <c:v>8.9863560151866362E-2</c:v>
                </c:pt>
                <c:pt idx="82" formatCode="0.00E+00">
                  <c:v>8.2322122599216715E-2</c:v>
                </c:pt>
                <c:pt idx="83" formatCode="0.00E+00">
                  <c:v>7.5296206759609713E-2</c:v>
                </c:pt>
                <c:pt idx="84" formatCode="0.00E+00">
                  <c:v>6.8725161109930405E-2</c:v>
                </c:pt>
                <c:pt idx="85" formatCode="0.00E+00">
                  <c:v>6.2864665408830428E-2</c:v>
                </c:pt>
                <c:pt idx="86" formatCode="0.00E+00">
                  <c:v>5.7457732498678749E-2</c:v>
                </c:pt>
                <c:pt idx="87" formatCode="0.00E+00">
                  <c:v>5.2497356788847371E-2</c:v>
                </c:pt>
                <c:pt idx="88" formatCode="0.00E+00">
                  <c:v>4.7997576591575407E-2</c:v>
                </c:pt>
                <c:pt idx="89" formatCode="0.00E+00">
                  <c:v>4.3959361558886155E-2</c:v>
                </c:pt>
                <c:pt idx="90" formatCode="0.00E+00">
                  <c:v>4.016206479599662E-2</c:v>
                </c:pt>
                <c:pt idx="91" formatCode="0.00E+00">
                  <c:v>3.669415292559125E-2</c:v>
                </c:pt>
                <c:pt idx="92" formatCode="0.00E+00">
                  <c:v>3.3516995558975617E-2</c:v>
                </c:pt>
                <c:pt idx="93" formatCode="0.00E+00">
                  <c:v>3.0664556120465074E-2</c:v>
                </c:pt>
                <c:pt idx="94" formatCode="0.00E+00">
                  <c:v>2.8002150637116623E-2</c:v>
                </c:pt>
                <c:pt idx="95" formatCode="0.00E+00">
                  <c:v>2.5619204525968373E-2</c:v>
                </c:pt>
                <c:pt idx="96" formatCode="0.00E+00">
                  <c:v>2.3416875914375749E-2</c:v>
                </c:pt>
                <c:pt idx="97" formatCode="0.00E+00">
                  <c:v>2.1397628653198251E-2</c:v>
                </c:pt>
                <c:pt idx="98" formatCode="0.00E+00">
                  <c:v>1.9551393632067711E-2</c:v>
                </c:pt>
                <c:pt idx="99" formatCode="0.00E+00">
                  <c:v>1.7909062958950436E-2</c:v>
                </c:pt>
                <c:pt idx="100" formatCode="0.00E+00">
                  <c:v>1.6392344643626888E-2</c:v>
                </c:pt>
                <c:pt idx="101" formatCode="0.00E+00">
                  <c:v>1.4901834432193714E-2</c:v>
                </c:pt>
                <c:pt idx="102" formatCode="0.00E+00">
                  <c:v>1.3660287203022408E-2</c:v>
                </c:pt>
                <c:pt idx="103" formatCode="0.00E+00">
                  <c:v>1.2462030694161292E-2</c:v>
                </c:pt>
                <c:pt idx="104" formatCode="0.00E+00">
                  <c:v>1.1395519979292551E-2</c:v>
                </c:pt>
                <c:pt idx="105" formatCode="0.00E+00">
                  <c:v>1.0445533883809895E-2</c:v>
                </c:pt>
                <c:pt idx="106" formatCode="0.00E+00">
                  <c:v>9.5559766061640641E-3</c:v>
                </c:pt>
                <c:pt idx="107" formatCode="0.00E+00">
                  <c:v>8.7327001809829816E-3</c:v>
                </c:pt>
                <c:pt idx="108" formatCode="0.00E+00">
                  <c:v>7.9800690519282076E-3</c:v>
                </c:pt>
                <c:pt idx="109" formatCode="0.00E+00">
                  <c:v>7.2718353564495243E-3</c:v>
                </c:pt>
                <c:pt idx="110" formatCode="0.00E+00">
                  <c:v>6.6582991473352641E-3</c:v>
                </c:pt>
                <c:pt idx="111" formatCode="0.00E+00">
                  <c:v>6.0889084072240467E-3</c:v>
                </c:pt>
                <c:pt idx="112" formatCode="0.00E+00">
                  <c:v>5.5628260950851497E-3</c:v>
                </c:pt>
                <c:pt idx="113" formatCode="0.00E+00">
                  <c:v>5.085050481253902E-3</c:v>
                </c:pt>
                <c:pt idx="114" formatCode="0.00E+00">
                  <c:v>4.6516519029324403E-3</c:v>
                </c:pt>
                <c:pt idx="115" formatCode="0.00E+00">
                  <c:v>4.2528990079885205E-3</c:v>
                </c:pt>
                <c:pt idx="116" formatCode="0.00E+00">
                  <c:v>3.8878599966541715E-3</c:v>
                </c:pt>
                <c:pt idx="117" formatCode="0.00E+00">
                  <c:v>3.5509125104284762E-3</c:v>
                </c:pt>
              </c:numCache>
            </c:numRef>
          </c:xVal>
          <c:yVal>
            <c:numRef>
              <c:f>THOMfitedt_196!$AL$10:$AL$205</c:f>
              <c:numCache>
                <c:formatCode>0.0000</c:formatCode>
                <c:ptCount val="196"/>
                <c:pt idx="0">
                  <c:v>6.4745557791183905E-2</c:v>
                </c:pt>
                <c:pt idx="1">
                  <c:v>0.12583090390161644</c:v>
                </c:pt>
                <c:pt idx="2">
                  <c:v>0.17890294692641709</c:v>
                </c:pt>
                <c:pt idx="3">
                  <c:v>0.24124575104896542</c:v>
                </c:pt>
                <c:pt idx="4">
                  <c:v>0.2983184501569161</c:v>
                </c:pt>
                <c:pt idx="5">
                  <c:v>0.34925852339268681</c:v>
                </c:pt>
                <c:pt idx="6">
                  <c:v>0.38509230031901248</c:v>
                </c:pt>
                <c:pt idx="7">
                  <c:v>0.40358875113027415</c:v>
                </c:pt>
                <c:pt idx="8">
                  <c:v>0.41026410299594174</c:v>
                </c:pt>
                <c:pt idx="9">
                  <c:v>0.40460703253256203</c:v>
                </c:pt>
                <c:pt idx="10">
                  <c:v>0.4005820638088905</c:v>
                </c:pt>
                <c:pt idx="11">
                  <c:v>0.38389822499118476</c:v>
                </c:pt>
                <c:pt idx="12">
                  <c:v>0.36938462216509421</c:v>
                </c:pt>
                <c:pt idx="13">
                  <c:v>0.35589707955416316</c:v>
                </c:pt>
                <c:pt idx="14">
                  <c:v>0.33745719473533214</c:v>
                </c:pt>
                <c:pt idx="15">
                  <c:v>0.3216341996824475</c:v>
                </c:pt>
                <c:pt idx="16">
                  <c:v>0.30614994465735579</c:v>
                </c:pt>
                <c:pt idx="17">
                  <c:v>0.29034853196134947</c:v>
                </c:pt>
                <c:pt idx="18">
                  <c:v>0.27547188763024921</c:v>
                </c:pt>
                <c:pt idx="19">
                  <c:v>0.26113085611320186</c:v>
                </c:pt>
                <c:pt idx="20">
                  <c:v>0.24748519721849505</c:v>
                </c:pt>
                <c:pt idx="21">
                  <c:v>0.23715744448521314</c:v>
                </c:pt>
                <c:pt idx="22">
                  <c:v>0.22426081702616785</c:v>
                </c:pt>
                <c:pt idx="23">
                  <c:v>0.21280335136789763</c:v>
                </c:pt>
                <c:pt idx="24">
                  <c:v>0.20528214193901861</c:v>
                </c:pt>
                <c:pt idx="25">
                  <c:v>0.19410301536135366</c:v>
                </c:pt>
                <c:pt idx="26">
                  <c:v>0.18543143837128495</c:v>
                </c:pt>
                <c:pt idx="27">
                  <c:v>0.17889825336986243</c:v>
                </c:pt>
                <c:pt idx="28">
                  <c:v>0.16896873771940601</c:v>
                </c:pt>
                <c:pt idx="29">
                  <c:v>0.1604189882597864</c:v>
                </c:pt>
                <c:pt idx="30">
                  <c:v>0.15518294043465786</c:v>
                </c:pt>
                <c:pt idx="31">
                  <c:v>0.1484151620878843</c:v>
                </c:pt>
                <c:pt idx="32">
                  <c:v>0.13946365013875783</c:v>
                </c:pt>
                <c:pt idx="33">
                  <c:v>0.13424965775140296</c:v>
                </c:pt>
                <c:pt idx="34">
                  <c:v>0.12778762973034086</c:v>
                </c:pt>
                <c:pt idx="35">
                  <c:v>0.1217642525729965</c:v>
                </c:pt>
                <c:pt idx="36">
                  <c:v>0.11841738050545247</c:v>
                </c:pt>
                <c:pt idx="37">
                  <c:v>0.11345697884414108</c:v>
                </c:pt>
                <c:pt idx="38">
                  <c:v>0.1103050280329958</c:v>
                </c:pt>
                <c:pt idx="39">
                  <c:v>0.10745557331603539</c:v>
                </c:pt>
                <c:pt idx="40">
                  <c:v>0.10364070900854383</c:v>
                </c:pt>
                <c:pt idx="41">
                  <c:v>0.1014077228890522</c:v>
                </c:pt>
                <c:pt idx="42">
                  <c:v>9.7892680161020484E-2</c:v>
                </c:pt>
                <c:pt idx="43">
                  <c:v>9.2350870589952283E-2</c:v>
                </c:pt>
                <c:pt idx="44">
                  <c:v>9.0276502292204075E-2</c:v>
                </c:pt>
                <c:pt idx="45">
                  <c:v>8.6507969137394225E-2</c:v>
                </c:pt>
                <c:pt idx="46">
                  <c:v>8.3624408182373378E-2</c:v>
                </c:pt>
                <c:pt idx="47">
                  <c:v>8.1221953705116645E-2</c:v>
                </c:pt>
                <c:pt idx="48">
                  <c:v>7.7848252925252215E-2</c:v>
                </c:pt>
                <c:pt idx="49">
                  <c:v>7.6226484624071E-2</c:v>
                </c:pt>
                <c:pt idx="50">
                  <c:v>7.293449175955824E-2</c:v>
                </c:pt>
                <c:pt idx="51">
                  <c:v>7.7469740548853139E-2</c:v>
                </c:pt>
                <c:pt idx="52">
                  <c:v>0.14518320480480829</c:v>
                </c:pt>
                <c:pt idx="53">
                  <c:v>0.2193237271579751</c:v>
                </c:pt>
                <c:pt idx="54">
                  <c:v>0.29308413319785287</c:v>
                </c:pt>
                <c:pt idx="55">
                  <c:v>0.41109277687825108</c:v>
                </c:pt>
                <c:pt idx="56">
                  <c:v>0.45985072644370395</c:v>
                </c:pt>
                <c:pt idx="57">
                  <c:v>0.48679247669638714</c:v>
                </c:pt>
                <c:pt idx="58">
                  <c:v>0.49664441438540985</c:v>
                </c:pt>
                <c:pt idx="59">
                  <c:v>0.43672854044119624</c:v>
                </c:pt>
                <c:pt idx="60">
                  <c:v>0.37424516043670186</c:v>
                </c:pt>
                <c:pt idx="61">
                  <c:v>0.31485091663141263</c:v>
                </c:pt>
                <c:pt idx="62">
                  <c:v>0.26721749801149519</c:v>
                </c:pt>
                <c:pt idx="63">
                  <c:v>0.235131987254106</c:v>
                </c:pt>
                <c:pt idx="64">
                  <c:v>0.20322589334929986</c:v>
                </c:pt>
                <c:pt idx="65">
                  <c:v>0.18229603115270088</c:v>
                </c:pt>
                <c:pt idx="66">
                  <c:v>0.16430310870891685</c:v>
                </c:pt>
                <c:pt idx="67">
                  <c:v>0.14697403509754636</c:v>
                </c:pt>
                <c:pt idx="68">
                  <c:v>0.15669852164478804</c:v>
                </c:pt>
                <c:pt idx="69">
                  <c:v>0.1654694092738338</c:v>
                </c:pt>
                <c:pt idx="70">
                  <c:v>0.17223351150460986</c:v>
                </c:pt>
                <c:pt idx="71">
                  <c:v>0.19712887080459485</c:v>
                </c:pt>
                <c:pt idx="72">
                  <c:v>0.19677201695704016</c:v>
                </c:pt>
                <c:pt idx="73">
                  <c:v>0.19268855044713673</c:v>
                </c:pt>
                <c:pt idx="74">
                  <c:v>0.18744171233254758</c:v>
                </c:pt>
                <c:pt idx="75">
                  <c:v>0.16067287058514745</c:v>
                </c:pt>
                <c:pt idx="76">
                  <c:v>0.13842696180019054</c:v>
                </c:pt>
                <c:pt idx="77">
                  <c:v>0.11842575878258765</c:v>
                </c:pt>
                <c:pt idx="78">
                  <c:v>0.10414757888735249</c:v>
                </c:pt>
                <c:pt idx="79">
                  <c:v>9.4474979485186239E-2</c:v>
                </c:pt>
                <c:pt idx="80">
                  <c:v>8.6078712461349571E-2</c:v>
                </c:pt>
                <c:pt idx="81">
                  <c:v>8.0348355689225937E-2</c:v>
                </c:pt>
                <c:pt idx="82">
                  <c:v>7.4180419710378587E-2</c:v>
                </c:pt>
                <c:pt idx="83">
                  <c:v>6.9858297175573458E-2</c:v>
                </c:pt>
                <c:pt idx="84">
                  <c:v>6.6268398360536995E-2</c:v>
                </c:pt>
                <c:pt idx="85">
                  <c:v>6.2357697405682533E-2</c:v>
                </c:pt>
                <c:pt idx="86">
                  <c:v>5.9467810170733326E-2</c:v>
                </c:pt>
                <c:pt idx="87">
                  <c:v>5.6859356073036604E-2</c:v>
                </c:pt>
                <c:pt idx="88">
                  <c:v>5.4240062003140466E-2</c:v>
                </c:pt>
                <c:pt idx="89">
                  <c:v>5.1987321077425985E-2</c:v>
                </c:pt>
                <c:pt idx="90">
                  <c:v>5.0051616544894095E-2</c:v>
                </c:pt>
                <c:pt idx="91">
                  <c:v>4.8186224746915141E-2</c:v>
                </c:pt>
                <c:pt idx="92">
                  <c:v>4.6424395151920095E-2</c:v>
                </c:pt>
                <c:pt idx="93">
                  <c:v>4.4848626756404997E-2</c:v>
                </c:pt>
                <c:pt idx="94">
                  <c:v>4.3438770335624266E-2</c:v>
                </c:pt>
                <c:pt idx="95">
                  <c:v>4.190866671298954E-2</c:v>
                </c:pt>
                <c:pt idx="96">
                  <c:v>4.0492714681889641E-2</c:v>
                </c:pt>
                <c:pt idx="97">
                  <c:v>3.9261348619261227E-2</c:v>
                </c:pt>
                <c:pt idx="98">
                  <c:v>3.8305512413856491E-2</c:v>
                </c:pt>
                <c:pt idx="99">
                  <c:v>3.6993190343347582E-2</c:v>
                </c:pt>
                <c:pt idx="100">
                  <c:v>3.6081762160775632E-2</c:v>
                </c:pt>
                <c:pt idx="101">
                  <c:v>3.5389686317768732E-2</c:v>
                </c:pt>
                <c:pt idx="102">
                  <c:v>3.3905972024149467E-2</c:v>
                </c:pt>
                <c:pt idx="103">
                  <c:v>3.3314958402236972E-2</c:v>
                </c:pt>
                <c:pt idx="104">
                  <c:v>3.2435019253084008E-2</c:v>
                </c:pt>
                <c:pt idx="105">
                  <c:v>3.1267811833336268E-2</c:v>
                </c:pt>
                <c:pt idx="106">
                  <c:v>3.0843823641185431E-2</c:v>
                </c:pt>
                <c:pt idx="107">
                  <c:v>2.9994851389284705E-2</c:v>
                </c:pt>
                <c:pt idx="108">
                  <c:v>2.9290350622622974E-2</c:v>
                </c:pt>
                <c:pt idx="109">
                  <c:v>2.8864906059582474E-2</c:v>
                </c:pt>
                <c:pt idx="110">
                  <c:v>2.8056885134676968E-2</c:v>
                </c:pt>
                <c:pt idx="111">
                  <c:v>2.7443157701883436E-2</c:v>
                </c:pt>
                <c:pt idx="112">
                  <c:v>2.6858943114970835E-2</c:v>
                </c:pt>
                <c:pt idx="113">
                  <c:v>2.6134357920887474E-2</c:v>
                </c:pt>
                <c:pt idx="114">
                  <c:v>2.5647558359471745E-2</c:v>
                </c:pt>
                <c:pt idx="115">
                  <c:v>2.5277171486496698E-2</c:v>
                </c:pt>
                <c:pt idx="116">
                  <c:v>2.4881598303998498E-2</c:v>
                </c:pt>
                <c:pt idx="117">
                  <c:v>2.4585007514422053E-2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THOMfitedt_196!$AF$9</c:f>
              <c:strCache>
                <c:ptCount val="1"/>
                <c:pt idx="0">
                  <c:v>delta %Bvocc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THOMfitedt_196!$AE$10:$AE$205</c:f>
              <c:numCache>
                <c:formatCode>0.0000</c:formatCode>
                <c:ptCount val="196"/>
                <c:pt idx="0">
                  <c:v>138.34553438340964</c:v>
                </c:pt>
                <c:pt idx="1">
                  <c:v>117.70835522124356</c:v>
                </c:pt>
                <c:pt idx="2">
                  <c:v>109.25749894894915</c:v>
                </c:pt>
                <c:pt idx="3">
                  <c:v>98.6352421066902</c:v>
                </c:pt>
                <c:pt idx="4">
                  <c:v>90.660477851255678</c:v>
                </c:pt>
                <c:pt idx="5">
                  <c:v>82.899658735583984</c:v>
                </c:pt>
                <c:pt idx="6">
                  <c:v>75.819260836459378</c:v>
                </c:pt>
                <c:pt idx="7">
                  <c:v>69.172767191704821</c:v>
                </c:pt>
                <c:pt idx="8">
                  <c:v>63.22021452535634</c:v>
                </c:pt>
                <c:pt idx="9">
                  <c:v>58.05234957777953</c:v>
                </c:pt>
                <c:pt idx="10">
                  <c:v>52.866531749491529</c:v>
                </c:pt>
                <c:pt idx="11">
                  <c:v>48.420937034193379</c:v>
                </c:pt>
                <c:pt idx="12">
                  <c:v>44.293580654979394</c:v>
                </c:pt>
                <c:pt idx="13">
                  <c:v>40.504205884116139</c:v>
                </c:pt>
                <c:pt idx="14">
                  <c:v>36.98821579000883</c:v>
                </c:pt>
                <c:pt idx="15">
                  <c:v>33.817797293722357</c:v>
                </c:pt>
                <c:pt idx="16">
                  <c:v>30.921933664796935</c:v>
                </c:pt>
                <c:pt idx="17">
                  <c:v>28.293774628213924</c:v>
                </c:pt>
                <c:pt idx="18">
                  <c:v>25.855840163889667</c:v>
                </c:pt>
                <c:pt idx="19">
                  <c:v>23.619969284972381</c:v>
                </c:pt>
                <c:pt idx="20">
                  <c:v>21.607720380370271</c:v>
                </c:pt>
                <c:pt idx="21">
                  <c:v>19.763647769058522</c:v>
                </c:pt>
                <c:pt idx="22">
                  <c:v>18.101284872595656</c:v>
                </c:pt>
                <c:pt idx="23" formatCode="0.00E+00">
                  <c:v>16.554166507416539</c:v>
                </c:pt>
                <c:pt idx="24" formatCode="0.00E+00">
                  <c:v>15.046053880681557</c:v>
                </c:pt>
                <c:pt idx="25" formatCode="0.00E+00">
                  <c:v>13.789781420741155</c:v>
                </c:pt>
                <c:pt idx="26" formatCode="0.00E+00">
                  <c:v>12.644042905071268</c:v>
                </c:pt>
                <c:pt idx="27" formatCode="0.00E+00">
                  <c:v>11.522559380770733</c:v>
                </c:pt>
                <c:pt idx="28" formatCode="0.00E+00">
                  <c:v>10.505528745091265</c:v>
                </c:pt>
                <c:pt idx="29" formatCode="0.00E+00">
                  <c:v>9.6099288656044575</c:v>
                </c:pt>
                <c:pt idx="30" formatCode="0.00E+00">
                  <c:v>8.7711866179683362</c:v>
                </c:pt>
                <c:pt idx="31" formatCode="0.00E+00">
                  <c:v>8.0245620696968309</c:v>
                </c:pt>
                <c:pt idx="32" formatCode="0.00E+00">
                  <c:v>7.3745975406871178</c:v>
                </c:pt>
                <c:pt idx="33" formatCode="0.00E+00">
                  <c:v>6.7230079820274806</c:v>
                </c:pt>
                <c:pt idx="34" formatCode="0.00E+00">
                  <c:v>6.1081457267904478</c:v>
                </c:pt>
                <c:pt idx="35" formatCode="0.00E+00">
                  <c:v>5.6258812503419824</c:v>
                </c:pt>
                <c:pt idx="36" formatCode="0.00E+00">
                  <c:v>5.1787098432292389</c:v>
                </c:pt>
                <c:pt idx="37" formatCode="0.00E+00">
                  <c:v>4.7726730051624298</c:v>
                </c:pt>
                <c:pt idx="38" formatCode="0.00E+00">
                  <c:v>4.3268099705615528</c:v>
                </c:pt>
                <c:pt idx="39" formatCode="0.00E+00">
                  <c:v>3.9483343763982734</c:v>
                </c:pt>
                <c:pt idx="40" formatCode="0.00E+00">
                  <c:v>3.6031138669110576</c:v>
                </c:pt>
                <c:pt idx="41" formatCode="0.00E+00">
                  <c:v>3.3015980621486261</c:v>
                </c:pt>
                <c:pt idx="42" formatCode="0.00E+00">
                  <c:v>2.9956710201132006</c:v>
                </c:pt>
                <c:pt idx="43" formatCode="0.00E+00">
                  <c:v>2.7604576697389325</c:v>
                </c:pt>
                <c:pt idx="44" formatCode="0.00E+00">
                  <c:v>2.5073805219542291</c:v>
                </c:pt>
                <c:pt idx="45" formatCode="0.00E+00">
                  <c:v>2.2913758114696798</c:v>
                </c:pt>
                <c:pt idx="46" formatCode="0.00E+00">
                  <c:v>2.0926443664713763</c:v>
                </c:pt>
                <c:pt idx="47" formatCode="0.00E+00">
                  <c:v>1.9209460188481728</c:v>
                </c:pt>
                <c:pt idx="48" formatCode="0.00E+00">
                  <c:v>1.7610524297441799</c:v>
                </c:pt>
                <c:pt idx="49" formatCode="0.00E+00">
                  <c:v>1.5960156037939235</c:v>
                </c:pt>
                <c:pt idx="50" formatCode="0.00E+00">
                  <c:v>1.4606617506544002</c:v>
                </c:pt>
                <c:pt idx="51" formatCode="0.00E+00">
                  <c:v>1.337091269928774</c:v>
                </c:pt>
                <c:pt idx="52" formatCode="0.00E+00">
                  <c:v>1.2264110232008456</c:v>
                </c:pt>
                <c:pt idx="53" formatCode="0.00E+00">
                  <c:v>1.1186187280817539</c:v>
                </c:pt>
                <c:pt idx="54" formatCode="0.00E+00">
                  <c:v>1.0256697619413193</c:v>
                </c:pt>
                <c:pt idx="55" formatCode="0.00E+00">
                  <c:v>0.9295062298784994</c:v>
                </c:pt>
                <c:pt idx="56" formatCode="0.00E+00">
                  <c:v>0.8517996279803729</c:v>
                </c:pt>
                <c:pt idx="57" formatCode="0.00E+00">
                  <c:v>0.77759087174878938</c:v>
                </c:pt>
                <c:pt idx="58" formatCode="0.00E+00">
                  <c:v>0.7097006094285504</c:v>
                </c:pt>
                <c:pt idx="59" formatCode="0.00E+00">
                  <c:v>0.65012396005752304</c:v>
                </c:pt>
                <c:pt idx="60" formatCode="0.00E+00">
                  <c:v>0.59495147431011131</c:v>
                </c:pt>
                <c:pt idx="61" formatCode="0.00E+00">
                  <c:v>0.54275264419027569</c:v>
                </c:pt>
                <c:pt idx="62" formatCode="0.00E+00">
                  <c:v>0.49741343610023081</c:v>
                </c:pt>
                <c:pt idx="63" formatCode="0.00E+00">
                  <c:v>0.45222474730525314</c:v>
                </c:pt>
                <c:pt idx="64" formatCode="0.00E+00">
                  <c:v>0.41611742763759935</c:v>
                </c:pt>
                <c:pt idx="65" formatCode="0.00E+00">
                  <c:v>0.37913678141874724</c:v>
                </c:pt>
                <c:pt idx="66" formatCode="0.00E+00">
                  <c:v>0.34644311584378235</c:v>
                </c:pt>
                <c:pt idx="67" formatCode="0.00E+00">
                  <c:v>0.3173062715215817</c:v>
                </c:pt>
                <c:pt idx="68" formatCode="0.00E+00">
                  <c:v>0.28972098800665086</c:v>
                </c:pt>
                <c:pt idx="69" formatCode="0.00E+00">
                  <c:v>0.26386451203256117</c:v>
                </c:pt>
                <c:pt idx="70" formatCode="0.00E+00">
                  <c:v>0.24123841993574305</c:v>
                </c:pt>
                <c:pt idx="71" formatCode="0.00E+00">
                  <c:v>0.2205851042609627</c:v>
                </c:pt>
                <c:pt idx="72" formatCode="0.00E+00">
                  <c:v>0.20312344877436009</c:v>
                </c:pt>
                <c:pt idx="73" formatCode="0.00E+00">
                  <c:v>0.18544816377286055</c:v>
                </c:pt>
                <c:pt idx="74" formatCode="0.00E+00">
                  <c:v>0.16842464481406741</c:v>
                </c:pt>
                <c:pt idx="75" formatCode="0.00E+00">
                  <c:v>0.15467140219278439</c:v>
                </c:pt>
                <c:pt idx="76" formatCode="0.00E+00">
                  <c:v>0.14110907311400603</c:v>
                </c:pt>
                <c:pt idx="77" formatCode="0.00E+00">
                  <c:v>0.12914676269508263</c:v>
                </c:pt>
                <c:pt idx="78" formatCode="0.00E+00">
                  <c:v>0.11781249886665056</c:v>
                </c:pt>
                <c:pt idx="79" formatCode="0.00E+00">
                  <c:v>0.10771414853355049</c:v>
                </c:pt>
                <c:pt idx="80" formatCode="0.00E+00">
                  <c:v>9.8548100036750297E-2</c:v>
                </c:pt>
                <c:pt idx="81" formatCode="0.00E+00">
                  <c:v>8.9863560151866362E-2</c:v>
                </c:pt>
                <c:pt idx="82" formatCode="0.00E+00">
                  <c:v>8.2322122599216715E-2</c:v>
                </c:pt>
                <c:pt idx="83" formatCode="0.00E+00">
                  <c:v>7.5296206759609713E-2</c:v>
                </c:pt>
                <c:pt idx="84" formatCode="0.00E+00">
                  <c:v>6.8725161109930405E-2</c:v>
                </c:pt>
                <c:pt idx="85" formatCode="0.00E+00">
                  <c:v>6.2864665408830428E-2</c:v>
                </c:pt>
                <c:pt idx="86" formatCode="0.00E+00">
                  <c:v>5.7457732498678749E-2</c:v>
                </c:pt>
                <c:pt idx="87" formatCode="0.00E+00">
                  <c:v>5.2497356788847371E-2</c:v>
                </c:pt>
                <c:pt idx="88" formatCode="0.00E+00">
                  <c:v>4.7997576591575407E-2</c:v>
                </c:pt>
                <c:pt idx="89" formatCode="0.00E+00">
                  <c:v>4.3959361558886155E-2</c:v>
                </c:pt>
                <c:pt idx="90" formatCode="0.00E+00">
                  <c:v>4.016206479599662E-2</c:v>
                </c:pt>
                <c:pt idx="91" formatCode="0.00E+00">
                  <c:v>3.669415292559125E-2</c:v>
                </c:pt>
                <c:pt idx="92" formatCode="0.00E+00">
                  <c:v>3.3516995558975617E-2</c:v>
                </c:pt>
                <c:pt idx="93" formatCode="0.00E+00">
                  <c:v>3.0664556120465074E-2</c:v>
                </c:pt>
                <c:pt idx="94" formatCode="0.00E+00">
                  <c:v>2.8002150637116623E-2</c:v>
                </c:pt>
                <c:pt idx="95" formatCode="0.00E+00">
                  <c:v>2.5619204525968373E-2</c:v>
                </c:pt>
                <c:pt idx="96" formatCode="0.00E+00">
                  <c:v>2.3416875914375749E-2</c:v>
                </c:pt>
                <c:pt idx="97" formatCode="0.00E+00">
                  <c:v>2.1397628653198251E-2</c:v>
                </c:pt>
                <c:pt idx="98" formatCode="0.00E+00">
                  <c:v>1.9551393632067711E-2</c:v>
                </c:pt>
                <c:pt idx="99" formatCode="0.00E+00">
                  <c:v>1.7909062958950436E-2</c:v>
                </c:pt>
                <c:pt idx="100" formatCode="0.00E+00">
                  <c:v>1.6392344643626888E-2</c:v>
                </c:pt>
                <c:pt idx="101" formatCode="0.00E+00">
                  <c:v>1.4901834432193714E-2</c:v>
                </c:pt>
                <c:pt idx="102" formatCode="0.00E+00">
                  <c:v>1.3660287203022408E-2</c:v>
                </c:pt>
                <c:pt idx="103" formatCode="0.00E+00">
                  <c:v>1.2462030694161292E-2</c:v>
                </c:pt>
                <c:pt idx="104" formatCode="0.00E+00">
                  <c:v>1.1395519979292551E-2</c:v>
                </c:pt>
                <c:pt idx="105" formatCode="0.00E+00">
                  <c:v>1.0445533883809895E-2</c:v>
                </c:pt>
                <c:pt idx="106" formatCode="0.00E+00">
                  <c:v>9.5559766061640641E-3</c:v>
                </c:pt>
                <c:pt idx="107" formatCode="0.00E+00">
                  <c:v>8.7327001809829816E-3</c:v>
                </c:pt>
                <c:pt idx="108" formatCode="0.00E+00">
                  <c:v>7.9800690519282076E-3</c:v>
                </c:pt>
                <c:pt idx="109" formatCode="0.00E+00">
                  <c:v>7.2718353564495243E-3</c:v>
                </c:pt>
                <c:pt idx="110" formatCode="0.00E+00">
                  <c:v>6.6582991473352641E-3</c:v>
                </c:pt>
                <c:pt idx="111" formatCode="0.00E+00">
                  <c:v>6.0889084072240467E-3</c:v>
                </c:pt>
                <c:pt idx="112" formatCode="0.00E+00">
                  <c:v>5.5628260950851497E-3</c:v>
                </c:pt>
                <c:pt idx="113" formatCode="0.00E+00">
                  <c:v>5.085050481253902E-3</c:v>
                </c:pt>
                <c:pt idx="114" formatCode="0.00E+00">
                  <c:v>4.6516519029324403E-3</c:v>
                </c:pt>
                <c:pt idx="115" formatCode="0.00E+00">
                  <c:v>4.2528990079885205E-3</c:v>
                </c:pt>
                <c:pt idx="116" formatCode="0.00E+00">
                  <c:v>3.8878599966541715E-3</c:v>
                </c:pt>
                <c:pt idx="117" formatCode="0.00E+00">
                  <c:v>3.5509125104284762E-3</c:v>
                </c:pt>
              </c:numCache>
            </c:numRef>
          </c:xVal>
          <c:yVal>
            <c:numRef>
              <c:f>THOMfitedt_196!$AF$10:$AF$205</c:f>
              <c:numCache>
                <c:formatCode>0.0000</c:formatCode>
                <c:ptCount val="196"/>
                <c:pt idx="0">
                  <c:v>1E-4</c:v>
                </c:pt>
                <c:pt idx="1">
                  <c:v>0.13356604965765839</c:v>
                </c:pt>
                <c:pt idx="2">
                  <c:v>0.13356604965765839</c:v>
                </c:pt>
                <c:pt idx="3">
                  <c:v>0.31165411586786962</c:v>
                </c:pt>
                <c:pt idx="4">
                  <c:v>0.40069814897297529</c:v>
                </c:pt>
                <c:pt idx="5">
                  <c:v>0.53426419863063335</c:v>
                </c:pt>
                <c:pt idx="6">
                  <c:v>0.40069814897297529</c:v>
                </c:pt>
                <c:pt idx="7">
                  <c:v>0.44522016552552812</c:v>
                </c:pt>
                <c:pt idx="8">
                  <c:v>0.42295915724925193</c:v>
                </c:pt>
                <c:pt idx="9">
                  <c:v>0.40069814897297551</c:v>
                </c:pt>
                <c:pt idx="10">
                  <c:v>0.3784371406966982</c:v>
                </c:pt>
                <c:pt idx="11">
                  <c:v>0.37843714069669954</c:v>
                </c:pt>
                <c:pt idx="12">
                  <c:v>0.37843714069669865</c:v>
                </c:pt>
                <c:pt idx="13">
                  <c:v>0.35617613242042179</c:v>
                </c:pt>
                <c:pt idx="14">
                  <c:v>0.31165411586786984</c:v>
                </c:pt>
                <c:pt idx="15">
                  <c:v>0.26713209931531701</c:v>
                </c:pt>
                <c:pt idx="16">
                  <c:v>0.28939310759159298</c:v>
                </c:pt>
                <c:pt idx="17">
                  <c:v>0.28939310759159298</c:v>
                </c:pt>
                <c:pt idx="18">
                  <c:v>0.28939310759159387</c:v>
                </c:pt>
                <c:pt idx="19">
                  <c:v>0.37843714069669776</c:v>
                </c:pt>
                <c:pt idx="20">
                  <c:v>0.28939310759159298</c:v>
                </c:pt>
                <c:pt idx="21">
                  <c:v>0.17808806621021223</c:v>
                </c:pt>
                <c:pt idx="22">
                  <c:v>0.22261008276276417</c:v>
                </c:pt>
                <c:pt idx="23">
                  <c:v>0.20034907448648642</c:v>
                </c:pt>
                <c:pt idx="24">
                  <c:v>0.22261008276276506</c:v>
                </c:pt>
                <c:pt idx="25">
                  <c:v>0.2003490744864882</c:v>
                </c:pt>
                <c:pt idx="26">
                  <c:v>0.20034907448648553</c:v>
                </c:pt>
                <c:pt idx="27">
                  <c:v>0.22261008276276506</c:v>
                </c:pt>
                <c:pt idx="28">
                  <c:v>0.17808806621021134</c:v>
                </c:pt>
                <c:pt idx="29">
                  <c:v>0.15582705793393359</c:v>
                </c:pt>
                <c:pt idx="30">
                  <c:v>0.17808806621021311</c:v>
                </c:pt>
                <c:pt idx="31">
                  <c:v>0.13356604965765762</c:v>
                </c:pt>
                <c:pt idx="32">
                  <c:v>0.15582705793393536</c:v>
                </c:pt>
                <c:pt idx="33">
                  <c:v>0.13356604965765762</c:v>
                </c:pt>
                <c:pt idx="34">
                  <c:v>0.13356604965766117</c:v>
                </c:pt>
                <c:pt idx="35">
                  <c:v>0.13356604965765762</c:v>
                </c:pt>
                <c:pt idx="36">
                  <c:v>0.11130504138138342</c:v>
                </c:pt>
                <c:pt idx="37">
                  <c:v>0.13356604965765762</c:v>
                </c:pt>
                <c:pt idx="38">
                  <c:v>0.11130504138138342</c:v>
                </c:pt>
                <c:pt idx="39">
                  <c:v>0.11130504138137987</c:v>
                </c:pt>
                <c:pt idx="40">
                  <c:v>8.9044033105105669E-2</c:v>
                </c:pt>
                <c:pt idx="41">
                  <c:v>0.11130504138138342</c:v>
                </c:pt>
                <c:pt idx="42">
                  <c:v>8.9044033105103892E-2</c:v>
                </c:pt>
                <c:pt idx="43">
                  <c:v>8.9044033105105669E-2</c:v>
                </c:pt>
                <c:pt idx="44">
                  <c:v>8.9044033105105669E-2</c:v>
                </c:pt>
                <c:pt idx="45">
                  <c:v>8.9044033105103892E-2</c:v>
                </c:pt>
                <c:pt idx="46">
                  <c:v>8.9044033105105669E-2</c:v>
                </c:pt>
                <c:pt idx="47">
                  <c:v>0.11130504138138342</c:v>
                </c:pt>
                <c:pt idx="48">
                  <c:v>8.9044033105103892E-2</c:v>
                </c:pt>
                <c:pt idx="49">
                  <c:v>0.13356604965765762</c:v>
                </c:pt>
                <c:pt idx="50">
                  <c:v>0.13356604965766117</c:v>
                </c:pt>
                <c:pt idx="51">
                  <c:v>0.15582705793393181</c:v>
                </c:pt>
                <c:pt idx="52">
                  <c:v>0.17808806621021489</c:v>
                </c:pt>
                <c:pt idx="53">
                  <c:v>0.22261008276276151</c:v>
                </c:pt>
                <c:pt idx="54">
                  <c:v>0.28939310759159653</c:v>
                </c:pt>
                <c:pt idx="55">
                  <c:v>0.37843714069669865</c:v>
                </c:pt>
                <c:pt idx="56">
                  <c:v>0.37843714069669687</c:v>
                </c:pt>
                <c:pt idx="57">
                  <c:v>0.40069814897297817</c:v>
                </c:pt>
                <c:pt idx="58">
                  <c:v>0.40069814897297462</c:v>
                </c:pt>
                <c:pt idx="59">
                  <c:v>0.37843714069670042</c:v>
                </c:pt>
                <c:pt idx="60">
                  <c:v>0.3561761324204209</c:v>
                </c:pt>
                <c:pt idx="61">
                  <c:v>0.3339151241441467</c:v>
                </c:pt>
                <c:pt idx="62">
                  <c:v>0.31165411586787073</c:v>
                </c:pt>
                <c:pt idx="63">
                  <c:v>0.26713209931531701</c:v>
                </c:pt>
                <c:pt idx="64">
                  <c:v>0.24487109103904103</c:v>
                </c:pt>
                <c:pt idx="65">
                  <c:v>0.17808806621020956</c:v>
                </c:pt>
                <c:pt idx="66">
                  <c:v>0.15582705793393892</c:v>
                </c:pt>
                <c:pt idx="67">
                  <c:v>0.13356604965765762</c:v>
                </c:pt>
                <c:pt idx="68">
                  <c:v>0.13356604965765762</c:v>
                </c:pt>
                <c:pt idx="69">
                  <c:v>0.13356604965766117</c:v>
                </c:pt>
                <c:pt idx="70">
                  <c:v>0.13356604965765939</c:v>
                </c:pt>
                <c:pt idx="71">
                  <c:v>0.15582705793393359</c:v>
                </c:pt>
                <c:pt idx="72">
                  <c:v>0.17808806621021134</c:v>
                </c:pt>
                <c:pt idx="73">
                  <c:v>0.17808806621020778</c:v>
                </c:pt>
                <c:pt idx="74">
                  <c:v>0.15582705793393714</c:v>
                </c:pt>
                <c:pt idx="75">
                  <c:v>0.13356604965765939</c:v>
                </c:pt>
                <c:pt idx="76">
                  <c:v>0.11130504138138519</c:v>
                </c:pt>
                <c:pt idx="77">
                  <c:v>0.11130504138138164</c:v>
                </c:pt>
                <c:pt idx="78">
                  <c:v>8.9044033105103892E-2</c:v>
                </c:pt>
                <c:pt idx="79">
                  <c:v>8.9044033105107445E-2</c:v>
                </c:pt>
                <c:pt idx="80">
                  <c:v>6.6783024828826143E-2</c:v>
                </c:pt>
                <c:pt idx="81">
                  <c:v>8.9044033105107445E-2</c:v>
                </c:pt>
                <c:pt idx="82">
                  <c:v>6.678302482882259E-2</c:v>
                </c:pt>
                <c:pt idx="83">
                  <c:v>6.6783024828829696E-2</c:v>
                </c:pt>
                <c:pt idx="84">
                  <c:v>6.6783024828826143E-2</c:v>
                </c:pt>
                <c:pt idx="85">
                  <c:v>6.6783024828833248E-2</c:v>
                </c:pt>
                <c:pt idx="86">
                  <c:v>4.4522016552551946E-2</c:v>
                </c:pt>
                <c:pt idx="87">
                  <c:v>4.4522016552551946E-2</c:v>
                </c:pt>
                <c:pt idx="88">
                  <c:v>4.4522016552555499E-2</c:v>
                </c:pt>
                <c:pt idx="89">
                  <c:v>4.4522016552551946E-2</c:v>
                </c:pt>
                <c:pt idx="90">
                  <c:v>2.2261008276281302E-2</c:v>
                </c:pt>
                <c:pt idx="91">
                  <c:v>2.2261008276274197E-2</c:v>
                </c:pt>
                <c:pt idx="92">
                  <c:v>1E-4</c:v>
                </c:pt>
                <c:pt idx="93">
                  <c:v>2.2261008276277749E-2</c:v>
                </c:pt>
                <c:pt idx="94">
                  <c:v>1E-4</c:v>
                </c:pt>
                <c:pt idx="95">
                  <c:v>1E-4</c:v>
                </c:pt>
                <c:pt idx="96">
                  <c:v>2.2261008276277749E-2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THOMfitedt_196!$AE$3</c:f>
              <c:strCache>
                <c:ptCount val="1"/>
                <c:pt idx="0">
                  <c:v>Closure Corr on Pore Throat Radius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2"/>
            <c:spPr>
              <a:ln w="38100">
                <a:solidFill>
                  <a:srgbClr val="FF0000"/>
                </a:solidFill>
                <a:prstDash val="solid"/>
              </a:ln>
            </c:spPr>
          </c:errBars>
          <c:xVal>
            <c:numRef>
              <c:f>THOMfitedt_196!$AE$6</c:f>
              <c:numCache>
                <c:formatCode>0.00</c:formatCode>
                <c:ptCount val="1"/>
                <c:pt idx="0">
                  <c:v>117.70835522124356</c:v>
                </c:pt>
              </c:numCache>
            </c:numRef>
          </c:xVal>
          <c:yVal>
            <c:numRef>
              <c:f>THOMfitedt_196!$AE$4</c:f>
              <c:numCache>
                <c:formatCode>@</c:formatCode>
                <c:ptCount val="1"/>
                <c:pt idx="0">
                  <c:v>0.05</c:v>
                </c:pt>
              </c:numCache>
            </c:numRef>
          </c:yVal>
          <c:smooth val="1"/>
        </c:ser>
        <c:ser>
          <c:idx val="4"/>
          <c:order val="4"/>
          <c:tx>
            <c:v>Xducer Switch Splice</c:v>
          </c:tx>
          <c:spPr>
            <a:ln>
              <a:noFill/>
            </a:ln>
          </c:spPr>
          <c:marker>
            <c:symbol val="star"/>
            <c:size val="15"/>
            <c:spPr>
              <a:solidFill>
                <a:schemeClr val="tx2">
                  <a:lumMod val="60000"/>
                  <a:lumOff val="40000"/>
                  <a:alpha val="40000"/>
                </a:schemeClr>
              </a:solidFill>
              <a:ln>
                <a:noFill/>
              </a:ln>
            </c:spPr>
          </c:marker>
          <c:xVal>
            <c:numRef>
              <c:f>THOMfitedt_196!$U$305:$U$309</c:f>
              <c:numCache>
                <c:formatCode>General</c:formatCode>
                <c:ptCount val="5"/>
                <c:pt idx="0">
                  <c:v>8.0245620696968309</c:v>
                </c:pt>
                <c:pt idx="1">
                  <c:v>7.3745975406871178</c:v>
                </c:pt>
                <c:pt idx="2">
                  <c:v>6.7230079820274806</c:v>
                </c:pt>
                <c:pt idx="3">
                  <c:v>6.1081457267904478</c:v>
                </c:pt>
                <c:pt idx="4">
                  <c:v>5.6258812503419824</c:v>
                </c:pt>
              </c:numCache>
            </c:numRef>
          </c:xVal>
          <c:yVal>
            <c:numRef>
              <c:f>THOMfitedt_196!$V$305:$V$309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25608"/>
        <c:axId val="246042624"/>
      </c:scatterChart>
      <c:valAx>
        <c:axId val="24522560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Pore Throat Diameter (Microns)</a:t>
                </a:r>
              </a:p>
            </c:rich>
          </c:tx>
          <c:layout>
            <c:manualLayout>
              <c:xMode val="edge"/>
              <c:yMode val="edge"/>
              <c:x val="0.3645906407827248"/>
              <c:y val="0.927697703041357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042624"/>
        <c:crossesAt val="1E-3"/>
        <c:crossBetween val="midCat"/>
      </c:valAx>
      <c:valAx>
        <c:axId val="246042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Incremental  Pore Volume</a:t>
                </a:r>
              </a:p>
            </c:rich>
          </c:tx>
          <c:layout>
            <c:manualLayout>
              <c:xMode val="edge"/>
              <c:yMode val="edge"/>
              <c:x val="2.7760549498340184E-2"/>
              <c:y val="0.470627400388510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225608"/>
        <c:crossesAt val="1E-3"/>
        <c:crossBetween val="midCat"/>
      </c:valAx>
      <c:spPr>
        <a:pattFill prst="pct25">
          <a:fgClr>
            <a:srgbClr val="FFFFCC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26670</xdr:colOff>
      <xdr:row>8</xdr:row>
      <xdr:rowOff>91440</xdr:rowOff>
    </xdr:from>
    <xdr:to>
      <xdr:col>67</xdr:col>
      <xdr:colOff>716280</xdr:colOff>
      <xdr:row>39</xdr:row>
      <xdr:rowOff>43543</xdr:rowOff>
    </xdr:to>
    <xdr:graphicFrame macro="">
      <xdr:nvGraphicFramePr>
        <xdr:cNvPr id="184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541020</xdr:colOff>
      <xdr:row>51</xdr:row>
      <xdr:rowOff>127000</xdr:rowOff>
    </xdr:from>
    <xdr:to>
      <xdr:col>8</xdr:col>
      <xdr:colOff>1051560</xdr:colOff>
      <xdr:row>74</xdr:row>
      <xdr:rowOff>91440</xdr:rowOff>
    </xdr:to>
    <xdr:pic>
      <xdr:nvPicPr>
        <xdr:cNvPr id="1849" name="Picture 4" descr="SAM 05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2801600"/>
          <a:ext cx="6022340" cy="4345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124460</xdr:colOff>
      <xdr:row>6</xdr:row>
      <xdr:rowOff>191770</xdr:rowOff>
    </xdr:from>
    <xdr:to>
      <xdr:col>40</xdr:col>
      <xdr:colOff>537210</xdr:colOff>
      <xdr:row>53</xdr:row>
      <xdr:rowOff>156210</xdr:rowOff>
    </xdr:to>
    <xdr:graphicFrame macro="">
      <xdr:nvGraphicFramePr>
        <xdr:cNvPr id="18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12</xdr:col>
      <xdr:colOff>751840</xdr:colOff>
      <xdr:row>7</xdr:row>
      <xdr:rowOff>20320</xdr:rowOff>
    </xdr:from>
    <xdr:to>
      <xdr:col>21</xdr:col>
      <xdr:colOff>304800</xdr:colOff>
      <xdr:row>35</xdr:row>
      <xdr:rowOff>190500</xdr:rowOff>
    </xdr:to>
    <xdr:graphicFrame macro="">
      <xdr:nvGraphicFramePr>
        <xdr:cNvPr id="1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292099</xdr:colOff>
      <xdr:row>6</xdr:row>
      <xdr:rowOff>254000</xdr:rowOff>
    </xdr:from>
    <xdr:to>
      <xdr:col>39</xdr:col>
      <xdr:colOff>593271</xdr:colOff>
      <xdr:row>54</xdr:row>
      <xdr:rowOff>25400</xdr:rowOff>
    </xdr:to>
    <xdr:graphicFrame macro="">
      <xdr:nvGraphicFramePr>
        <xdr:cNvPr id="18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26</xdr:col>
      <xdr:colOff>243115</xdr:colOff>
      <xdr:row>6</xdr:row>
      <xdr:rowOff>189047</xdr:rowOff>
    </xdr:from>
    <xdr:to>
      <xdr:col>33</xdr:col>
      <xdr:colOff>364</xdr:colOff>
      <xdr:row>32</xdr:row>
      <xdr:rowOff>11973</xdr:rowOff>
    </xdr:to>
    <xdr:graphicFrame macro="">
      <xdr:nvGraphicFramePr>
        <xdr:cNvPr id="18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505460</xdr:colOff>
      <xdr:row>6</xdr:row>
      <xdr:rowOff>381000</xdr:rowOff>
    </xdr:from>
    <xdr:to>
      <xdr:col>12</xdr:col>
      <xdr:colOff>596900</xdr:colOff>
      <xdr:row>35</xdr:row>
      <xdr:rowOff>165100</xdr:rowOff>
    </xdr:to>
    <xdr:graphicFrame macro="">
      <xdr:nvGraphicFramePr>
        <xdr:cNvPr id="18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0.03057</cdr:x>
      <cdr:y>0.32739</cdr:y>
    </cdr:from>
    <cdr:to>
      <cdr:x>0.03229</cdr:x>
      <cdr:y>0.35631</cdr:y>
    </cdr:to>
    <cdr:sp macro="" textlink="THOMfitedt_196!$T$43">
      <cdr:nvSpPr>
        <cdr:cNvPr id="2084" name="Text Box 3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27022" y="2379748"/>
          <a:ext cx="10489" cy="28526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5F93C52-582D-4BAE-B6FE-3737277359D4}" type="TxLink">
            <a:rPr lang="en-US" sz="1000" b="0" i="0" u="none" strike="noStrike" baseline="0">
              <a:solidFill>
                <a:srgbClr val="000000"/>
              </a:solidFill>
              <a:latin typeface="Helv"/>
            </a:rPr>
            <a:pPr algn="ctr" rtl="0">
              <a:defRPr sz="1000"/>
            </a:pPr>
            <a:t>1</a:t>
          </a:fld>
          <a:endParaRPr lang="en-US" sz="1000" b="0" i="0" u="none" strike="noStrike" baseline="0">
            <a:solidFill>
              <a:srgbClr val="000000"/>
            </a:solidFill>
            <a:latin typeface="Helv"/>
          </a:endParaRPr>
        </a:p>
      </cdr:txBody>
    </cdr:sp>
  </cdr:relSizeAnchor>
  <cdr:relSizeAnchor xmlns:cdr="http://schemas.openxmlformats.org/drawingml/2006/chartDrawing">
    <cdr:from>
      <cdr:x>0.03693</cdr:x>
      <cdr:y>0.32474</cdr:y>
    </cdr:from>
    <cdr:to>
      <cdr:x>0.05704</cdr:x>
      <cdr:y>0.67629</cdr:y>
    </cdr:to>
    <cdr:sp macro="" textlink="">
      <cdr:nvSpPr>
        <cdr:cNvPr id="2086" name="Text Box 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083" y="2954606"/>
          <a:ext cx="243400" cy="31984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Helv"/>
            </a:rPr>
            <a:t>Height above Free Water Level  [feet]</a:t>
          </a:r>
        </a:p>
      </cdr:txBody>
    </cdr:sp>
  </cdr:relSizeAnchor>
  <cdr:relSizeAnchor xmlns:cdr="http://schemas.openxmlformats.org/drawingml/2006/chartDrawing">
    <cdr:from>
      <cdr:x>0.12276</cdr:x>
      <cdr:y>0.08315</cdr:y>
    </cdr:from>
    <cdr:to>
      <cdr:x>0.13141</cdr:x>
      <cdr:y>0.1086</cdr:y>
    </cdr:to>
    <cdr:sp macro="" textlink="">
      <cdr:nvSpPr>
        <cdr:cNvPr id="2087" name="Text Box 3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8902" y="485083"/>
          <a:ext cx="75524" cy="142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0.44834</cdr:x>
      <cdr:y>0.49998</cdr:y>
    </cdr:from>
    <cdr:to>
      <cdr:x>0.45996</cdr:x>
      <cdr:y>0.51951</cdr:y>
    </cdr:to>
    <cdr:sp macro="" textlink="THOMfitedt_196!$C$2">
      <cdr:nvSpPr>
        <cdr:cNvPr id="2088" name="Text Box 4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12999" y="4089205"/>
          <a:ext cx="104894" cy="200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4406B6C-FC5E-417F-B5EF-7990EC8F9DAD}" type="TxLink">
            <a:rPr lang="en-US"/>
            <a:pPr/>
            <a:t> </a:t>
          </a:fld>
          <a:endParaRPr lang="en-US"/>
        </a:p>
      </cdr:txBody>
    </cdr:sp>
  </cdr:relSizeAnchor>
  <cdr:relSizeAnchor xmlns:cdr="http://schemas.openxmlformats.org/drawingml/2006/chartDrawing">
    <cdr:from>
      <cdr:x>0.1863</cdr:x>
      <cdr:y>0.0256</cdr:y>
    </cdr:from>
    <cdr:to>
      <cdr:x>0.82665</cdr:x>
      <cdr:y>0.11102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7900" y="283210"/>
          <a:ext cx="7726680" cy="944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THOMEER</a:t>
          </a:r>
          <a:r>
            <a:rPr lang="en-US" sz="1800" b="1" baseline="0"/>
            <a:t> SINGLE SAMPLE SATURATION HEIGHT MODEL VIEWING WINDOW</a:t>
          </a:r>
        </a:p>
        <a:p xmlns:a="http://schemas.openxmlformats.org/drawingml/2006/main">
          <a:r>
            <a:rPr lang="en-US" sz="1800" b="1" baseline="0"/>
            <a:t>In this window the Thomeer Capillary Pressure Model is converted to a </a:t>
          </a:r>
        </a:p>
        <a:p xmlns:a="http://schemas.openxmlformats.org/drawingml/2006/main">
          <a:r>
            <a:rPr lang="en-US" sz="1800" b="1" baseline="0"/>
            <a:t>\Saturation-Height Model using the parameters in Cells U3 to zZ6.</a:t>
          </a:r>
          <a:endParaRPr lang="en-US" sz="1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0.90328</cdr:x>
      <cdr:y>0.51516</cdr:y>
    </cdr:from>
    <cdr:to>
      <cdr:x>0.93034</cdr:x>
      <cdr:y>0.55398</cdr:y>
    </cdr:to>
    <cdr:sp macro="" textlink="">
      <cdr:nvSpPr>
        <cdr:cNvPr id="2082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06011" y="4879420"/>
          <a:ext cx="257815" cy="36769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="vert270" wrap="non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Helv"/>
            </a:rPr>
            <a:t>Pc</a:t>
          </a:r>
        </a:p>
      </cdr:txBody>
    </cdr:sp>
  </cdr:relSizeAnchor>
  <cdr:relSizeAnchor xmlns:cdr="http://schemas.openxmlformats.org/drawingml/2006/chartDrawing">
    <cdr:from>
      <cdr:x>0.81543</cdr:x>
      <cdr:y>0.35455</cdr:y>
    </cdr:from>
    <cdr:to>
      <cdr:x>0.82532</cdr:x>
      <cdr:y>0.37012</cdr:y>
    </cdr:to>
    <cdr:sp macro="" textlink="">
      <cdr:nvSpPr>
        <cdr:cNvPr id="2083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1430" y="2641595"/>
          <a:ext cx="75523" cy="1532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0.03157</cdr:x>
      <cdr:y>0.32834</cdr:y>
    </cdr:from>
    <cdr:to>
      <cdr:x>0.03329</cdr:x>
      <cdr:y>0.35701</cdr:y>
    </cdr:to>
    <cdr:sp macro="" textlink="THOMfitedt_196!$T$43">
      <cdr:nvSpPr>
        <cdr:cNvPr id="2084" name="Text Box 3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27022" y="2379748"/>
          <a:ext cx="10489" cy="28526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5F93C52-582D-4BAE-B6FE-3737277359D4}" type="TxLink">
            <a:rPr lang="en-US" sz="1000" b="0" i="0" u="none" strike="noStrike" baseline="0">
              <a:solidFill>
                <a:srgbClr val="000000"/>
              </a:solidFill>
              <a:latin typeface="Helv"/>
            </a:rPr>
            <a:pPr algn="ctr" rtl="0">
              <a:defRPr sz="1000"/>
            </a:pPr>
            <a:t>1</a:t>
          </a:fld>
          <a:endParaRPr lang="en-US" sz="1000" b="0" i="0" u="none" strike="noStrike" baseline="0">
            <a:solidFill>
              <a:srgbClr val="000000"/>
            </a:solidFill>
            <a:latin typeface="Helv"/>
          </a:endParaRPr>
        </a:p>
      </cdr:txBody>
    </cdr:sp>
  </cdr:relSizeAnchor>
  <cdr:relSizeAnchor xmlns:cdr="http://schemas.openxmlformats.org/drawingml/2006/chartDrawing">
    <cdr:from>
      <cdr:x>0.43969</cdr:x>
      <cdr:y>0.19084</cdr:y>
    </cdr:from>
    <cdr:to>
      <cdr:x>0.50093</cdr:x>
      <cdr:y>0.21647</cdr:y>
    </cdr:to>
    <cdr:sp macro="" textlink="">
      <cdr:nvSpPr>
        <cdr:cNvPr id="2085" name="Text Box 3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7771" y="2003929"/>
          <a:ext cx="728127" cy="2691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%Hg Sat.</a:t>
          </a:r>
        </a:p>
      </cdr:txBody>
    </cdr:sp>
  </cdr:relSizeAnchor>
  <cdr:relSizeAnchor xmlns:cdr="http://schemas.openxmlformats.org/drawingml/2006/chartDrawing">
    <cdr:from>
      <cdr:x>0.00881</cdr:x>
      <cdr:y>0.31723</cdr:y>
    </cdr:from>
    <cdr:to>
      <cdr:x>0.02786</cdr:x>
      <cdr:y>0.61466</cdr:y>
    </cdr:to>
    <cdr:sp macro="" textlink="">
      <cdr:nvSpPr>
        <cdr:cNvPr id="2086" name="Text Box 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7" y="2397942"/>
          <a:ext cx="184409" cy="224830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Height above Free Water Level   feet</a:t>
          </a:r>
        </a:p>
      </cdr:txBody>
    </cdr:sp>
  </cdr:relSizeAnchor>
  <cdr:relSizeAnchor xmlns:cdr="http://schemas.openxmlformats.org/drawingml/2006/chartDrawing">
    <cdr:from>
      <cdr:x>0.12896</cdr:x>
      <cdr:y>0.08361</cdr:y>
    </cdr:from>
    <cdr:to>
      <cdr:x>0.13736</cdr:x>
      <cdr:y>0.10954</cdr:y>
    </cdr:to>
    <cdr:sp macro="" textlink="">
      <cdr:nvSpPr>
        <cdr:cNvPr id="2087" name="Text Box 3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8902" y="485083"/>
          <a:ext cx="75524" cy="142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0.45007</cdr:x>
      <cdr:y>0.50044</cdr:y>
    </cdr:from>
    <cdr:to>
      <cdr:x>0.46219</cdr:x>
      <cdr:y>0.52072</cdr:y>
    </cdr:to>
    <cdr:sp macro="" textlink="THOMfitedt_196!$C$2">
      <cdr:nvSpPr>
        <cdr:cNvPr id="2088" name="Text Box 4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12999" y="4089205"/>
          <a:ext cx="104894" cy="200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4406B6C-FC5E-417F-B5EF-7990EC8F9DAD}" type="TxLink">
            <a:rPr lang="en-US"/>
            <a:pPr/>
            <a:t> </a:t>
          </a:fld>
          <a:endParaRPr lang="en-US"/>
        </a:p>
      </cdr:txBody>
    </cdr:sp>
  </cdr:relSizeAnchor>
  <cdr:relSizeAnchor xmlns:cdr="http://schemas.openxmlformats.org/drawingml/2006/chartDrawing">
    <cdr:from>
      <cdr:x>0.03974</cdr:x>
      <cdr:y>0.02032</cdr:y>
    </cdr:from>
    <cdr:to>
      <cdr:x>0.90173</cdr:x>
      <cdr:y>0.09652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440" y="213360"/>
          <a:ext cx="1024890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THOMEER</a:t>
          </a:r>
          <a:r>
            <a:rPr lang="en-US" sz="1800" b="1" baseline="0"/>
            <a:t> CAPILLARY PRESSURE MODEL FITTING WINDOW</a:t>
          </a:r>
        </a:p>
        <a:p xmlns:a="http://schemas.openxmlformats.org/drawingml/2006/main">
          <a:r>
            <a:rPr lang="en-US" sz="1800" b="1"/>
            <a:t>View the raw,and</a:t>
          </a:r>
          <a:r>
            <a:rPr lang="en-US" sz="1800" b="1" baseline="0"/>
            <a:t> </a:t>
          </a:r>
          <a:r>
            <a:rPr lang="en-US" sz="1800" b="1"/>
            <a:t>closure corrected Pc data</a:t>
          </a:r>
          <a:r>
            <a:rPr lang="en-US" sz="1800" b="1" baseline="0"/>
            <a:t> and the results for your Thomeer fits using multiple pore systems.</a:t>
          </a:r>
          <a:endParaRPr lang="en-US" sz="18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0.09299</cdr:x>
      <cdr:y>0.05415</cdr:y>
    </cdr:from>
    <cdr:to>
      <cdr:x>0.90388</cdr:x>
      <cdr:y>0.16245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0" y="457200"/>
          <a:ext cx="854964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0.11901</cdr:x>
      <cdr:y>0.01625</cdr:y>
    </cdr:from>
    <cdr:to>
      <cdr:x>0.85618</cdr:x>
      <cdr:y>0.12455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54760" y="137160"/>
          <a:ext cx="7772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THOMEER</a:t>
          </a:r>
          <a:r>
            <a:rPr lang="en-US" sz="1800" b="1" baseline="0"/>
            <a:t> "G" FITTING WINDOW</a:t>
          </a:r>
        </a:p>
        <a:p xmlns:a="http://schemas.openxmlformats.org/drawingml/2006/main">
          <a:pPr algn="ctr"/>
          <a:r>
            <a:rPr lang="en-US" sz="1800" b="1" baseline="0"/>
            <a:t>Only data that will be used in the residual error calculation are displayed </a:t>
          </a:r>
        </a:p>
        <a:p xmlns:a="http://schemas.openxmlformats.org/drawingml/2006/main">
          <a:pPr algn="ctr"/>
          <a:r>
            <a:rPr lang="en-US" sz="1800" b="1" baseline="0"/>
            <a:t>in this window.  SOLVER will operate using this data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0.14012</cdr:x>
      <cdr:y>0.01554</cdr:y>
    </cdr:from>
    <cdr:to>
      <cdr:x>0.89345</cdr:x>
      <cdr:y>0.20785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2700" y="101600"/>
          <a:ext cx="6896100" cy="1257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 b="1" baseline="0"/>
            <a:t>CLOSURE CORRECTION SELECTION WINDOW</a:t>
          </a:r>
        </a:p>
        <a:p xmlns:a="http://schemas.openxmlformats.org/drawingml/2006/main">
          <a:pPr algn="ctr"/>
          <a:r>
            <a:rPr lang="en-US" sz="1800" b="1" baseline="0"/>
            <a:t> Select the closure correction using this and the core plug photographs.</a:t>
          </a:r>
        </a:p>
        <a:p xmlns:a="http://schemas.openxmlformats.org/drawingml/2006/main">
          <a:endParaRPr lang="en-US" sz="18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227389</xdr:colOff>
      <xdr:row>0</xdr:row>
      <xdr:rowOff>65314</xdr:rowOff>
    </xdr:from>
    <xdr:to>
      <xdr:col>22</xdr:col>
      <xdr:colOff>544286</xdr:colOff>
      <xdr:row>47</xdr:row>
      <xdr:rowOff>157066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815" t="5540" r="3704" b="5848"/>
        <a:stretch/>
      </xdr:blipFill>
      <xdr:spPr>
        <a:xfrm>
          <a:off x="227389" y="65314"/>
          <a:ext cx="13728097" cy="77661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118533</xdr:colOff>
      <xdr:row>0</xdr:row>
      <xdr:rowOff>50800</xdr:rowOff>
    </xdr:from>
    <xdr:to>
      <xdr:col>22</xdr:col>
      <xdr:colOff>601133</xdr:colOff>
      <xdr:row>47</xdr:row>
      <xdr:rowOff>59207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506" t="5863" r="3620" b="6725"/>
        <a:stretch/>
      </xdr:blipFill>
      <xdr:spPr>
        <a:xfrm>
          <a:off x="118533" y="50800"/>
          <a:ext cx="13893800" cy="796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262467</xdr:colOff>
      <xdr:row>0</xdr:row>
      <xdr:rowOff>101600</xdr:rowOff>
    </xdr:from>
    <xdr:to>
      <xdr:col>11</xdr:col>
      <xdr:colOff>516467</xdr:colOff>
      <xdr:row>48</xdr:row>
      <xdr:rowOff>167968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818" t="5213" r="14937" b="10032"/>
        <a:stretch/>
      </xdr:blipFill>
      <xdr:spPr>
        <a:xfrm>
          <a:off x="262467" y="101600"/>
          <a:ext cx="6959600" cy="81943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trophysics\Ghawar%20Arab%20D%20Hagerty%20MICP\Pass%201%20khallas\z3micp_mm_hagerty_76-118_ea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6"/>
      <sheetName val="THOMfit200_76"/>
      <sheetName val="80"/>
      <sheetName val="THOMfit200_80"/>
      <sheetName val="81"/>
      <sheetName val="THOMfit200_81"/>
      <sheetName val="82"/>
      <sheetName val="THOMfit200_82"/>
      <sheetName val="83"/>
      <sheetName val="THOMfit200_83"/>
      <sheetName val="85"/>
      <sheetName val="THOMfit200_85"/>
      <sheetName val="87"/>
      <sheetName val="THOMfit200_87"/>
      <sheetName val="88"/>
      <sheetName val="THOMfit200_88"/>
      <sheetName val="89"/>
      <sheetName val="THOMfit200_89"/>
      <sheetName val="91"/>
      <sheetName val="THOMfit200_91"/>
      <sheetName val="92_bad"/>
      <sheetName val="93"/>
      <sheetName val="THOMfit200_93"/>
      <sheetName val="95"/>
      <sheetName val="THOMfit200_95"/>
      <sheetName val="97"/>
      <sheetName val="THOMfit200_97"/>
      <sheetName val="99"/>
      <sheetName val="THOMfit200_99"/>
      <sheetName val="102_bad"/>
      <sheetName val="THOMfit200_102"/>
      <sheetName val="103"/>
      <sheetName val="THOMfit200_103"/>
      <sheetName val="104"/>
      <sheetName val="THOMfit200_104"/>
      <sheetName val="105"/>
      <sheetName val="THOMfit200_105"/>
      <sheetName val="106"/>
      <sheetName val="THOMfit200_106"/>
      <sheetName val="107"/>
      <sheetName val="THOMfit200_107"/>
      <sheetName val="113"/>
      <sheetName val="THOMfit200_113"/>
      <sheetName val="114"/>
      <sheetName val="THOMfit200_114"/>
      <sheetName val="116"/>
      <sheetName val="THOMfit200_116"/>
      <sheetName val="117"/>
      <sheetName val="THOMfit200_117"/>
      <sheetName val="118"/>
      <sheetName val="THOMfit200_118"/>
    </sheetNames>
    <sheetDataSet>
      <sheetData sheetId="0"/>
      <sheetData sheetId="1">
        <row r="321">
          <cell r="E321">
            <v>2.4734293304300667</v>
          </cell>
        </row>
        <row r="330">
          <cell r="O330">
            <v>10</v>
          </cell>
          <cell r="P330" t="e">
            <v>#VALUE!</v>
          </cell>
        </row>
        <row r="331">
          <cell r="O331">
            <v>100</v>
          </cell>
          <cell r="P331" t="e">
            <v>#VALUE!</v>
          </cell>
        </row>
        <row r="332">
          <cell r="O332">
            <v>1000</v>
          </cell>
          <cell r="P332" t="e">
            <v>#VALUE!</v>
          </cell>
        </row>
        <row r="333">
          <cell r="O333">
            <v>10000</v>
          </cell>
          <cell r="P333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04"/>
  <sheetViews>
    <sheetView tabSelected="1" zoomScale="60" zoomScaleNormal="60" workbookViewId="0">
      <selection activeCell="AC7" sqref="AC7"/>
    </sheetView>
  </sheetViews>
  <sheetFormatPr defaultColWidth="11.44140625" defaultRowHeight="15.6"/>
  <cols>
    <col min="1" max="1" width="16.6640625" style="54" customWidth="1"/>
    <col min="2" max="2" width="10.6640625" style="1" customWidth="1"/>
    <col min="3" max="3" width="18.6640625" style="7" customWidth="1"/>
    <col min="4" max="4" width="19.6640625" style="1" customWidth="1"/>
    <col min="5" max="7" width="15.6640625" style="1" customWidth="1"/>
    <col min="8" max="8" width="13.5546875" style="1" customWidth="1"/>
    <col min="9" max="9" width="17.6640625" style="1" customWidth="1"/>
    <col min="10" max="11" width="15.6640625" style="1" customWidth="1"/>
    <col min="12" max="12" width="12.6640625" style="1" customWidth="1"/>
    <col min="13" max="13" width="17.6640625" style="1" customWidth="1"/>
    <col min="14" max="15" width="15.6640625" style="1" customWidth="1"/>
    <col min="16" max="16" width="13.5546875" style="1" customWidth="1"/>
    <col min="17" max="17" width="18.6640625" style="1" customWidth="1"/>
    <col min="18" max="18" width="14.6640625" style="1" customWidth="1"/>
    <col min="19" max="19" width="12.88671875" style="1" customWidth="1"/>
    <col min="20" max="20" width="21.33203125" style="1" customWidth="1"/>
    <col min="21" max="21" width="19.6640625" style="1" customWidth="1"/>
    <col min="22" max="22" width="11.44140625" style="1" customWidth="1"/>
    <col min="23" max="23" width="8.5546875" style="1" customWidth="1"/>
    <col min="24" max="24" width="11.44140625" style="1" customWidth="1"/>
    <col min="25" max="25" width="13.5546875" style="1" customWidth="1"/>
    <col min="26" max="26" width="11.44140625" style="2" customWidth="1"/>
    <col min="27" max="27" width="11.44140625" style="4" customWidth="1"/>
    <col min="28" max="28" width="11.44140625" style="47" customWidth="1"/>
    <col min="29" max="29" width="11.44140625" style="4" customWidth="1"/>
    <col min="30" max="30" width="24" style="1" customWidth="1"/>
    <col min="31" max="31" width="14.6640625" style="54" bestFit="1" customWidth="1"/>
    <col min="32" max="32" width="16.6640625" style="1" bestFit="1" customWidth="1"/>
    <col min="33" max="33" width="21.88671875" style="1" bestFit="1" customWidth="1"/>
    <col min="34" max="35" width="11.44140625" style="1" customWidth="1"/>
    <col min="36" max="36" width="11.44140625" style="3" customWidth="1"/>
    <col min="37" max="38" width="11.44140625" style="1"/>
    <col min="39" max="39" width="11.44140625" style="178"/>
    <col min="40" max="16384" width="11.44140625" style="1"/>
  </cols>
  <sheetData>
    <row r="1" spans="1:53" s="20" customFormat="1" ht="18" customHeight="1" thickBot="1">
      <c r="A1" s="136" t="s">
        <v>68</v>
      </c>
      <c r="B1" s="31"/>
      <c r="C1" s="31"/>
      <c r="D1" s="150" t="s">
        <v>73</v>
      </c>
      <c r="E1" s="148"/>
      <c r="F1" s="151"/>
      <c r="G1" s="151"/>
      <c r="H1" s="151"/>
      <c r="I1" s="145"/>
      <c r="J1" s="19" t="s">
        <v>0</v>
      </c>
      <c r="K1" s="19" t="s">
        <v>0</v>
      </c>
      <c r="L1" s="19"/>
      <c r="M1" s="19" t="s">
        <v>0</v>
      </c>
      <c r="N1" s="19" t="s">
        <v>0</v>
      </c>
      <c r="O1" s="29" t="s">
        <v>0</v>
      </c>
      <c r="P1" s="29"/>
      <c r="Q1" s="19" t="s">
        <v>0</v>
      </c>
      <c r="R1" s="19"/>
      <c r="S1" s="19" t="s">
        <v>0</v>
      </c>
      <c r="T1" s="29" t="s">
        <v>0</v>
      </c>
      <c r="U1" s="19" t="s">
        <v>0</v>
      </c>
      <c r="V1" s="19" t="s">
        <v>0</v>
      </c>
      <c r="AA1" s="60"/>
      <c r="AB1" s="61"/>
      <c r="AC1" s="62"/>
      <c r="AE1" s="44" t="s">
        <v>74</v>
      </c>
      <c r="AJ1" s="21"/>
      <c r="AM1" s="172"/>
    </row>
    <row r="2" spans="1:53" s="20" customFormat="1" ht="18" thickBot="1">
      <c r="A2" s="137" t="s">
        <v>1</v>
      </c>
      <c r="B2" s="32"/>
      <c r="C2" s="33"/>
      <c r="D2" s="36"/>
      <c r="E2" s="37" t="s">
        <v>60</v>
      </c>
      <c r="F2" s="38"/>
      <c r="G2" s="38"/>
      <c r="H2" s="38"/>
      <c r="I2" s="39" t="s">
        <v>61</v>
      </c>
      <c r="J2" s="38"/>
      <c r="K2" s="38"/>
      <c r="L2" s="38"/>
      <c r="M2" s="39" t="s">
        <v>62</v>
      </c>
      <c r="N2" s="89"/>
      <c r="O2" s="38"/>
      <c r="P2" s="89"/>
      <c r="Q2" s="62"/>
      <c r="R2" s="62"/>
      <c r="S2" s="78" t="s">
        <v>78</v>
      </c>
      <c r="T2" s="79"/>
      <c r="U2" s="22" t="s">
        <v>2</v>
      </c>
      <c r="AA2" s="62"/>
      <c r="AB2" s="63"/>
      <c r="AC2" s="62"/>
      <c r="AD2" s="23"/>
      <c r="AE2" s="45"/>
      <c r="AJ2" s="21"/>
      <c r="AM2" s="172"/>
      <c r="AQ2" s="20">
        <f>M4</f>
        <v>0.1</v>
      </c>
      <c r="AR2" s="20">
        <f>N4</f>
        <v>850</v>
      </c>
    </row>
    <row r="3" spans="1:53" s="25" customFormat="1" ht="39" customHeight="1" thickTop="1" thickBot="1">
      <c r="A3" s="132" t="s">
        <v>95</v>
      </c>
      <c r="B3" s="28" t="s">
        <v>106</v>
      </c>
      <c r="C3" s="24"/>
      <c r="D3" s="40" t="s">
        <v>66</v>
      </c>
      <c r="E3" s="81" t="s">
        <v>3</v>
      </c>
      <c r="F3" s="82" t="s">
        <v>4</v>
      </c>
      <c r="G3" s="82" t="s">
        <v>5</v>
      </c>
      <c r="H3" s="92" t="s">
        <v>82</v>
      </c>
      <c r="I3" s="122" t="s">
        <v>3</v>
      </c>
      <c r="J3" s="92" t="s">
        <v>4</v>
      </c>
      <c r="K3" s="92" t="s">
        <v>5</v>
      </c>
      <c r="L3" s="92" t="s">
        <v>82</v>
      </c>
      <c r="M3" s="122" t="s">
        <v>3</v>
      </c>
      <c r="N3" s="92" t="s">
        <v>4</v>
      </c>
      <c r="O3" s="92" t="s">
        <v>5</v>
      </c>
      <c r="P3" s="92" t="s">
        <v>82</v>
      </c>
      <c r="Q3" s="91" t="s">
        <v>86</v>
      </c>
      <c r="R3" s="90" t="s">
        <v>85</v>
      </c>
      <c r="S3" s="96" t="s">
        <v>81</v>
      </c>
      <c r="T3" s="97" t="s">
        <v>80</v>
      </c>
      <c r="U3" s="77" t="s">
        <v>89</v>
      </c>
      <c r="V3" s="66"/>
      <c r="W3" s="66"/>
      <c r="X3" s="67" t="s">
        <v>90</v>
      </c>
      <c r="Y3" s="68" t="s">
        <v>58</v>
      </c>
      <c r="Z3" s="69">
        <v>0</v>
      </c>
      <c r="AA3" s="64"/>
      <c r="AB3" s="65"/>
      <c r="AC3" s="59"/>
      <c r="AE3" s="48" t="s">
        <v>79</v>
      </c>
      <c r="AG3" s="35" t="s">
        <v>71</v>
      </c>
      <c r="AH3" s="35"/>
      <c r="AI3" s="35"/>
      <c r="AJ3" s="35"/>
      <c r="AK3" s="35"/>
      <c r="AL3" s="35"/>
      <c r="AM3" s="173"/>
      <c r="AN3" s="35"/>
      <c r="AO3" s="35"/>
    </row>
    <row r="4" spans="1:53" s="115" customFormat="1" ht="30" customHeight="1" thickTop="1" thickBot="1">
      <c r="A4" s="99" t="s">
        <v>56</v>
      </c>
      <c r="B4" s="100" t="s">
        <v>92</v>
      </c>
      <c r="C4" s="101" t="s">
        <v>67</v>
      </c>
      <c r="D4" s="125">
        <v>0.2</v>
      </c>
      <c r="E4" s="126">
        <v>0.74266633994215447</v>
      </c>
      <c r="F4" s="127">
        <v>1.3</v>
      </c>
      <c r="G4" s="128">
        <v>15</v>
      </c>
      <c r="H4" s="152">
        <f>IF($F$4&lt;1, $G$4/1.022,$G$4/(1.022+0.0492*LN($F$4) -0.01189*((LN($F$4))^2)))</f>
        <v>14.505509030987321</v>
      </c>
      <c r="I4" s="129">
        <v>0.18</v>
      </c>
      <c r="J4" s="130">
        <v>190</v>
      </c>
      <c r="K4" s="128">
        <v>5.5</v>
      </c>
      <c r="L4" s="153">
        <f>IF($J$4="","",$K$4/(1.022+0.0492*LN($J$4) -0.01189*((LN($J$4))^2)))</f>
        <v>5.7724184131469496</v>
      </c>
      <c r="M4" s="129">
        <v>0.1</v>
      </c>
      <c r="N4" s="127">
        <v>850</v>
      </c>
      <c r="O4" s="128">
        <v>1</v>
      </c>
      <c r="P4" s="154">
        <f>IF($N$4="","",$O$4/(1.022+0.0492*LN($N$4) -0.01189*((LN($N$4))^2)))</f>
        <v>1.2301759136028634</v>
      </c>
      <c r="Q4" s="102">
        <f>$G$4+$K$4+$O$4</f>
        <v>21.5</v>
      </c>
      <c r="R4" s="103">
        <f>SUM(H4,L4,P4)</f>
        <v>21.508103357737134</v>
      </c>
      <c r="S4" s="104">
        <f>ABS($R$4-$B$5)</f>
        <v>2.3918966422628642</v>
      </c>
      <c r="T4" s="105">
        <f xml:space="preserve"> ($B$6/$G$5)</f>
        <v>0.96040568723054265</v>
      </c>
      <c r="U4" s="106" t="s">
        <v>59</v>
      </c>
      <c r="V4" s="106"/>
      <c r="W4" s="106"/>
      <c r="X4" s="107">
        <v>480</v>
      </c>
      <c r="Y4" s="108" t="s">
        <v>58</v>
      </c>
      <c r="Z4" s="109">
        <v>140</v>
      </c>
      <c r="AA4" s="110"/>
      <c r="AB4" s="111"/>
      <c r="AC4" s="112"/>
      <c r="AD4" s="113" t="s">
        <v>70</v>
      </c>
      <c r="AE4" s="114">
        <v>0.05</v>
      </c>
      <c r="AG4" s="116" t="s">
        <v>72</v>
      </c>
      <c r="AH4" s="116"/>
      <c r="AI4" s="116"/>
      <c r="AJ4" s="116"/>
      <c r="AK4" s="116"/>
      <c r="AL4" s="116"/>
      <c r="AM4" s="174"/>
      <c r="AN4" s="116"/>
      <c r="AO4" s="116"/>
    </row>
    <row r="5" spans="1:53" s="25" customFormat="1" ht="28.5" customHeight="1" thickTop="1" thickBot="1">
      <c r="A5" s="133" t="s">
        <v>6</v>
      </c>
      <c r="B5" s="131">
        <v>23.9</v>
      </c>
      <c r="C5" s="30" t="s">
        <v>57</v>
      </c>
      <c r="D5" s="80">
        <f>VLOOKUP($D$4,$AT$10:$AU$205,2, TRUE)</f>
        <v>1.81</v>
      </c>
      <c r="E5" s="119" t="s">
        <v>93</v>
      </c>
      <c r="F5" s="83"/>
      <c r="G5" s="84">
        <f>(5060*($G$4)/($F$4^2))*EXP(-4.43*($E$4^0.5))</f>
        <v>987.08286779692435</v>
      </c>
      <c r="H5" s="93"/>
      <c r="I5" s="123" t="s">
        <v>84</v>
      </c>
      <c r="J5" s="124"/>
      <c r="K5" s="94">
        <f>3.8068*($E$4^-1.334)*(($G$4/$F$4)^2)</f>
        <v>753.73212183866849</v>
      </c>
      <c r="L5" s="94"/>
      <c r="M5" s="123" t="s">
        <v>83</v>
      </c>
      <c r="N5" s="124" t="s">
        <v>0</v>
      </c>
      <c r="O5" s="94">
        <f>399*(($J$6)^1.69)</f>
        <v>306.7987303404318</v>
      </c>
      <c r="P5" s="95"/>
      <c r="S5" s="76"/>
      <c r="T5" s="57" t="s">
        <v>77</v>
      </c>
      <c r="U5" s="70" t="s">
        <v>7</v>
      </c>
      <c r="V5" s="117" t="s">
        <v>91</v>
      </c>
      <c r="W5" s="26"/>
      <c r="X5" s="26"/>
      <c r="Y5" s="26"/>
      <c r="Z5" s="71"/>
      <c r="AA5" s="64"/>
      <c r="AB5" s="65"/>
      <c r="AC5" s="59"/>
      <c r="AD5" s="43" t="s">
        <v>75</v>
      </c>
      <c r="AE5" s="49">
        <f>D5</f>
        <v>1.81</v>
      </c>
      <c r="AF5" s="34">
        <f>IF(D10="","",(-4*$X$4*COS($Z$4*PI()/180))/(D5*69035))</f>
        <v>1.1770835522124356E-2</v>
      </c>
      <c r="AG5" s="120" t="s">
        <v>94</v>
      </c>
      <c r="AH5" s="120"/>
      <c r="AI5" s="120"/>
      <c r="AJ5" s="121"/>
      <c r="AK5" s="120"/>
      <c r="AL5" s="120"/>
      <c r="AM5" s="175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</row>
    <row r="6" spans="1:53" s="25" customFormat="1" ht="42" customHeight="1" thickTop="1" thickBot="1">
      <c r="A6" s="134" t="s">
        <v>8</v>
      </c>
      <c r="B6" s="131">
        <v>948</v>
      </c>
      <c r="C6" s="57" t="s">
        <v>76</v>
      </c>
      <c r="D6" s="75"/>
      <c r="E6" s="139" t="s">
        <v>65</v>
      </c>
      <c r="F6" s="140"/>
      <c r="G6" s="140"/>
      <c r="H6" s="141"/>
      <c r="I6" s="142"/>
      <c r="J6" s="143">
        <f>MAX($Z$10:$Z$205)</f>
        <v>0.85599999999999998</v>
      </c>
      <c r="K6" s="143" t="s">
        <v>55</v>
      </c>
      <c r="L6" s="86"/>
      <c r="M6" s="86">
        <f>VLOOKUP($J$6,$Z$10:$AA$114,2,FALSE)</f>
        <v>4.8099999999999996</v>
      </c>
      <c r="N6" s="86" t="s">
        <v>69</v>
      </c>
      <c r="O6" s="87">
        <f>VLOOKUP($J$6,$AB$10:$AC$114,2, FALSE)</f>
        <v>4.1186356055976221</v>
      </c>
      <c r="P6" s="88"/>
      <c r="R6" s="75"/>
      <c r="S6" s="58"/>
      <c r="T6" s="138">
        <f>SUM(S10:S205)+SUM(AM10:AM205)</f>
        <v>20.035126910231117</v>
      </c>
      <c r="U6" s="72" t="s">
        <v>9</v>
      </c>
      <c r="V6" s="118">
        <v>0.85</v>
      </c>
      <c r="W6" s="73"/>
      <c r="X6" s="73"/>
      <c r="Y6" s="73"/>
      <c r="Z6" s="74"/>
      <c r="AA6" s="64"/>
      <c r="AB6" s="65"/>
      <c r="AC6" s="59"/>
      <c r="AE6" s="55">
        <f>IF(D10="","",IF(AF5=" "," ",AF5*10000))</f>
        <v>117.70835522124356</v>
      </c>
      <c r="AJ6" s="21"/>
      <c r="AL6" s="56"/>
      <c r="AM6" s="176"/>
      <c r="AN6" s="56"/>
    </row>
    <row r="7" spans="1:53" s="20" customFormat="1" ht="30.75" customHeight="1" thickTop="1" thickBot="1">
      <c r="A7" s="45"/>
      <c r="C7" s="138">
        <f>SUM(S10:S205)+SUM(AM10:AM205)</f>
        <v>20.035126910231117</v>
      </c>
      <c r="D7" s="144" t="s">
        <v>96</v>
      </c>
      <c r="E7" s="145"/>
      <c r="F7" s="145"/>
      <c r="G7" s="145"/>
      <c r="H7" s="145"/>
      <c r="I7" s="145"/>
      <c r="J7" s="145"/>
      <c r="K7" s="146"/>
      <c r="R7" s="58"/>
      <c r="T7" s="169">
        <f>SUM(U10:U205)+SUM(AM11:AM206)</f>
        <v>19.238785179569561</v>
      </c>
      <c r="AJ7" s="21"/>
      <c r="AM7" s="172"/>
    </row>
    <row r="8" spans="1:53" s="20" customFormat="1" ht="30.75" customHeight="1" thickBot="1">
      <c r="A8" s="45"/>
      <c r="C8" s="169">
        <f>SUM(U10:U205)+SUM(AM10:AM205)</f>
        <v>19.238785179569561</v>
      </c>
      <c r="D8" s="147" t="s">
        <v>97</v>
      </c>
      <c r="E8" s="148"/>
      <c r="F8" s="148"/>
      <c r="G8" s="148"/>
      <c r="H8" s="148"/>
      <c r="I8" s="148"/>
      <c r="J8" s="148"/>
      <c r="K8" s="149"/>
      <c r="R8" s="58"/>
      <c r="T8" s="27"/>
      <c r="AJ8" s="21"/>
      <c r="AM8" s="172"/>
    </row>
    <row r="9" spans="1:53" s="159" customFormat="1" ht="42.6" customHeight="1" thickBot="1">
      <c r="A9" s="166" t="s">
        <v>10</v>
      </c>
      <c r="B9" s="167" t="s">
        <v>11</v>
      </c>
      <c r="C9" s="170" t="s">
        <v>102</v>
      </c>
      <c r="D9" s="155" t="s">
        <v>12</v>
      </c>
      <c r="E9" s="155" t="s">
        <v>13</v>
      </c>
      <c r="F9" s="155" t="s">
        <v>14</v>
      </c>
      <c r="G9" s="155" t="s">
        <v>15</v>
      </c>
      <c r="H9" s="155"/>
      <c r="I9" s="155" t="s">
        <v>16</v>
      </c>
      <c r="J9" s="156" t="s">
        <v>17</v>
      </c>
      <c r="K9" s="157" t="s">
        <v>18</v>
      </c>
      <c r="L9" s="157"/>
      <c r="M9" s="157" t="s">
        <v>19</v>
      </c>
      <c r="N9" s="157" t="s">
        <v>20</v>
      </c>
      <c r="O9" s="157" t="s">
        <v>21</v>
      </c>
      <c r="P9" s="157"/>
      <c r="Q9" s="157" t="s">
        <v>18</v>
      </c>
      <c r="R9" s="157"/>
      <c r="S9" s="158" t="s">
        <v>110</v>
      </c>
      <c r="T9" s="164" t="s">
        <v>101</v>
      </c>
      <c r="U9" s="156" t="s">
        <v>109</v>
      </c>
      <c r="V9" s="156" t="s">
        <v>22</v>
      </c>
      <c r="X9" s="156" t="s">
        <v>23</v>
      </c>
      <c r="Z9" s="156" t="s">
        <v>53</v>
      </c>
      <c r="AA9" s="156" t="s">
        <v>10</v>
      </c>
      <c r="AB9" s="160" t="s">
        <v>53</v>
      </c>
      <c r="AC9" s="156" t="s">
        <v>54</v>
      </c>
      <c r="AD9" s="157" t="s">
        <v>24</v>
      </c>
      <c r="AE9" s="160" t="s">
        <v>25</v>
      </c>
      <c r="AF9" s="156" t="s">
        <v>26</v>
      </c>
      <c r="AG9" s="156" t="s">
        <v>27</v>
      </c>
      <c r="AH9" s="156" t="s">
        <v>28</v>
      </c>
      <c r="AI9" s="156" t="s">
        <v>29</v>
      </c>
      <c r="AJ9" s="156" t="s">
        <v>98</v>
      </c>
      <c r="AK9" s="156" t="s">
        <v>99</v>
      </c>
      <c r="AL9" s="156" t="s">
        <v>100</v>
      </c>
      <c r="AM9" s="177" t="s">
        <v>108</v>
      </c>
      <c r="AO9" s="161"/>
      <c r="AQ9" s="159" t="s">
        <v>103</v>
      </c>
      <c r="AR9" s="156" t="s">
        <v>104</v>
      </c>
      <c r="AS9" s="159" t="s">
        <v>105</v>
      </c>
      <c r="AT9" s="167" t="s">
        <v>11</v>
      </c>
      <c r="AU9" s="166" t="s">
        <v>10</v>
      </c>
      <c r="AV9" s="155" t="s">
        <v>107</v>
      </c>
      <c r="AW9" s="155"/>
    </row>
    <row r="10" spans="1:53" ht="17.399999999999999">
      <c r="A10" s="168">
        <v>1.54</v>
      </c>
      <c r="B10" s="98">
        <v>0</v>
      </c>
      <c r="C10" s="171">
        <v>1</v>
      </c>
      <c r="D10" s="8">
        <f t="shared" ref="D10:D41" si="0">IF(B10-$D$4&gt;0.05,B10-$D$4,IF(A10="","",0))</f>
        <v>0</v>
      </c>
      <c r="E10" s="8">
        <f t="shared" ref="E10:E41" si="1">IF(D10="","",IF(A10&lt;$F$4+0.01,0,10^(((-0.434*$E$4)/(LOG(A10)-LOG($F$4)))+LOG($G$4))))</f>
        <v>6.2435927989993212E-4</v>
      </c>
      <c r="F10" s="8">
        <f t="shared" ref="F10:F41" si="2">IF(E10="","",IF(ABS(D10-E10)&lt;0.05,0,D10-E10))</f>
        <v>0</v>
      </c>
      <c r="G10" s="8">
        <f t="shared" ref="G10:G41" si="3">IF(OR(D10="",$I$4=""),"",IF(A10&lt;$J$4,0,10^(((-0.434*$I$4)/(LOG(A10)-LOG($J$4)))+LOG($K$4))))</f>
        <v>0</v>
      </c>
      <c r="H10" s="8"/>
      <c r="I10" s="8">
        <f t="shared" ref="I10:I41" si="4">IF(G10="","",IF(ABS(G10-F10)&lt;0.05,0,G10-F10))</f>
        <v>0</v>
      </c>
      <c r="J10" s="8">
        <f t="shared" ref="J10:J41" si="5">IF(G10="","",E10+G10)</f>
        <v>6.2435927989993212E-4</v>
      </c>
      <c r="K10" s="8">
        <f t="shared" ref="K10:K73" si="6">IF(J10="","",IF(ABS(D10-J10)&lt;0.05,0,D10-J10))</f>
        <v>0</v>
      </c>
      <c r="L10" s="8"/>
      <c r="M10" s="8">
        <f t="shared" ref="M10:M41" si="7">IF(OR(G10="",$M$4=""),"",IF(A10&lt;$N$4,0,10^(((-0.434*$M$4)/(LOG(A10)-LOG($N$4)))+LOG($O$4))))</f>
        <v>0</v>
      </c>
      <c r="N10" s="8">
        <f t="shared" ref="N10:N41" si="8">IF(M10="","",IF(ABS(M10-K10)&lt;0.05,0,M10-K10))</f>
        <v>0</v>
      </c>
      <c r="O10" s="8">
        <f t="shared" ref="O10:O41" si="9">IF(N10="","",E10+G10+M10)</f>
        <v>6.2435927989993212E-4</v>
      </c>
      <c r="P10" s="8"/>
      <c r="Q10" s="8">
        <f t="shared" ref="Q10:Q41" si="10">IF(O10="","",IF(ABS(D10-O10)&lt;0.05,0,D10-O10))</f>
        <v>0</v>
      </c>
      <c r="R10" s="8"/>
      <c r="S10" s="9">
        <f t="shared" ref="S10:S41" si="11">IF($I$4="",IF(A10="","",F10^2),IF(Q10="","",Q10^2))</f>
        <v>0</v>
      </c>
      <c r="T10" s="165">
        <f>C10</f>
        <v>1</v>
      </c>
      <c r="U10" s="163">
        <f>S10*T10</f>
        <v>0</v>
      </c>
      <c r="V10" s="8">
        <f t="shared" ref="V10:V41" si="12">IF(D10="","",IF(X10=0," ",1-(D10/$Q$4)))</f>
        <v>1</v>
      </c>
      <c r="X10" s="8">
        <f t="shared" ref="X10:X41" si="13">IF(D10="","",($X$3*COS($Z$3*PI()/180)/($X$4*ABS(COS($Z$4*PI()/180))*0.434*($V$5-$V$6))*A10))</f>
        <v>0.45034212042377009</v>
      </c>
      <c r="Z10" s="2">
        <f>ROUND($D10/$A10,3)</f>
        <v>0</v>
      </c>
      <c r="AA10" s="4">
        <f>A10</f>
        <v>1.54</v>
      </c>
      <c r="AB10" s="46">
        <f>ROUND($D10/$A10,3)</f>
        <v>0</v>
      </c>
      <c r="AC10" s="4">
        <f>D10</f>
        <v>0</v>
      </c>
      <c r="AD10" s="2">
        <f>IF(D10="","",(-4*$X$4*COS($Z$4*PI()/180))/(A10*69035))</f>
        <v>1.3834553438340964E-2</v>
      </c>
      <c r="AE10" s="50">
        <f t="shared" ref="AE10:AE41" si="14">IF(D10="","",IF(AD10=" "," ",AD10*10000))</f>
        <v>138.34553438340964</v>
      </c>
      <c r="AF10" s="10">
        <v>1E-4</v>
      </c>
      <c r="AG10" s="10">
        <v>1E-4</v>
      </c>
      <c r="AH10" s="8">
        <f t="shared" ref="AH10:AH41" si="15">(IF(O10="",(IF(J10="",E10,J10)),O10 ))</f>
        <v>6.2435927989993212E-4</v>
      </c>
      <c r="AI10" s="1">
        <v>1E-4</v>
      </c>
      <c r="AJ10" s="10">
        <f>AI10</f>
        <v>1E-4</v>
      </c>
      <c r="AK10" s="1">
        <f t="shared" ref="AK10:AK73" si="16">AVERAGE(AI10:AI13)</f>
        <v>0.12939111558236782</v>
      </c>
      <c r="AL10" s="162">
        <f>AVERAGE(AJ10:AK10)</f>
        <v>6.4745557791183905E-2</v>
      </c>
      <c r="AM10" s="178">
        <f>IF(AQ10=0.0001,0,((AL10-AQ10)^2)^0.5)</f>
        <v>0</v>
      </c>
      <c r="AO10" s="3" t="s">
        <v>30</v>
      </c>
      <c r="AQ10" s="1">
        <f t="shared" ref="AQ10:AQ41" si="17" xml:space="preserve"> IF(C10=1,AG10,0.005)</f>
        <v>1E-4</v>
      </c>
      <c r="AR10" s="1">
        <f t="shared" ref="AR10:AR41" si="18">IF(C10=1,0,1)</f>
        <v>0</v>
      </c>
      <c r="AS10" s="1">
        <f t="shared" ref="AS10:AS41" si="19">(AG10*AR10)</f>
        <v>0</v>
      </c>
      <c r="AT10" s="1">
        <f>B10</f>
        <v>0</v>
      </c>
      <c r="AU10" s="1">
        <f>A10</f>
        <v>1.54</v>
      </c>
      <c r="AV10" s="8">
        <f>IF(C10=1,D10,0.01)</f>
        <v>0</v>
      </c>
    </row>
    <row r="11" spans="1:53" ht="17.399999999999999">
      <c r="A11" s="168">
        <v>1.81</v>
      </c>
      <c r="B11" s="98">
        <v>0.13356604965765839</v>
      </c>
      <c r="C11" s="171">
        <v>1</v>
      </c>
      <c r="D11" s="8">
        <f t="shared" si="0"/>
        <v>0</v>
      </c>
      <c r="E11" s="8">
        <f t="shared" si="1"/>
        <v>8.5832979369703979E-2</v>
      </c>
      <c r="F11" s="8">
        <f t="shared" si="2"/>
        <v>-8.5832979369703979E-2</v>
      </c>
      <c r="G11" s="8">
        <f t="shared" si="3"/>
        <v>0</v>
      </c>
      <c r="H11" s="8"/>
      <c r="I11" s="8">
        <f t="shared" si="4"/>
        <v>8.5832979369703979E-2</v>
      </c>
      <c r="J11" s="8">
        <f t="shared" si="5"/>
        <v>8.5832979369703979E-2</v>
      </c>
      <c r="K11" s="8">
        <f t="shared" si="6"/>
        <v>-8.5832979369703979E-2</v>
      </c>
      <c r="L11" s="8"/>
      <c r="M11" s="8">
        <f t="shared" si="7"/>
        <v>0</v>
      </c>
      <c r="N11" s="8">
        <f t="shared" si="8"/>
        <v>8.5832979369703979E-2</v>
      </c>
      <c r="O11" s="8">
        <f t="shared" si="9"/>
        <v>8.5832979369703979E-2</v>
      </c>
      <c r="P11" s="8"/>
      <c r="Q11" s="8">
        <f t="shared" si="10"/>
        <v>-8.5832979369703979E-2</v>
      </c>
      <c r="R11" s="8"/>
      <c r="S11" s="9">
        <f t="shared" si="11"/>
        <v>7.3673003474800294E-3</v>
      </c>
      <c r="T11" s="165">
        <f t="shared" ref="T11:T74" si="20">C11</f>
        <v>1</v>
      </c>
      <c r="U11" s="163">
        <f t="shared" ref="U11:U74" si="21">S11*T11</f>
        <v>7.3673003474800294E-3</v>
      </c>
      <c r="V11" s="8">
        <f t="shared" si="12"/>
        <v>1</v>
      </c>
      <c r="X11" s="8">
        <f t="shared" si="13"/>
        <v>0.52929820647209347</v>
      </c>
      <c r="Z11" s="2">
        <f t="shared" ref="Z11:Z74" si="22">ROUND($D11/$A11,3)</f>
        <v>0</v>
      </c>
      <c r="AA11" s="4">
        <f t="shared" ref="AA11:AA74" si="23">A11</f>
        <v>1.81</v>
      </c>
      <c r="AB11" s="46">
        <f t="shared" ref="AB11:AB74" si="24">ROUND($D11/$A11,3)</f>
        <v>0</v>
      </c>
      <c r="AC11" s="4">
        <f t="shared" ref="AC11:AC74" si="25">D11</f>
        <v>0</v>
      </c>
      <c r="AD11" s="2">
        <f t="shared" ref="AD11:AD74" si="26">IF(D11="","",(-4*$X$4*COS($Z$4*PI()/180))/(A11*69035))</f>
        <v>1.1770835522124356E-2</v>
      </c>
      <c r="AE11" s="50">
        <f t="shared" si="14"/>
        <v>117.70835522124356</v>
      </c>
      <c r="AF11" s="10">
        <f t="shared" ref="AF11:AF42" si="27">IF(B11-B10&lt;0.0001,0.0001,B11-B10)</f>
        <v>0.13356604965765839</v>
      </c>
      <c r="AG11" s="10">
        <f t="shared" ref="AG11:AG42" si="28">IF(D11-D10&lt;0.0001,0.0001,D11-D10)</f>
        <v>1E-4</v>
      </c>
      <c r="AH11" s="8">
        <f t="shared" si="15"/>
        <v>8.5832979369703979E-2</v>
      </c>
      <c r="AI11" s="10">
        <f t="shared" ref="AI11:AI42" si="29">IF(AH11-AH10&lt;0.0001,0.0001,AH11-AH10)</f>
        <v>8.5208620089804052E-2</v>
      </c>
      <c r="AJ11" s="10">
        <f>AVERAGE(AI10:AI11)</f>
        <v>4.2654310044902027E-2</v>
      </c>
      <c r="AK11" s="10">
        <f t="shared" si="16"/>
        <v>0.20900749775833083</v>
      </c>
      <c r="AL11" s="162">
        <f t="shared" ref="AL11:AL74" si="30">AVERAGE(AJ11:AK11)</f>
        <v>0.12583090390161644</v>
      </c>
      <c r="AM11" s="178">
        <f t="shared" ref="AM11:AM74" si="31">IF(AQ11=0.0001,0,((AL11-AQ11)^2)^0.5)</f>
        <v>0</v>
      </c>
      <c r="AO11" s="3" t="str">
        <f>B3</f>
        <v>Example</v>
      </c>
      <c r="AQ11" s="1">
        <f t="shared" si="17"/>
        <v>1E-4</v>
      </c>
      <c r="AR11" s="1">
        <f t="shared" si="18"/>
        <v>0</v>
      </c>
      <c r="AS11" s="1">
        <f t="shared" si="19"/>
        <v>0</v>
      </c>
      <c r="AT11" s="1">
        <f t="shared" ref="AT11:AT74" si="32">B11</f>
        <v>0.13356604965765839</v>
      </c>
      <c r="AU11" s="1">
        <f t="shared" ref="AU11:AU74" si="33">A11</f>
        <v>1.81</v>
      </c>
      <c r="AV11" s="8">
        <f t="shared" ref="AV11:AV74" si="34">IF(C11=1,D11,0.01)</f>
        <v>0</v>
      </c>
    </row>
    <row r="12" spans="1:53" ht="17.399999999999999">
      <c r="A12" s="168">
        <v>1.95</v>
      </c>
      <c r="B12" s="98">
        <v>0.26713209931531678</v>
      </c>
      <c r="C12" s="171">
        <v>1</v>
      </c>
      <c r="D12" s="8">
        <f t="shared" si="0"/>
        <v>6.7132099315316773E-2</v>
      </c>
      <c r="E12" s="8">
        <f t="shared" si="1"/>
        <v>0.2216627277643157</v>
      </c>
      <c r="F12" s="8">
        <f t="shared" si="2"/>
        <v>-0.15453062844899892</v>
      </c>
      <c r="G12" s="8">
        <f t="shared" si="3"/>
        <v>0</v>
      </c>
      <c r="H12" s="8"/>
      <c r="I12" s="8">
        <f t="shared" si="4"/>
        <v>0.15453062844899892</v>
      </c>
      <c r="J12" s="8">
        <f t="shared" si="5"/>
        <v>0.2216627277643157</v>
      </c>
      <c r="K12" s="8">
        <f t="shared" si="6"/>
        <v>-0.15453062844899892</v>
      </c>
      <c r="L12" s="8"/>
      <c r="M12" s="8">
        <f t="shared" si="7"/>
        <v>0</v>
      </c>
      <c r="N12" s="8">
        <f t="shared" si="8"/>
        <v>0.15453062844899892</v>
      </c>
      <c r="O12" s="8">
        <f t="shared" si="9"/>
        <v>0.2216627277643157</v>
      </c>
      <c r="P12" s="8"/>
      <c r="Q12" s="8">
        <f t="shared" si="10"/>
        <v>-0.15453062844899892</v>
      </c>
      <c r="R12" s="8"/>
      <c r="S12" s="9">
        <f t="shared" si="11"/>
        <v>2.3879715128842557E-2</v>
      </c>
      <c r="T12" s="165">
        <f t="shared" si="20"/>
        <v>1</v>
      </c>
      <c r="U12" s="163">
        <f t="shared" si="21"/>
        <v>2.3879715128842557E-2</v>
      </c>
      <c r="V12" s="8">
        <f t="shared" si="12"/>
        <v>0.99687757677603173</v>
      </c>
      <c r="X12" s="8">
        <f t="shared" si="13"/>
        <v>0.57023839923789066</v>
      </c>
      <c r="Z12" s="2">
        <f t="shared" si="22"/>
        <v>3.4000000000000002E-2</v>
      </c>
      <c r="AA12" s="4">
        <f t="shared" si="23"/>
        <v>1.95</v>
      </c>
      <c r="AB12" s="46">
        <f t="shared" si="24"/>
        <v>3.4000000000000002E-2</v>
      </c>
      <c r="AC12" s="4">
        <f t="shared" si="25"/>
        <v>6.7132099315316773E-2</v>
      </c>
      <c r="AD12" s="2">
        <f t="shared" si="26"/>
        <v>1.0925749894894915E-2</v>
      </c>
      <c r="AE12" s="50">
        <f t="shared" si="14"/>
        <v>109.25749894894915</v>
      </c>
      <c r="AF12" s="10">
        <f t="shared" si="27"/>
        <v>0.13356604965765839</v>
      </c>
      <c r="AG12" s="10">
        <f t="shared" si="28"/>
        <v>6.7132099315316773E-2</v>
      </c>
      <c r="AH12" s="8">
        <f t="shared" si="15"/>
        <v>0.2216627277643157</v>
      </c>
      <c r="AI12" s="10">
        <f t="shared" si="29"/>
        <v>0.1358297483946117</v>
      </c>
      <c r="AJ12" s="10">
        <f>AVERAGE(AI10:AI12)</f>
        <v>7.3712789494805253E-2</v>
      </c>
      <c r="AK12" s="10">
        <f t="shared" si="16"/>
        <v>0.28409310435802893</v>
      </c>
      <c r="AL12" s="162">
        <f t="shared" si="30"/>
        <v>0.17890294692641709</v>
      </c>
      <c r="AM12" s="178">
        <f t="shared" si="31"/>
        <v>0.11177084761110032</v>
      </c>
      <c r="AO12" s="3" t="s">
        <v>63</v>
      </c>
      <c r="AQ12" s="1">
        <f t="shared" si="17"/>
        <v>6.7132099315316773E-2</v>
      </c>
      <c r="AR12" s="1">
        <f t="shared" si="18"/>
        <v>0</v>
      </c>
      <c r="AS12" s="1">
        <f t="shared" si="19"/>
        <v>0</v>
      </c>
      <c r="AT12" s="1">
        <f t="shared" si="32"/>
        <v>0.26713209931531678</v>
      </c>
      <c r="AU12" s="1">
        <f t="shared" si="33"/>
        <v>1.95</v>
      </c>
      <c r="AV12" s="8">
        <f t="shared" si="34"/>
        <v>6.7132099315316773E-2</v>
      </c>
    </row>
    <row r="13" spans="1:53" ht="17.399999999999999">
      <c r="A13" s="168">
        <v>2.16</v>
      </c>
      <c r="B13" s="98">
        <v>0.5787862151831864</v>
      </c>
      <c r="C13" s="171">
        <v>1</v>
      </c>
      <c r="D13" s="8">
        <f t="shared" si="0"/>
        <v>0.37878621518318639</v>
      </c>
      <c r="E13" s="8">
        <f t="shared" si="1"/>
        <v>0.51808882160937131</v>
      </c>
      <c r="F13" s="8">
        <f t="shared" si="2"/>
        <v>-0.13930260642618492</v>
      </c>
      <c r="G13" s="8">
        <f t="shared" si="3"/>
        <v>0</v>
      </c>
      <c r="H13" s="8"/>
      <c r="I13" s="8">
        <f t="shared" si="4"/>
        <v>0.13930260642618492</v>
      </c>
      <c r="J13" s="8">
        <f t="shared" si="5"/>
        <v>0.51808882160937131</v>
      </c>
      <c r="K13" s="8">
        <f t="shared" si="6"/>
        <v>-0.13930260642618492</v>
      </c>
      <c r="L13" s="8"/>
      <c r="M13" s="8">
        <f t="shared" si="7"/>
        <v>0</v>
      </c>
      <c r="N13" s="8">
        <f t="shared" si="8"/>
        <v>0.13930260642618492</v>
      </c>
      <c r="O13" s="8">
        <f t="shared" si="9"/>
        <v>0.51808882160937131</v>
      </c>
      <c r="P13" s="8"/>
      <c r="Q13" s="8">
        <f t="shared" si="10"/>
        <v>-0.13930260642618492</v>
      </c>
      <c r="R13" s="8"/>
      <c r="S13" s="9">
        <f t="shared" si="11"/>
        <v>1.9405216157128573E-2</v>
      </c>
      <c r="T13" s="165">
        <f t="shared" si="20"/>
        <v>1</v>
      </c>
      <c r="U13" s="163">
        <f t="shared" si="21"/>
        <v>1.9405216157128573E-2</v>
      </c>
      <c r="V13" s="8">
        <f t="shared" si="12"/>
        <v>0.98238203650310763</v>
      </c>
      <c r="X13" s="8">
        <f t="shared" si="13"/>
        <v>0.63164868838658661</v>
      </c>
      <c r="Z13" s="2">
        <f t="shared" si="22"/>
        <v>0.17499999999999999</v>
      </c>
      <c r="AA13" s="4">
        <f t="shared" si="23"/>
        <v>2.16</v>
      </c>
      <c r="AB13" s="46">
        <f t="shared" si="24"/>
        <v>0.17499999999999999</v>
      </c>
      <c r="AC13" s="4">
        <f t="shared" si="25"/>
        <v>0.37878621518318639</v>
      </c>
      <c r="AD13" s="2">
        <f t="shared" si="26"/>
        <v>9.8635242106690207E-3</v>
      </c>
      <c r="AE13" s="50">
        <f t="shared" si="14"/>
        <v>98.6352421066902</v>
      </c>
      <c r="AF13" s="10">
        <f t="shared" si="27"/>
        <v>0.31165411586786962</v>
      </c>
      <c r="AG13" s="10">
        <f t="shared" si="28"/>
        <v>0.31165411586786962</v>
      </c>
      <c r="AH13" s="8">
        <f t="shared" si="15"/>
        <v>0.51808882160937131</v>
      </c>
      <c r="AI13" s="10">
        <f t="shared" si="29"/>
        <v>0.29642609384505558</v>
      </c>
      <c r="AJ13" s="10">
        <f>AVERAGE(AI10:AI13)</f>
        <v>0.12939111558236782</v>
      </c>
      <c r="AK13" s="10">
        <f t="shared" si="16"/>
        <v>0.35310038651556303</v>
      </c>
      <c r="AL13" s="162">
        <f t="shared" si="30"/>
        <v>0.24124575104896542</v>
      </c>
      <c r="AM13" s="178">
        <f t="shared" si="31"/>
        <v>7.0408364818904196E-2</v>
      </c>
      <c r="AO13" s="11" t="str">
        <f>B4</f>
        <v>Clerke GeoArabia 2008 Trimodal</v>
      </c>
      <c r="AQ13" s="1">
        <f t="shared" si="17"/>
        <v>0.31165411586786962</v>
      </c>
      <c r="AR13" s="1">
        <f t="shared" si="18"/>
        <v>0</v>
      </c>
      <c r="AS13" s="1">
        <f t="shared" si="19"/>
        <v>0</v>
      </c>
      <c r="AT13" s="1">
        <f t="shared" si="32"/>
        <v>0.5787862151831864</v>
      </c>
      <c r="AU13" s="1">
        <f t="shared" si="33"/>
        <v>2.16</v>
      </c>
      <c r="AV13" s="8">
        <f t="shared" si="34"/>
        <v>0.37878621518318639</v>
      </c>
    </row>
    <row r="14" spans="1:53" ht="17.399999999999999">
      <c r="A14" s="168">
        <v>2.35</v>
      </c>
      <c r="B14" s="98">
        <v>0.97948436415616169</v>
      </c>
      <c r="C14" s="171">
        <v>1</v>
      </c>
      <c r="D14" s="8">
        <f t="shared" si="0"/>
        <v>0.77948436415616174</v>
      </c>
      <c r="E14" s="8">
        <f t="shared" si="1"/>
        <v>0.83665435031322333</v>
      </c>
      <c r="F14" s="8">
        <f t="shared" si="2"/>
        <v>-5.7169986157061592E-2</v>
      </c>
      <c r="G14" s="8">
        <f t="shared" si="3"/>
        <v>0</v>
      </c>
      <c r="H14" s="8"/>
      <c r="I14" s="8">
        <f t="shared" si="4"/>
        <v>5.7169986157061592E-2</v>
      </c>
      <c r="J14" s="8">
        <f t="shared" si="5"/>
        <v>0.83665435031322333</v>
      </c>
      <c r="K14" s="8">
        <f t="shared" si="6"/>
        <v>-5.7169986157061592E-2</v>
      </c>
      <c r="L14" s="8"/>
      <c r="M14" s="8">
        <f t="shared" si="7"/>
        <v>0</v>
      </c>
      <c r="N14" s="8">
        <f t="shared" si="8"/>
        <v>5.7169986157061592E-2</v>
      </c>
      <c r="O14" s="8">
        <f t="shared" si="9"/>
        <v>0.83665435031322333</v>
      </c>
      <c r="P14" s="8"/>
      <c r="Q14" s="8">
        <f t="shared" si="10"/>
        <v>-5.7169986157061592E-2</v>
      </c>
      <c r="R14" s="8"/>
      <c r="S14" s="9">
        <f t="shared" si="11"/>
        <v>3.2684073171986142E-3</v>
      </c>
      <c r="T14" s="165">
        <f t="shared" si="20"/>
        <v>1</v>
      </c>
      <c r="U14" s="163">
        <f t="shared" si="21"/>
        <v>3.2684073171986142E-3</v>
      </c>
      <c r="V14" s="8">
        <f t="shared" si="12"/>
        <v>0.96374491329506229</v>
      </c>
      <c r="X14" s="8">
        <f t="shared" si="13"/>
        <v>0.68721037856874012</v>
      </c>
      <c r="Z14" s="2">
        <f t="shared" si="22"/>
        <v>0.33200000000000002</v>
      </c>
      <c r="AA14" s="4">
        <f t="shared" si="23"/>
        <v>2.35</v>
      </c>
      <c r="AB14" s="46">
        <f t="shared" si="24"/>
        <v>0.33200000000000002</v>
      </c>
      <c r="AC14" s="4">
        <f t="shared" si="25"/>
        <v>0.77948436415616174</v>
      </c>
      <c r="AD14" s="2">
        <f t="shared" si="26"/>
        <v>9.0660477851255677E-3</v>
      </c>
      <c r="AE14" s="50">
        <f t="shared" si="14"/>
        <v>90.660477851255678</v>
      </c>
      <c r="AF14" s="10">
        <f t="shared" si="27"/>
        <v>0.40069814897297529</v>
      </c>
      <c r="AG14" s="10">
        <f t="shared" si="28"/>
        <v>0.40069814897297534</v>
      </c>
      <c r="AH14" s="8">
        <f t="shared" si="15"/>
        <v>0.83665435031322333</v>
      </c>
      <c r="AI14" s="10">
        <f t="shared" si="29"/>
        <v>0.31856552870385202</v>
      </c>
      <c r="AJ14" s="10">
        <f t="shared" ref="AJ14:AJ77" si="35">AVERAGE(AI11:AI14)</f>
        <v>0.20900749775833083</v>
      </c>
      <c r="AK14" s="10">
        <f t="shared" si="16"/>
        <v>0.38762940255550138</v>
      </c>
      <c r="AL14" s="162">
        <f t="shared" si="30"/>
        <v>0.2983184501569161</v>
      </c>
      <c r="AM14" s="178">
        <f t="shared" si="31"/>
        <v>0.10237969881605924</v>
      </c>
      <c r="AO14" s="3" t="s">
        <v>31</v>
      </c>
      <c r="AQ14" s="1">
        <f t="shared" si="17"/>
        <v>0.40069814897297534</v>
      </c>
      <c r="AR14" s="1">
        <f t="shared" si="18"/>
        <v>0</v>
      </c>
      <c r="AS14" s="1">
        <f t="shared" si="19"/>
        <v>0</v>
      </c>
      <c r="AT14" s="1">
        <f t="shared" si="32"/>
        <v>0.97948436415616169</v>
      </c>
      <c r="AU14" s="1">
        <f t="shared" si="33"/>
        <v>2.35</v>
      </c>
      <c r="AV14" s="8">
        <f t="shared" si="34"/>
        <v>0.77948436415616174</v>
      </c>
    </row>
    <row r="15" spans="1:53" ht="17.399999999999999">
      <c r="A15" s="168">
        <v>2.57</v>
      </c>
      <c r="B15" s="98">
        <v>1.513748562786795</v>
      </c>
      <c r="C15" s="171">
        <v>1</v>
      </c>
      <c r="D15" s="8">
        <f t="shared" si="0"/>
        <v>1.3137485627867951</v>
      </c>
      <c r="E15" s="8">
        <f t="shared" si="1"/>
        <v>1.2222053968018198</v>
      </c>
      <c r="F15" s="8">
        <f t="shared" si="2"/>
        <v>9.154316598497525E-2</v>
      </c>
      <c r="G15" s="8">
        <f t="shared" si="3"/>
        <v>0</v>
      </c>
      <c r="H15" s="8"/>
      <c r="I15" s="8">
        <f t="shared" si="4"/>
        <v>-9.154316598497525E-2</v>
      </c>
      <c r="J15" s="8">
        <f t="shared" si="5"/>
        <v>1.2222053968018198</v>
      </c>
      <c r="K15" s="8">
        <f t="shared" si="6"/>
        <v>9.154316598497525E-2</v>
      </c>
      <c r="L15" s="8"/>
      <c r="M15" s="8">
        <f t="shared" si="7"/>
        <v>0</v>
      </c>
      <c r="N15" s="8">
        <f t="shared" si="8"/>
        <v>-9.154316598497525E-2</v>
      </c>
      <c r="O15" s="8">
        <f t="shared" si="9"/>
        <v>1.2222053968018198</v>
      </c>
      <c r="P15" s="8"/>
      <c r="Q15" s="8">
        <f t="shared" si="10"/>
        <v>9.154316598497525E-2</v>
      </c>
      <c r="R15" s="8"/>
      <c r="S15" s="9">
        <f t="shared" si="11"/>
        <v>8.3801512385527303E-3</v>
      </c>
      <c r="T15" s="165">
        <f t="shared" si="20"/>
        <v>1</v>
      </c>
      <c r="U15" s="163">
        <f t="shared" si="21"/>
        <v>8.3801512385527303E-3</v>
      </c>
      <c r="V15" s="8">
        <f t="shared" si="12"/>
        <v>0.9388954156843351</v>
      </c>
      <c r="X15" s="8">
        <f t="shared" si="13"/>
        <v>0.75154496720070718</v>
      </c>
      <c r="Z15" s="2">
        <f t="shared" si="22"/>
        <v>0.51100000000000001</v>
      </c>
      <c r="AA15" s="4">
        <f t="shared" si="23"/>
        <v>2.57</v>
      </c>
      <c r="AB15" s="46">
        <f t="shared" si="24"/>
        <v>0.51100000000000001</v>
      </c>
      <c r="AC15" s="4">
        <f t="shared" si="25"/>
        <v>1.3137485627867951</v>
      </c>
      <c r="AD15" s="2">
        <f t="shared" si="26"/>
        <v>8.2899658735583991E-3</v>
      </c>
      <c r="AE15" s="50">
        <f t="shared" si="14"/>
        <v>82.899658735583984</v>
      </c>
      <c r="AF15" s="10">
        <f t="shared" si="27"/>
        <v>0.53426419863063335</v>
      </c>
      <c r="AG15" s="10">
        <f t="shared" si="28"/>
        <v>0.53426419863063335</v>
      </c>
      <c r="AH15" s="8">
        <f t="shared" si="15"/>
        <v>1.2222053968018198</v>
      </c>
      <c r="AI15" s="10">
        <f t="shared" si="29"/>
        <v>0.3855510464885965</v>
      </c>
      <c r="AJ15" s="10">
        <f t="shared" si="35"/>
        <v>0.28409310435802893</v>
      </c>
      <c r="AK15" s="10">
        <f t="shared" si="16"/>
        <v>0.41442394242734476</v>
      </c>
      <c r="AL15" s="162">
        <f t="shared" si="30"/>
        <v>0.34925852339268681</v>
      </c>
      <c r="AM15" s="178">
        <f t="shared" si="31"/>
        <v>0.18500567523794653</v>
      </c>
      <c r="AO15" s="3">
        <f>B5</f>
        <v>23.9</v>
      </c>
      <c r="AQ15" s="1">
        <f t="shared" si="17"/>
        <v>0.53426419863063335</v>
      </c>
      <c r="AR15" s="1">
        <f t="shared" si="18"/>
        <v>0</v>
      </c>
      <c r="AS15" s="1">
        <f t="shared" si="19"/>
        <v>0</v>
      </c>
      <c r="AT15" s="1">
        <f t="shared" si="32"/>
        <v>1.513748562786795</v>
      </c>
      <c r="AU15" s="1">
        <f t="shared" si="33"/>
        <v>2.57</v>
      </c>
      <c r="AV15" s="8">
        <f t="shared" si="34"/>
        <v>1.3137485627867951</v>
      </c>
    </row>
    <row r="16" spans="1:53" ht="17.399999999999999">
      <c r="A16" s="168">
        <v>2.81</v>
      </c>
      <c r="B16" s="98">
        <v>1.9144467117597703</v>
      </c>
      <c r="C16" s="171">
        <v>1</v>
      </c>
      <c r="D16" s="8">
        <f t="shared" si="0"/>
        <v>1.7144467117597704</v>
      </c>
      <c r="E16" s="8">
        <f t="shared" si="1"/>
        <v>1.6340642738265678</v>
      </c>
      <c r="F16" s="8">
        <f t="shared" si="2"/>
        <v>8.0382437933202544E-2</v>
      </c>
      <c r="G16" s="8">
        <f t="shared" si="3"/>
        <v>0</v>
      </c>
      <c r="H16" s="8"/>
      <c r="I16" s="8">
        <f t="shared" si="4"/>
        <v>-8.0382437933202544E-2</v>
      </c>
      <c r="J16" s="8">
        <f t="shared" si="5"/>
        <v>1.6340642738265678</v>
      </c>
      <c r="K16" s="8">
        <f t="shared" si="6"/>
        <v>8.0382437933202544E-2</v>
      </c>
      <c r="L16" s="8"/>
      <c r="M16" s="8">
        <f t="shared" si="7"/>
        <v>0</v>
      </c>
      <c r="N16" s="8">
        <f t="shared" si="8"/>
        <v>-8.0382437933202544E-2</v>
      </c>
      <c r="O16" s="8">
        <f t="shared" si="9"/>
        <v>1.6340642738265678</v>
      </c>
      <c r="P16" s="8"/>
      <c r="Q16" s="8">
        <f t="shared" si="10"/>
        <v>8.0382437933202544E-2</v>
      </c>
      <c r="R16" s="8"/>
      <c r="S16" s="9">
        <f t="shared" si="11"/>
        <v>6.4613363280851595E-3</v>
      </c>
      <c r="T16" s="165">
        <f t="shared" si="20"/>
        <v>1</v>
      </c>
      <c r="U16" s="163">
        <f t="shared" si="21"/>
        <v>6.4613363280851595E-3</v>
      </c>
      <c r="V16" s="8">
        <f t="shared" si="12"/>
        <v>0.92025829247628976</v>
      </c>
      <c r="X16" s="8">
        <f t="shared" si="13"/>
        <v>0.8217281547992169</v>
      </c>
      <c r="Z16" s="2">
        <f t="shared" si="22"/>
        <v>0.61</v>
      </c>
      <c r="AA16" s="4">
        <f t="shared" si="23"/>
        <v>2.81</v>
      </c>
      <c r="AB16" s="46">
        <f t="shared" si="24"/>
        <v>0.61</v>
      </c>
      <c r="AC16" s="4">
        <f t="shared" si="25"/>
        <v>1.7144467117597704</v>
      </c>
      <c r="AD16" s="2">
        <f t="shared" si="26"/>
        <v>7.5819260836459375E-3</v>
      </c>
      <c r="AE16" s="50">
        <f t="shared" si="14"/>
        <v>75.819260836459378</v>
      </c>
      <c r="AF16" s="10">
        <f t="shared" si="27"/>
        <v>0.40069814897297529</v>
      </c>
      <c r="AG16" s="10">
        <f t="shared" si="28"/>
        <v>0.40069814897297529</v>
      </c>
      <c r="AH16" s="8">
        <f t="shared" si="15"/>
        <v>1.6340642738265678</v>
      </c>
      <c r="AI16" s="10">
        <f t="shared" si="29"/>
        <v>0.41185887702474799</v>
      </c>
      <c r="AJ16" s="10">
        <f t="shared" si="35"/>
        <v>0.35310038651556303</v>
      </c>
      <c r="AK16" s="10">
        <f t="shared" si="16"/>
        <v>0.41708421412246194</v>
      </c>
      <c r="AL16" s="162">
        <f t="shared" si="30"/>
        <v>0.38509230031901248</v>
      </c>
      <c r="AM16" s="178">
        <f t="shared" si="31"/>
        <v>1.5605848653962806E-2</v>
      </c>
      <c r="AO16" s="3" t="s">
        <v>32</v>
      </c>
      <c r="AQ16" s="1">
        <f t="shared" si="17"/>
        <v>0.40069814897297529</v>
      </c>
      <c r="AR16" s="1">
        <f t="shared" si="18"/>
        <v>0</v>
      </c>
      <c r="AS16" s="1">
        <f t="shared" si="19"/>
        <v>0</v>
      </c>
      <c r="AT16" s="1">
        <f t="shared" si="32"/>
        <v>1.9144467117597703</v>
      </c>
      <c r="AU16" s="1">
        <f t="shared" si="33"/>
        <v>2.81</v>
      </c>
      <c r="AV16" s="8">
        <f t="shared" si="34"/>
        <v>1.7144467117597704</v>
      </c>
    </row>
    <row r="17" spans="1:48" ht="17.399999999999999">
      <c r="A17" s="168">
        <v>3.08</v>
      </c>
      <c r="B17" s="98">
        <v>2.3596668772852984</v>
      </c>
      <c r="C17" s="171">
        <v>1</v>
      </c>
      <c r="D17" s="8">
        <f t="shared" si="0"/>
        <v>2.1596668772852983</v>
      </c>
      <c r="E17" s="8">
        <f t="shared" si="1"/>
        <v>2.0686064318313768</v>
      </c>
      <c r="F17" s="8">
        <f t="shared" si="2"/>
        <v>9.1060445453921446E-2</v>
      </c>
      <c r="G17" s="8">
        <f t="shared" si="3"/>
        <v>0</v>
      </c>
      <c r="H17" s="8"/>
      <c r="I17" s="8">
        <f t="shared" si="4"/>
        <v>-9.1060445453921446E-2</v>
      </c>
      <c r="J17" s="8">
        <f t="shared" si="5"/>
        <v>2.0686064318313768</v>
      </c>
      <c r="K17" s="8">
        <f t="shared" si="6"/>
        <v>9.1060445453921446E-2</v>
      </c>
      <c r="L17" s="8"/>
      <c r="M17" s="8">
        <f t="shared" si="7"/>
        <v>0</v>
      </c>
      <c r="N17" s="8">
        <f t="shared" si="8"/>
        <v>-9.1060445453921446E-2</v>
      </c>
      <c r="O17" s="8">
        <f t="shared" si="9"/>
        <v>2.0686064318313768</v>
      </c>
      <c r="P17" s="8"/>
      <c r="Q17" s="8">
        <f t="shared" si="10"/>
        <v>9.1060445453921446E-2</v>
      </c>
      <c r="R17" s="8"/>
      <c r="S17" s="9">
        <f t="shared" si="11"/>
        <v>8.2920047262666028E-3</v>
      </c>
      <c r="T17" s="165">
        <f t="shared" si="20"/>
        <v>1</v>
      </c>
      <c r="U17" s="163">
        <f t="shared" si="21"/>
        <v>8.2920047262666028E-3</v>
      </c>
      <c r="V17" s="8">
        <f t="shared" si="12"/>
        <v>0.89955037780068381</v>
      </c>
      <c r="X17" s="8">
        <f t="shared" si="13"/>
        <v>0.90068424084754017</v>
      </c>
      <c r="Z17" s="2">
        <f t="shared" si="22"/>
        <v>0.70099999999999996</v>
      </c>
      <c r="AA17" s="4">
        <f t="shared" si="23"/>
        <v>3.08</v>
      </c>
      <c r="AB17" s="46">
        <f t="shared" si="24"/>
        <v>0.70099999999999996</v>
      </c>
      <c r="AC17" s="4">
        <f t="shared" si="25"/>
        <v>2.1596668772852983</v>
      </c>
      <c r="AD17" s="2">
        <f t="shared" si="26"/>
        <v>6.9172767191704818E-3</v>
      </c>
      <c r="AE17" s="50">
        <f t="shared" si="14"/>
        <v>69.172767191704821</v>
      </c>
      <c r="AF17" s="10">
        <f t="shared" si="27"/>
        <v>0.44522016552552812</v>
      </c>
      <c r="AG17" s="10">
        <f t="shared" si="28"/>
        <v>0.4452201655255279</v>
      </c>
      <c r="AH17" s="8">
        <f t="shared" si="15"/>
        <v>2.0686064318313768</v>
      </c>
      <c r="AI17" s="10">
        <f t="shared" si="29"/>
        <v>0.434542158004809</v>
      </c>
      <c r="AJ17" s="10">
        <f t="shared" si="35"/>
        <v>0.38762940255550138</v>
      </c>
      <c r="AK17" s="10">
        <f t="shared" si="16"/>
        <v>0.41954809970504686</v>
      </c>
      <c r="AL17" s="162">
        <f t="shared" si="30"/>
        <v>0.40358875113027415</v>
      </c>
      <c r="AM17" s="178">
        <f t="shared" si="31"/>
        <v>4.1631414395253752E-2</v>
      </c>
      <c r="AO17" s="12">
        <f>Q4</f>
        <v>21.5</v>
      </c>
      <c r="AQ17" s="1">
        <f t="shared" si="17"/>
        <v>0.4452201655255279</v>
      </c>
      <c r="AR17" s="1">
        <f t="shared" si="18"/>
        <v>0</v>
      </c>
      <c r="AS17" s="1">
        <f t="shared" si="19"/>
        <v>0</v>
      </c>
      <c r="AT17" s="1">
        <f t="shared" si="32"/>
        <v>2.3596668772852984</v>
      </c>
      <c r="AU17" s="1">
        <f t="shared" si="33"/>
        <v>3.08</v>
      </c>
      <c r="AV17" s="8">
        <f t="shared" si="34"/>
        <v>2.1596668772852983</v>
      </c>
    </row>
    <row r="18" spans="1:48" ht="17.399999999999999">
      <c r="A18" s="168">
        <v>3.37</v>
      </c>
      <c r="B18" s="98">
        <v>2.7826260345345504</v>
      </c>
      <c r="C18" s="171">
        <v>1</v>
      </c>
      <c r="D18" s="8">
        <f t="shared" si="0"/>
        <v>2.5826260345345502</v>
      </c>
      <c r="E18" s="8">
        <f t="shared" si="1"/>
        <v>2.4943501200226024</v>
      </c>
      <c r="F18" s="8">
        <f t="shared" si="2"/>
        <v>8.8275914511947828E-2</v>
      </c>
      <c r="G18" s="8">
        <f t="shared" si="3"/>
        <v>0</v>
      </c>
      <c r="H18" s="8"/>
      <c r="I18" s="8">
        <f t="shared" si="4"/>
        <v>-8.8275914511947828E-2</v>
      </c>
      <c r="J18" s="8">
        <f t="shared" si="5"/>
        <v>2.4943501200226024</v>
      </c>
      <c r="K18" s="8">
        <f t="shared" si="6"/>
        <v>8.8275914511947828E-2</v>
      </c>
      <c r="L18" s="8"/>
      <c r="M18" s="8">
        <f t="shared" si="7"/>
        <v>0</v>
      </c>
      <c r="N18" s="8">
        <f t="shared" si="8"/>
        <v>-8.8275914511947828E-2</v>
      </c>
      <c r="O18" s="8">
        <f t="shared" si="9"/>
        <v>2.4943501200226024</v>
      </c>
      <c r="P18" s="8"/>
      <c r="Q18" s="8">
        <f t="shared" si="10"/>
        <v>8.8275914511947828E-2</v>
      </c>
      <c r="R18" s="8"/>
      <c r="S18" s="9">
        <f t="shared" si="11"/>
        <v>7.7926370829207213E-3</v>
      </c>
      <c r="T18" s="165">
        <f t="shared" si="20"/>
        <v>1</v>
      </c>
      <c r="U18" s="163">
        <f t="shared" si="21"/>
        <v>7.7926370829207213E-3</v>
      </c>
      <c r="V18" s="8">
        <f t="shared" si="12"/>
        <v>0.87987785885885816</v>
      </c>
      <c r="X18" s="8">
        <f t="shared" si="13"/>
        <v>0.985488925862406</v>
      </c>
      <c r="Z18" s="2">
        <f t="shared" si="22"/>
        <v>0.76600000000000001</v>
      </c>
      <c r="AA18" s="4">
        <f t="shared" si="23"/>
        <v>3.37</v>
      </c>
      <c r="AB18" s="46">
        <f t="shared" si="24"/>
        <v>0.76600000000000001</v>
      </c>
      <c r="AC18" s="4">
        <f t="shared" si="25"/>
        <v>2.5826260345345502</v>
      </c>
      <c r="AD18" s="2">
        <f t="shared" si="26"/>
        <v>6.3220214525356337E-3</v>
      </c>
      <c r="AE18" s="50">
        <f t="shared" si="14"/>
        <v>63.22021452535634</v>
      </c>
      <c r="AF18" s="10">
        <f t="shared" si="27"/>
        <v>0.42295915724925193</v>
      </c>
      <c r="AG18" s="10">
        <f t="shared" si="28"/>
        <v>0.42295915724925193</v>
      </c>
      <c r="AH18" s="8">
        <f t="shared" si="15"/>
        <v>2.4943501200226024</v>
      </c>
      <c r="AI18" s="10">
        <f t="shared" si="29"/>
        <v>0.42574368819122554</v>
      </c>
      <c r="AJ18" s="10">
        <f t="shared" si="35"/>
        <v>0.41442394242734476</v>
      </c>
      <c r="AK18" s="10">
        <f t="shared" si="16"/>
        <v>0.40610426356453877</v>
      </c>
      <c r="AL18" s="162">
        <f t="shared" si="30"/>
        <v>0.41026410299594174</v>
      </c>
      <c r="AM18" s="178">
        <f t="shared" si="31"/>
        <v>1.269505425331019E-2</v>
      </c>
      <c r="AO18" s="3" t="s">
        <v>33</v>
      </c>
      <c r="AQ18" s="1">
        <f t="shared" si="17"/>
        <v>0.42295915724925193</v>
      </c>
      <c r="AR18" s="1">
        <f t="shared" si="18"/>
        <v>0</v>
      </c>
      <c r="AS18" s="1">
        <f t="shared" si="19"/>
        <v>0</v>
      </c>
      <c r="AT18" s="1">
        <f t="shared" si="32"/>
        <v>2.7826260345345504</v>
      </c>
      <c r="AU18" s="1">
        <f t="shared" si="33"/>
        <v>3.37</v>
      </c>
      <c r="AV18" s="8">
        <f t="shared" si="34"/>
        <v>2.5826260345345502</v>
      </c>
    </row>
    <row r="19" spans="1:48" ht="17.399999999999999">
      <c r="A19" s="168">
        <v>3.67</v>
      </c>
      <c r="B19" s="98">
        <v>3.1833241835075259</v>
      </c>
      <c r="C19" s="171">
        <v>1</v>
      </c>
      <c r="D19" s="8">
        <f t="shared" si="0"/>
        <v>2.9833241835075257</v>
      </c>
      <c r="E19" s="8">
        <f t="shared" si="1"/>
        <v>2.8905422532916676</v>
      </c>
      <c r="F19" s="8">
        <f t="shared" si="2"/>
        <v>9.2781930215858122E-2</v>
      </c>
      <c r="G19" s="8">
        <f t="shared" si="3"/>
        <v>0</v>
      </c>
      <c r="H19" s="8"/>
      <c r="I19" s="8">
        <f t="shared" si="4"/>
        <v>-9.2781930215858122E-2</v>
      </c>
      <c r="J19" s="8">
        <f t="shared" si="5"/>
        <v>2.8905422532916676</v>
      </c>
      <c r="K19" s="8">
        <f t="shared" si="6"/>
        <v>9.2781930215858122E-2</v>
      </c>
      <c r="L19" s="8"/>
      <c r="M19" s="8">
        <f t="shared" si="7"/>
        <v>0</v>
      </c>
      <c r="N19" s="8">
        <f t="shared" si="8"/>
        <v>-9.2781930215858122E-2</v>
      </c>
      <c r="O19" s="8">
        <f t="shared" si="9"/>
        <v>2.8905422532916676</v>
      </c>
      <c r="P19" s="8"/>
      <c r="Q19" s="8">
        <f t="shared" si="10"/>
        <v>9.2781930215858122E-2</v>
      </c>
      <c r="R19" s="8"/>
      <c r="S19" s="9">
        <f t="shared" si="11"/>
        <v>8.6084865745803662E-3</v>
      </c>
      <c r="T19" s="165">
        <f t="shared" si="20"/>
        <v>1</v>
      </c>
      <c r="U19" s="163">
        <f t="shared" si="21"/>
        <v>8.6084865745803662E-3</v>
      </c>
      <c r="V19" s="8">
        <f t="shared" si="12"/>
        <v>0.86124073565081272</v>
      </c>
      <c r="X19" s="8">
        <f t="shared" si="13"/>
        <v>1.073217910360543</v>
      </c>
      <c r="Z19" s="2">
        <f t="shared" si="22"/>
        <v>0.81299999999999994</v>
      </c>
      <c r="AA19" s="4">
        <f t="shared" si="23"/>
        <v>3.67</v>
      </c>
      <c r="AB19" s="46">
        <f t="shared" si="24"/>
        <v>0.81299999999999994</v>
      </c>
      <c r="AC19" s="4">
        <f t="shared" si="25"/>
        <v>2.9833241835075257</v>
      </c>
      <c r="AD19" s="2">
        <f t="shared" si="26"/>
        <v>5.8052349577779527E-3</v>
      </c>
      <c r="AE19" s="50">
        <f t="shared" si="14"/>
        <v>58.05234957777953</v>
      </c>
      <c r="AF19" s="10">
        <f t="shared" si="27"/>
        <v>0.40069814897297551</v>
      </c>
      <c r="AG19" s="10">
        <f t="shared" si="28"/>
        <v>0.40069814897297551</v>
      </c>
      <c r="AH19" s="8">
        <f t="shared" si="15"/>
        <v>2.8905422532916676</v>
      </c>
      <c r="AI19" s="10">
        <f t="shared" si="29"/>
        <v>0.39619213326906522</v>
      </c>
      <c r="AJ19" s="10">
        <f t="shared" si="35"/>
        <v>0.41708421412246194</v>
      </c>
      <c r="AK19" s="10">
        <f t="shared" si="16"/>
        <v>0.39212985094266206</v>
      </c>
      <c r="AL19" s="162">
        <f t="shared" si="30"/>
        <v>0.40460703253256203</v>
      </c>
      <c r="AM19" s="178">
        <f t="shared" si="31"/>
        <v>3.9088835595865179E-3</v>
      </c>
      <c r="AO19" s="3">
        <f>B6</f>
        <v>948</v>
      </c>
      <c r="AQ19" s="1">
        <f t="shared" si="17"/>
        <v>0.40069814897297551</v>
      </c>
      <c r="AR19" s="1">
        <f t="shared" si="18"/>
        <v>0</v>
      </c>
      <c r="AS19" s="1">
        <f t="shared" si="19"/>
        <v>0</v>
      </c>
      <c r="AT19" s="1">
        <f t="shared" si="32"/>
        <v>3.1833241835075259</v>
      </c>
      <c r="AU19" s="1">
        <f t="shared" si="33"/>
        <v>3.67</v>
      </c>
      <c r="AV19" s="8">
        <f t="shared" si="34"/>
        <v>2.9833241835075257</v>
      </c>
    </row>
    <row r="20" spans="1:48" ht="17.399999999999999">
      <c r="A20" s="168">
        <v>4.03</v>
      </c>
      <c r="B20" s="98">
        <v>3.5617613242042241</v>
      </c>
      <c r="C20" s="171">
        <v>1</v>
      </c>
      <c r="D20" s="8">
        <f t="shared" si="0"/>
        <v>3.3617613242042239</v>
      </c>
      <c r="E20" s="8">
        <f t="shared" si="1"/>
        <v>3.3122566726467553</v>
      </c>
      <c r="F20" s="8">
        <f t="shared" si="2"/>
        <v>0</v>
      </c>
      <c r="G20" s="8">
        <f t="shared" si="3"/>
        <v>0</v>
      </c>
      <c r="H20" s="8"/>
      <c r="I20" s="8">
        <f t="shared" si="4"/>
        <v>0</v>
      </c>
      <c r="J20" s="8">
        <f t="shared" si="5"/>
        <v>3.3122566726467553</v>
      </c>
      <c r="K20" s="8">
        <f t="shared" si="6"/>
        <v>0</v>
      </c>
      <c r="L20" s="8"/>
      <c r="M20" s="8">
        <f t="shared" si="7"/>
        <v>0</v>
      </c>
      <c r="N20" s="8">
        <f t="shared" si="8"/>
        <v>0</v>
      </c>
      <c r="O20" s="8">
        <f t="shared" si="9"/>
        <v>3.3122566726467553</v>
      </c>
      <c r="P20" s="8"/>
      <c r="Q20" s="8">
        <f t="shared" si="10"/>
        <v>0</v>
      </c>
      <c r="R20" s="8"/>
      <c r="S20" s="9">
        <f t="shared" si="11"/>
        <v>0</v>
      </c>
      <c r="T20" s="165">
        <f t="shared" si="20"/>
        <v>1</v>
      </c>
      <c r="U20" s="163">
        <f t="shared" si="21"/>
        <v>0</v>
      </c>
      <c r="V20" s="8">
        <f t="shared" si="12"/>
        <v>0.84363900817654769</v>
      </c>
      <c r="X20" s="8">
        <f t="shared" si="13"/>
        <v>1.1784926917583076</v>
      </c>
      <c r="Z20" s="2">
        <f t="shared" si="22"/>
        <v>0.83399999999999996</v>
      </c>
      <c r="AA20" s="4">
        <f t="shared" si="23"/>
        <v>4.03</v>
      </c>
      <c r="AB20" s="46">
        <f t="shared" si="24"/>
        <v>0.83399999999999996</v>
      </c>
      <c r="AC20" s="4">
        <f t="shared" si="25"/>
        <v>3.3617613242042239</v>
      </c>
      <c r="AD20" s="2">
        <f t="shared" si="26"/>
        <v>5.2866531749491529E-3</v>
      </c>
      <c r="AE20" s="50">
        <f t="shared" si="14"/>
        <v>52.866531749491529</v>
      </c>
      <c r="AF20" s="10">
        <f t="shared" si="27"/>
        <v>0.3784371406966982</v>
      </c>
      <c r="AG20" s="10">
        <f t="shared" si="28"/>
        <v>0.3784371406966982</v>
      </c>
      <c r="AH20" s="8">
        <f t="shared" si="15"/>
        <v>3.3122566726467553</v>
      </c>
      <c r="AI20" s="10">
        <f t="shared" si="29"/>
        <v>0.42171441935508769</v>
      </c>
      <c r="AJ20" s="10">
        <f t="shared" si="35"/>
        <v>0.41954809970504686</v>
      </c>
      <c r="AK20" s="10">
        <f t="shared" si="16"/>
        <v>0.38161602791273408</v>
      </c>
      <c r="AL20" s="162">
        <f t="shared" si="30"/>
        <v>0.4005820638088905</v>
      </c>
      <c r="AM20" s="178">
        <f t="shared" si="31"/>
        <v>2.2144923112192294E-2</v>
      </c>
      <c r="AO20" s="3" t="s">
        <v>64</v>
      </c>
      <c r="AQ20" s="1">
        <f t="shared" si="17"/>
        <v>0.3784371406966982</v>
      </c>
      <c r="AR20" s="1">
        <f t="shared" si="18"/>
        <v>0</v>
      </c>
      <c r="AS20" s="1">
        <f t="shared" si="19"/>
        <v>0</v>
      </c>
      <c r="AT20" s="1">
        <f t="shared" si="32"/>
        <v>3.5617613242042241</v>
      </c>
      <c r="AU20" s="1">
        <f t="shared" si="33"/>
        <v>4.03</v>
      </c>
      <c r="AV20" s="8">
        <f t="shared" si="34"/>
        <v>3.3617613242042239</v>
      </c>
    </row>
    <row r="21" spans="1:48" ht="17.399999999999999">
      <c r="A21" s="168">
        <v>4.4000000000000004</v>
      </c>
      <c r="B21" s="98">
        <v>3.9401984649009236</v>
      </c>
      <c r="C21" s="171">
        <v>1</v>
      </c>
      <c r="D21" s="8">
        <f t="shared" si="0"/>
        <v>3.7401984649009234</v>
      </c>
      <c r="E21" s="8">
        <f t="shared" si="1"/>
        <v>3.6930234860895319</v>
      </c>
      <c r="F21" s="8">
        <f t="shared" si="2"/>
        <v>0</v>
      </c>
      <c r="G21" s="8">
        <f t="shared" si="3"/>
        <v>0</v>
      </c>
      <c r="H21" s="8"/>
      <c r="I21" s="8">
        <f t="shared" si="4"/>
        <v>0</v>
      </c>
      <c r="J21" s="8">
        <f t="shared" si="5"/>
        <v>3.6930234860895319</v>
      </c>
      <c r="K21" s="8">
        <f t="shared" si="6"/>
        <v>0</v>
      </c>
      <c r="L21" s="8"/>
      <c r="M21" s="8">
        <f t="shared" si="7"/>
        <v>0</v>
      </c>
      <c r="N21" s="8">
        <f t="shared" si="8"/>
        <v>0</v>
      </c>
      <c r="O21" s="8">
        <f t="shared" si="9"/>
        <v>3.6930234860895319</v>
      </c>
      <c r="P21" s="8"/>
      <c r="Q21" s="8">
        <f t="shared" si="10"/>
        <v>0</v>
      </c>
      <c r="R21" s="8"/>
      <c r="S21" s="9">
        <f t="shared" si="11"/>
        <v>0</v>
      </c>
      <c r="T21" s="165">
        <f t="shared" si="20"/>
        <v>1</v>
      </c>
      <c r="U21" s="163">
        <f t="shared" si="21"/>
        <v>0</v>
      </c>
      <c r="V21" s="8">
        <f t="shared" si="12"/>
        <v>0.82603728070228266</v>
      </c>
      <c r="X21" s="8">
        <f t="shared" si="13"/>
        <v>1.2866917726393432</v>
      </c>
      <c r="Z21" s="2">
        <f t="shared" si="22"/>
        <v>0.85</v>
      </c>
      <c r="AA21" s="4">
        <f t="shared" si="23"/>
        <v>4.4000000000000004</v>
      </c>
      <c r="AB21" s="46">
        <f t="shared" si="24"/>
        <v>0.85</v>
      </c>
      <c r="AC21" s="4">
        <f t="shared" si="25"/>
        <v>3.7401984649009234</v>
      </c>
      <c r="AD21" s="2">
        <f t="shared" si="26"/>
        <v>4.842093703419338E-3</v>
      </c>
      <c r="AE21" s="50">
        <f t="shared" si="14"/>
        <v>48.420937034193379</v>
      </c>
      <c r="AF21" s="10">
        <f t="shared" si="27"/>
        <v>0.37843714069669954</v>
      </c>
      <c r="AG21" s="10">
        <f t="shared" si="28"/>
        <v>0.37843714069669954</v>
      </c>
      <c r="AH21" s="8">
        <f t="shared" si="15"/>
        <v>3.6930234860895319</v>
      </c>
      <c r="AI21" s="10">
        <f t="shared" si="29"/>
        <v>0.38076681344277663</v>
      </c>
      <c r="AJ21" s="10">
        <f t="shared" si="35"/>
        <v>0.40610426356453877</v>
      </c>
      <c r="AK21" s="10">
        <f t="shared" si="16"/>
        <v>0.36169218641783074</v>
      </c>
      <c r="AL21" s="162">
        <f t="shared" si="30"/>
        <v>0.38389822499118476</v>
      </c>
      <c r="AM21" s="178">
        <f t="shared" si="31"/>
        <v>5.4610842944852189E-3</v>
      </c>
      <c r="AO21" s="13">
        <f>G5</f>
        <v>987.08286779692435</v>
      </c>
      <c r="AQ21" s="1">
        <f t="shared" si="17"/>
        <v>0.37843714069669954</v>
      </c>
      <c r="AR21" s="1">
        <f t="shared" si="18"/>
        <v>0</v>
      </c>
      <c r="AS21" s="1">
        <f t="shared" si="19"/>
        <v>0</v>
      </c>
      <c r="AT21" s="1">
        <f t="shared" si="32"/>
        <v>3.9401984649009236</v>
      </c>
      <c r="AU21" s="1">
        <f t="shared" si="33"/>
        <v>4.4000000000000004</v>
      </c>
      <c r="AV21" s="8">
        <f t="shared" si="34"/>
        <v>3.7401984649009234</v>
      </c>
    </row>
    <row r="22" spans="1:48" ht="17.399999999999999">
      <c r="A22" s="168">
        <v>4.8099999999999996</v>
      </c>
      <c r="B22" s="98">
        <v>4.3186356055976223</v>
      </c>
      <c r="C22" s="171">
        <v>1</v>
      </c>
      <c r="D22" s="8">
        <f t="shared" si="0"/>
        <v>4.1186356055976221</v>
      </c>
      <c r="E22" s="8">
        <f t="shared" si="1"/>
        <v>4.0628695237932506</v>
      </c>
      <c r="F22" s="8">
        <f t="shared" si="2"/>
        <v>5.5766081804371481E-2</v>
      </c>
      <c r="G22" s="8">
        <f t="shared" si="3"/>
        <v>0</v>
      </c>
      <c r="H22" s="8"/>
      <c r="I22" s="8">
        <f t="shared" si="4"/>
        <v>-5.5766081804371481E-2</v>
      </c>
      <c r="J22" s="8">
        <f t="shared" si="5"/>
        <v>4.0628695237932506</v>
      </c>
      <c r="K22" s="8">
        <f t="shared" si="6"/>
        <v>5.5766081804371481E-2</v>
      </c>
      <c r="L22" s="8"/>
      <c r="M22" s="8">
        <f t="shared" si="7"/>
        <v>0</v>
      </c>
      <c r="N22" s="8">
        <f t="shared" si="8"/>
        <v>-5.5766081804371481E-2</v>
      </c>
      <c r="O22" s="8">
        <f t="shared" si="9"/>
        <v>4.0628695237932506</v>
      </c>
      <c r="P22" s="8"/>
      <c r="Q22" s="8">
        <f t="shared" si="10"/>
        <v>5.5766081804371481E-2</v>
      </c>
      <c r="R22" s="8"/>
      <c r="S22" s="9">
        <f t="shared" si="11"/>
        <v>3.1098558798118522E-3</v>
      </c>
      <c r="T22" s="165">
        <f t="shared" si="20"/>
        <v>1</v>
      </c>
      <c r="U22" s="163">
        <f t="shared" si="21"/>
        <v>3.1098558798118522E-3</v>
      </c>
      <c r="V22" s="8">
        <f t="shared" si="12"/>
        <v>0.80843555322801763</v>
      </c>
      <c r="X22" s="8">
        <f t="shared" si="13"/>
        <v>1.4065880514534637</v>
      </c>
      <c r="Z22" s="2">
        <f t="shared" si="22"/>
        <v>0.85599999999999998</v>
      </c>
      <c r="AA22" s="4">
        <f t="shared" si="23"/>
        <v>4.8099999999999996</v>
      </c>
      <c r="AB22" s="46">
        <f t="shared" si="24"/>
        <v>0.85599999999999998</v>
      </c>
      <c r="AC22" s="4">
        <f t="shared" si="25"/>
        <v>4.1186356055976221</v>
      </c>
      <c r="AD22" s="2">
        <f t="shared" si="26"/>
        <v>4.4293580654979391E-3</v>
      </c>
      <c r="AE22" s="50">
        <f t="shared" si="14"/>
        <v>44.293580654979394</v>
      </c>
      <c r="AF22" s="10">
        <f t="shared" si="27"/>
        <v>0.37843714069669865</v>
      </c>
      <c r="AG22" s="10">
        <f t="shared" si="28"/>
        <v>0.37843714069669865</v>
      </c>
      <c r="AH22" s="8">
        <f t="shared" si="15"/>
        <v>4.0628695237932506</v>
      </c>
      <c r="AI22" s="10">
        <f t="shared" si="29"/>
        <v>0.36984603770371871</v>
      </c>
      <c r="AJ22" s="10">
        <f t="shared" si="35"/>
        <v>0.39212985094266206</v>
      </c>
      <c r="AK22" s="10">
        <f t="shared" si="16"/>
        <v>0.34663939338752636</v>
      </c>
      <c r="AL22" s="162">
        <f t="shared" si="30"/>
        <v>0.36938462216509421</v>
      </c>
      <c r="AM22" s="178">
        <f t="shared" si="31"/>
        <v>9.0525185316044365E-3</v>
      </c>
      <c r="AO22" s="3" t="s">
        <v>34</v>
      </c>
      <c r="AQ22" s="1">
        <f t="shared" si="17"/>
        <v>0.37843714069669865</v>
      </c>
      <c r="AR22" s="1">
        <f t="shared" si="18"/>
        <v>0</v>
      </c>
      <c r="AS22" s="1">
        <f t="shared" si="19"/>
        <v>0</v>
      </c>
      <c r="AT22" s="1">
        <f t="shared" si="32"/>
        <v>4.3186356055976223</v>
      </c>
      <c r="AU22" s="1">
        <f t="shared" si="33"/>
        <v>4.8099999999999996</v>
      </c>
      <c r="AV22" s="8">
        <f t="shared" si="34"/>
        <v>4.1186356055976221</v>
      </c>
    </row>
    <row r="23" spans="1:48" ht="17.399999999999999">
      <c r="A23" s="168">
        <v>5.26</v>
      </c>
      <c r="B23" s="98">
        <v>4.6748117380180441</v>
      </c>
      <c r="C23" s="171">
        <v>1</v>
      </c>
      <c r="D23" s="8">
        <f t="shared" si="0"/>
        <v>4.4748117380180439</v>
      </c>
      <c r="E23" s="8">
        <f t="shared" si="1"/>
        <v>4.4170063649426039</v>
      </c>
      <c r="F23" s="8">
        <f t="shared" si="2"/>
        <v>5.7805373075439981E-2</v>
      </c>
      <c r="G23" s="8">
        <f t="shared" si="3"/>
        <v>0</v>
      </c>
      <c r="H23" s="8"/>
      <c r="I23" s="8">
        <f t="shared" si="4"/>
        <v>-5.7805373075439981E-2</v>
      </c>
      <c r="J23" s="8">
        <f t="shared" si="5"/>
        <v>4.4170063649426039</v>
      </c>
      <c r="K23" s="8">
        <f t="shared" si="6"/>
        <v>5.7805373075439981E-2</v>
      </c>
      <c r="L23" s="8"/>
      <c r="M23" s="8">
        <f t="shared" si="7"/>
        <v>0</v>
      </c>
      <c r="N23" s="8">
        <f t="shared" si="8"/>
        <v>-5.7805373075439981E-2</v>
      </c>
      <c r="O23" s="8">
        <f t="shared" si="9"/>
        <v>4.4170063649426039</v>
      </c>
      <c r="P23" s="8"/>
      <c r="Q23" s="8">
        <f t="shared" si="10"/>
        <v>5.7805373075439981E-2</v>
      </c>
      <c r="R23" s="8"/>
      <c r="S23" s="9">
        <f t="shared" si="11"/>
        <v>3.3414611563908013E-3</v>
      </c>
      <c r="T23" s="165">
        <f t="shared" si="20"/>
        <v>1</v>
      </c>
      <c r="U23" s="163">
        <f t="shared" si="21"/>
        <v>3.3414611563908013E-3</v>
      </c>
      <c r="V23" s="8">
        <f t="shared" si="12"/>
        <v>0.7918692214875328</v>
      </c>
      <c r="X23" s="8">
        <f t="shared" si="13"/>
        <v>1.5381815282006692</v>
      </c>
      <c r="Z23" s="2">
        <f t="shared" si="22"/>
        <v>0.85099999999999998</v>
      </c>
      <c r="AA23" s="4">
        <f t="shared" si="23"/>
        <v>5.26</v>
      </c>
      <c r="AB23" s="46">
        <f t="shared" si="24"/>
        <v>0.85099999999999998</v>
      </c>
      <c r="AC23" s="4">
        <f t="shared" si="25"/>
        <v>4.4748117380180439</v>
      </c>
      <c r="AD23" s="2">
        <f t="shared" si="26"/>
        <v>4.0504205884116136E-3</v>
      </c>
      <c r="AE23" s="50">
        <f t="shared" si="14"/>
        <v>40.504205884116139</v>
      </c>
      <c r="AF23" s="10">
        <f t="shared" si="27"/>
        <v>0.35617613242042179</v>
      </c>
      <c r="AG23" s="10">
        <f t="shared" si="28"/>
        <v>0.35617613242042179</v>
      </c>
      <c r="AH23" s="8">
        <f t="shared" si="15"/>
        <v>4.4170063649426039</v>
      </c>
      <c r="AI23" s="10">
        <f t="shared" si="29"/>
        <v>0.35413684114935329</v>
      </c>
      <c r="AJ23" s="10">
        <f t="shared" si="35"/>
        <v>0.38161602791273408</v>
      </c>
      <c r="AK23" s="10">
        <f t="shared" si="16"/>
        <v>0.33017813119559225</v>
      </c>
      <c r="AL23" s="162">
        <f t="shared" si="30"/>
        <v>0.35589707955416316</v>
      </c>
      <c r="AM23" s="178">
        <f t="shared" si="31"/>
        <v>2.7905286625862225E-4</v>
      </c>
      <c r="AO23" s="3" t="s">
        <v>35</v>
      </c>
      <c r="AQ23" s="1">
        <f t="shared" si="17"/>
        <v>0.35617613242042179</v>
      </c>
      <c r="AR23" s="1">
        <f t="shared" si="18"/>
        <v>0</v>
      </c>
      <c r="AS23" s="1">
        <f t="shared" si="19"/>
        <v>0</v>
      </c>
      <c r="AT23" s="1">
        <f t="shared" si="32"/>
        <v>4.6748117380180441</v>
      </c>
      <c r="AU23" s="1">
        <f t="shared" si="33"/>
        <v>5.26</v>
      </c>
      <c r="AV23" s="8">
        <f t="shared" si="34"/>
        <v>4.4748117380180439</v>
      </c>
    </row>
    <row r="24" spans="1:48" ht="17.399999999999999">
      <c r="A24" s="168">
        <v>5.76</v>
      </c>
      <c r="B24" s="98">
        <v>4.9864658538859139</v>
      </c>
      <c r="C24" s="171">
        <v>1</v>
      </c>
      <c r="D24" s="8">
        <f t="shared" si="0"/>
        <v>4.7864658538859137</v>
      </c>
      <c r="E24" s="8">
        <f t="shared" si="1"/>
        <v>4.7590254183180782</v>
      </c>
      <c r="F24" s="8">
        <f t="shared" si="2"/>
        <v>0</v>
      </c>
      <c r="G24" s="8">
        <f t="shared" si="3"/>
        <v>0</v>
      </c>
      <c r="H24" s="8"/>
      <c r="I24" s="8">
        <f t="shared" si="4"/>
        <v>0</v>
      </c>
      <c r="J24" s="8">
        <f t="shared" si="5"/>
        <v>4.7590254183180782</v>
      </c>
      <c r="K24" s="8">
        <f t="shared" si="6"/>
        <v>0</v>
      </c>
      <c r="L24" s="8"/>
      <c r="M24" s="8">
        <f t="shared" si="7"/>
        <v>0</v>
      </c>
      <c r="N24" s="8">
        <f t="shared" si="8"/>
        <v>0</v>
      </c>
      <c r="O24" s="8">
        <f t="shared" si="9"/>
        <v>4.7590254183180782</v>
      </c>
      <c r="P24" s="8"/>
      <c r="Q24" s="8">
        <f t="shared" si="10"/>
        <v>0</v>
      </c>
      <c r="R24" s="8"/>
      <c r="S24" s="9">
        <f t="shared" si="11"/>
        <v>0</v>
      </c>
      <c r="T24" s="165">
        <f t="shared" si="20"/>
        <v>1</v>
      </c>
      <c r="U24" s="163">
        <f t="shared" si="21"/>
        <v>0</v>
      </c>
      <c r="V24" s="8">
        <f t="shared" si="12"/>
        <v>0.7773736812146087</v>
      </c>
      <c r="X24" s="8">
        <f t="shared" si="13"/>
        <v>1.6843965023642309</v>
      </c>
      <c r="Z24" s="2">
        <f t="shared" si="22"/>
        <v>0.83099999999999996</v>
      </c>
      <c r="AA24" s="4">
        <f t="shared" si="23"/>
        <v>5.76</v>
      </c>
      <c r="AB24" s="46">
        <f t="shared" si="24"/>
        <v>0.83099999999999996</v>
      </c>
      <c r="AC24" s="4">
        <f t="shared" si="25"/>
        <v>4.7864658538859137</v>
      </c>
      <c r="AD24" s="2">
        <f t="shared" si="26"/>
        <v>3.698821579000883E-3</v>
      </c>
      <c r="AE24" s="50">
        <f t="shared" si="14"/>
        <v>36.98821579000883</v>
      </c>
      <c r="AF24" s="10">
        <f t="shared" si="27"/>
        <v>0.31165411586786984</v>
      </c>
      <c r="AG24" s="10">
        <f t="shared" si="28"/>
        <v>0.31165411586786984</v>
      </c>
      <c r="AH24" s="8">
        <f t="shared" si="15"/>
        <v>4.7590254183180782</v>
      </c>
      <c r="AI24" s="10">
        <f t="shared" si="29"/>
        <v>0.34201905337547434</v>
      </c>
      <c r="AJ24" s="10">
        <f t="shared" si="35"/>
        <v>0.36169218641783074</v>
      </c>
      <c r="AK24" s="10">
        <f t="shared" si="16"/>
        <v>0.31322220305283355</v>
      </c>
      <c r="AL24" s="162">
        <f t="shared" si="30"/>
        <v>0.33745719473533214</v>
      </c>
      <c r="AM24" s="178">
        <f t="shared" si="31"/>
        <v>2.5803078867462304E-2</v>
      </c>
      <c r="AO24" s="12">
        <f>E4</f>
        <v>0.74266633994215447</v>
      </c>
      <c r="AQ24" s="1">
        <f t="shared" si="17"/>
        <v>0.31165411586786984</v>
      </c>
      <c r="AR24" s="1">
        <f t="shared" si="18"/>
        <v>0</v>
      </c>
      <c r="AS24" s="1">
        <f t="shared" si="19"/>
        <v>0</v>
      </c>
      <c r="AT24" s="1">
        <f t="shared" si="32"/>
        <v>4.9864658538859139</v>
      </c>
      <c r="AU24" s="1">
        <f t="shared" si="33"/>
        <v>5.76</v>
      </c>
      <c r="AV24" s="8">
        <f t="shared" si="34"/>
        <v>4.7864658538859137</v>
      </c>
    </row>
    <row r="25" spans="1:48" ht="17.399999999999999">
      <c r="A25" s="168">
        <v>6.3</v>
      </c>
      <c r="B25" s="98">
        <v>5.2535979532012309</v>
      </c>
      <c r="C25" s="171">
        <v>1</v>
      </c>
      <c r="D25" s="8">
        <f t="shared" si="0"/>
        <v>5.0535979532012307</v>
      </c>
      <c r="E25" s="8">
        <f t="shared" si="1"/>
        <v>5.0795810596396374</v>
      </c>
      <c r="F25" s="8">
        <f t="shared" si="2"/>
        <v>0</v>
      </c>
      <c r="G25" s="8">
        <f t="shared" si="3"/>
        <v>0</v>
      </c>
      <c r="H25" s="8"/>
      <c r="I25" s="8">
        <f t="shared" si="4"/>
        <v>0</v>
      </c>
      <c r="J25" s="8">
        <f t="shared" si="5"/>
        <v>5.0795810596396374</v>
      </c>
      <c r="K25" s="8">
        <f t="shared" si="6"/>
        <v>0</v>
      </c>
      <c r="L25" s="8"/>
      <c r="M25" s="8">
        <f t="shared" si="7"/>
        <v>0</v>
      </c>
      <c r="N25" s="8">
        <f t="shared" si="8"/>
        <v>0</v>
      </c>
      <c r="O25" s="8">
        <f t="shared" si="9"/>
        <v>5.0795810596396374</v>
      </c>
      <c r="P25" s="8"/>
      <c r="Q25" s="8">
        <f t="shared" si="10"/>
        <v>0</v>
      </c>
      <c r="R25" s="8"/>
      <c r="S25" s="9">
        <f t="shared" si="11"/>
        <v>0</v>
      </c>
      <c r="T25" s="165">
        <f t="shared" si="20"/>
        <v>1</v>
      </c>
      <c r="U25" s="163">
        <f t="shared" si="21"/>
        <v>0</v>
      </c>
      <c r="V25" s="8">
        <f t="shared" si="12"/>
        <v>0.76494893240924511</v>
      </c>
      <c r="X25" s="8">
        <f t="shared" si="13"/>
        <v>1.8423086744608776</v>
      </c>
      <c r="Z25" s="2">
        <f t="shared" si="22"/>
        <v>0.80200000000000005</v>
      </c>
      <c r="AA25" s="4">
        <f t="shared" si="23"/>
        <v>6.3</v>
      </c>
      <c r="AB25" s="46">
        <f t="shared" si="24"/>
        <v>0.80200000000000005</v>
      </c>
      <c r="AC25" s="4">
        <f t="shared" si="25"/>
        <v>5.0535979532012307</v>
      </c>
      <c r="AD25" s="2">
        <f t="shared" si="26"/>
        <v>3.3817797293722359E-3</v>
      </c>
      <c r="AE25" s="50">
        <f t="shared" si="14"/>
        <v>33.817797293722357</v>
      </c>
      <c r="AF25" s="10">
        <f t="shared" si="27"/>
        <v>0.26713209931531701</v>
      </c>
      <c r="AG25" s="10">
        <f t="shared" si="28"/>
        <v>0.26713209931531701</v>
      </c>
      <c r="AH25" s="8">
        <f t="shared" si="15"/>
        <v>5.0795810596396374</v>
      </c>
      <c r="AI25" s="10">
        <f t="shared" si="29"/>
        <v>0.32055564132155911</v>
      </c>
      <c r="AJ25" s="10">
        <f t="shared" si="35"/>
        <v>0.34663939338752636</v>
      </c>
      <c r="AK25" s="10">
        <f t="shared" si="16"/>
        <v>0.29662900597736863</v>
      </c>
      <c r="AL25" s="162">
        <f t="shared" si="30"/>
        <v>0.3216341996824475</v>
      </c>
      <c r="AM25" s="178">
        <f t="shared" si="31"/>
        <v>5.450210036713049E-2</v>
      </c>
      <c r="AO25" s="3" t="s">
        <v>36</v>
      </c>
      <c r="AQ25" s="1">
        <f t="shared" si="17"/>
        <v>0.26713209931531701</v>
      </c>
      <c r="AR25" s="1">
        <f t="shared" si="18"/>
        <v>0</v>
      </c>
      <c r="AS25" s="1">
        <f t="shared" si="19"/>
        <v>0</v>
      </c>
      <c r="AT25" s="1">
        <f t="shared" si="32"/>
        <v>5.2535979532012309</v>
      </c>
      <c r="AU25" s="1">
        <f t="shared" si="33"/>
        <v>6.3</v>
      </c>
      <c r="AV25" s="8">
        <f t="shared" si="34"/>
        <v>5.0535979532012307</v>
      </c>
    </row>
    <row r="26" spans="1:48" ht="17.399999999999999">
      <c r="A26" s="168">
        <v>6.89</v>
      </c>
      <c r="B26" s="98">
        <v>5.5429910607928239</v>
      </c>
      <c r="C26" s="171">
        <v>1</v>
      </c>
      <c r="D26" s="8">
        <f t="shared" si="0"/>
        <v>5.3429910607928237</v>
      </c>
      <c r="E26" s="8">
        <f t="shared" si="1"/>
        <v>5.3835820485756196</v>
      </c>
      <c r="F26" s="8">
        <f t="shared" si="2"/>
        <v>0</v>
      </c>
      <c r="G26" s="8">
        <f t="shared" si="3"/>
        <v>0</v>
      </c>
      <c r="H26" s="8"/>
      <c r="I26" s="8">
        <f t="shared" si="4"/>
        <v>0</v>
      </c>
      <c r="J26" s="8">
        <f t="shared" si="5"/>
        <v>5.3835820485756196</v>
      </c>
      <c r="K26" s="8">
        <f t="shared" si="6"/>
        <v>0</v>
      </c>
      <c r="L26" s="8"/>
      <c r="M26" s="8">
        <f t="shared" si="7"/>
        <v>0</v>
      </c>
      <c r="N26" s="8">
        <f t="shared" si="8"/>
        <v>0</v>
      </c>
      <c r="O26" s="8">
        <f t="shared" si="9"/>
        <v>5.3835820485756196</v>
      </c>
      <c r="P26" s="8"/>
      <c r="Q26" s="8">
        <f t="shared" si="10"/>
        <v>0</v>
      </c>
      <c r="R26" s="8"/>
      <c r="S26" s="9">
        <f t="shared" si="11"/>
        <v>0</v>
      </c>
      <c r="T26" s="165">
        <f t="shared" si="20"/>
        <v>1</v>
      </c>
      <c r="U26" s="163">
        <f t="shared" si="21"/>
        <v>0</v>
      </c>
      <c r="V26" s="8">
        <f t="shared" si="12"/>
        <v>0.7514887878701012</v>
      </c>
      <c r="X26" s="8">
        <f t="shared" si="13"/>
        <v>2.0148423439738803</v>
      </c>
      <c r="Z26" s="2">
        <f t="shared" si="22"/>
        <v>0.77500000000000002</v>
      </c>
      <c r="AA26" s="4">
        <f t="shared" si="23"/>
        <v>6.89</v>
      </c>
      <c r="AB26" s="46">
        <f t="shared" si="24"/>
        <v>0.77500000000000002</v>
      </c>
      <c r="AC26" s="4">
        <f t="shared" si="25"/>
        <v>5.3429910607928237</v>
      </c>
      <c r="AD26" s="2">
        <f t="shared" si="26"/>
        <v>3.0921933664796934E-3</v>
      </c>
      <c r="AE26" s="50">
        <f t="shared" si="14"/>
        <v>30.921933664796935</v>
      </c>
      <c r="AF26" s="10">
        <f t="shared" si="27"/>
        <v>0.28939310759159298</v>
      </c>
      <c r="AG26" s="10">
        <f t="shared" si="28"/>
        <v>0.28939310759159298</v>
      </c>
      <c r="AH26" s="8">
        <f t="shared" si="15"/>
        <v>5.3835820485756196</v>
      </c>
      <c r="AI26" s="10">
        <f t="shared" si="29"/>
        <v>0.30400098893598226</v>
      </c>
      <c r="AJ26" s="10">
        <f t="shared" si="35"/>
        <v>0.33017813119559225</v>
      </c>
      <c r="AK26" s="10">
        <f t="shared" si="16"/>
        <v>0.28212175811911933</v>
      </c>
      <c r="AL26" s="162">
        <f t="shared" si="30"/>
        <v>0.30614994465735579</v>
      </c>
      <c r="AM26" s="178">
        <f t="shared" si="31"/>
        <v>1.6756837065762809E-2</v>
      </c>
      <c r="AO26" s="12">
        <f>F4</f>
        <v>1.3</v>
      </c>
      <c r="AQ26" s="1">
        <f t="shared" si="17"/>
        <v>0.28939310759159298</v>
      </c>
      <c r="AR26" s="1">
        <f t="shared" si="18"/>
        <v>0</v>
      </c>
      <c r="AS26" s="1">
        <f t="shared" si="19"/>
        <v>0</v>
      </c>
      <c r="AT26" s="1">
        <f t="shared" si="32"/>
        <v>5.5429910607928239</v>
      </c>
      <c r="AU26" s="1">
        <f t="shared" si="33"/>
        <v>6.89</v>
      </c>
      <c r="AV26" s="8">
        <f t="shared" si="34"/>
        <v>5.3429910607928237</v>
      </c>
    </row>
    <row r="27" spans="1:48" ht="17.399999999999999">
      <c r="A27" s="168">
        <v>7.53</v>
      </c>
      <c r="B27" s="98">
        <v>5.8323841683844169</v>
      </c>
      <c r="C27" s="171">
        <v>0</v>
      </c>
      <c r="D27" s="8">
        <f t="shared" si="0"/>
        <v>5.6323841683844167</v>
      </c>
      <c r="E27" s="8">
        <f t="shared" si="1"/>
        <v>5.6698951771539381</v>
      </c>
      <c r="F27" s="8">
        <f t="shared" si="2"/>
        <v>0</v>
      </c>
      <c r="G27" s="8">
        <f t="shared" si="3"/>
        <v>0</v>
      </c>
      <c r="H27" s="8"/>
      <c r="I27" s="8">
        <f t="shared" si="4"/>
        <v>0</v>
      </c>
      <c r="J27" s="8">
        <f t="shared" si="5"/>
        <v>5.6698951771539381</v>
      </c>
      <c r="K27" s="8">
        <f t="shared" si="6"/>
        <v>0</v>
      </c>
      <c r="L27" s="8"/>
      <c r="M27" s="8">
        <f t="shared" si="7"/>
        <v>0</v>
      </c>
      <c r="N27" s="8">
        <f t="shared" si="8"/>
        <v>0</v>
      </c>
      <c r="O27" s="8">
        <f t="shared" si="9"/>
        <v>5.6698951771539381</v>
      </c>
      <c r="P27" s="8"/>
      <c r="Q27" s="8">
        <f t="shared" si="10"/>
        <v>0</v>
      </c>
      <c r="R27" s="8"/>
      <c r="S27" s="9">
        <f t="shared" si="11"/>
        <v>0</v>
      </c>
      <c r="T27" s="165">
        <f t="shared" si="20"/>
        <v>0</v>
      </c>
      <c r="U27" s="163">
        <f t="shared" si="21"/>
        <v>0</v>
      </c>
      <c r="V27" s="8">
        <f t="shared" si="12"/>
        <v>0.7380286433309573</v>
      </c>
      <c r="X27" s="8">
        <f t="shared" si="13"/>
        <v>2.2019975109032397</v>
      </c>
      <c r="Z27" s="2">
        <f t="shared" si="22"/>
        <v>0.748</v>
      </c>
      <c r="AA27" s="4">
        <f t="shared" si="23"/>
        <v>7.53</v>
      </c>
      <c r="AB27" s="46">
        <f t="shared" si="24"/>
        <v>0.748</v>
      </c>
      <c r="AC27" s="4">
        <f t="shared" si="25"/>
        <v>5.6323841683844167</v>
      </c>
      <c r="AD27" s="2">
        <f t="shared" si="26"/>
        <v>2.8293774628213924E-3</v>
      </c>
      <c r="AE27" s="50">
        <f t="shared" si="14"/>
        <v>28.293774628213924</v>
      </c>
      <c r="AF27" s="10">
        <f t="shared" si="27"/>
        <v>0.28939310759159298</v>
      </c>
      <c r="AG27" s="10">
        <f t="shared" si="28"/>
        <v>0.28939310759159298</v>
      </c>
      <c r="AH27" s="8">
        <f t="shared" si="15"/>
        <v>5.6698951771539381</v>
      </c>
      <c r="AI27" s="10">
        <f t="shared" si="29"/>
        <v>0.28631312857831848</v>
      </c>
      <c r="AJ27" s="10">
        <f t="shared" si="35"/>
        <v>0.31322220305283355</v>
      </c>
      <c r="AK27" s="10">
        <f t="shared" si="16"/>
        <v>0.26747486086986538</v>
      </c>
      <c r="AL27" s="162">
        <f t="shared" si="30"/>
        <v>0.29034853196134947</v>
      </c>
      <c r="AM27" s="178">
        <f t="shared" si="31"/>
        <v>0.28534853196134946</v>
      </c>
      <c r="AO27" s="3" t="s">
        <v>37</v>
      </c>
      <c r="AQ27" s="1">
        <f t="shared" si="17"/>
        <v>5.0000000000000001E-3</v>
      </c>
      <c r="AR27" s="1">
        <f t="shared" si="18"/>
        <v>1</v>
      </c>
      <c r="AS27" s="1">
        <f t="shared" si="19"/>
        <v>0.28939310759159298</v>
      </c>
      <c r="AT27" s="1">
        <f t="shared" si="32"/>
        <v>5.8323841683844169</v>
      </c>
      <c r="AU27" s="1">
        <f t="shared" si="33"/>
        <v>7.53</v>
      </c>
      <c r="AV27" s="8">
        <f t="shared" si="34"/>
        <v>0.01</v>
      </c>
    </row>
    <row r="28" spans="1:48" ht="17.399999999999999">
      <c r="A28" s="168">
        <v>8.24</v>
      </c>
      <c r="B28" s="98">
        <v>6.1217772759760107</v>
      </c>
      <c r="C28" s="171">
        <v>0</v>
      </c>
      <c r="D28" s="8">
        <f t="shared" si="0"/>
        <v>5.9217772759760106</v>
      </c>
      <c r="E28" s="8">
        <f t="shared" si="1"/>
        <v>5.9455414422275528</v>
      </c>
      <c r="F28" s="8">
        <f t="shared" si="2"/>
        <v>0</v>
      </c>
      <c r="G28" s="8">
        <f t="shared" si="3"/>
        <v>0</v>
      </c>
      <c r="H28" s="8"/>
      <c r="I28" s="8">
        <f t="shared" si="4"/>
        <v>0</v>
      </c>
      <c r="J28" s="8">
        <f t="shared" si="5"/>
        <v>5.9455414422275528</v>
      </c>
      <c r="K28" s="8">
        <f t="shared" si="6"/>
        <v>0</v>
      </c>
      <c r="L28" s="8"/>
      <c r="M28" s="8">
        <f t="shared" si="7"/>
        <v>0</v>
      </c>
      <c r="N28" s="8">
        <f t="shared" si="8"/>
        <v>0</v>
      </c>
      <c r="O28" s="8">
        <f t="shared" si="9"/>
        <v>5.9455414422275528</v>
      </c>
      <c r="P28" s="8"/>
      <c r="Q28" s="8">
        <f t="shared" si="10"/>
        <v>0</v>
      </c>
      <c r="R28" s="8"/>
      <c r="S28" s="9">
        <f t="shared" si="11"/>
        <v>0</v>
      </c>
      <c r="T28" s="165">
        <f t="shared" si="20"/>
        <v>0</v>
      </c>
      <c r="U28" s="163">
        <f t="shared" si="21"/>
        <v>0</v>
      </c>
      <c r="V28" s="8">
        <f t="shared" si="12"/>
        <v>0.72456849879181351</v>
      </c>
      <c r="X28" s="8">
        <f t="shared" si="13"/>
        <v>2.4096227742154972</v>
      </c>
      <c r="Z28" s="2">
        <f t="shared" si="22"/>
        <v>0.71899999999999997</v>
      </c>
      <c r="AA28" s="4">
        <f t="shared" si="23"/>
        <v>8.24</v>
      </c>
      <c r="AB28" s="46">
        <f t="shared" si="24"/>
        <v>0.71899999999999997</v>
      </c>
      <c r="AC28" s="4">
        <f t="shared" si="25"/>
        <v>5.9217772759760106</v>
      </c>
      <c r="AD28" s="2">
        <f t="shared" si="26"/>
        <v>2.5855840163889667E-3</v>
      </c>
      <c r="AE28" s="50">
        <f t="shared" si="14"/>
        <v>25.855840163889667</v>
      </c>
      <c r="AF28" s="10">
        <f t="shared" si="27"/>
        <v>0.28939310759159387</v>
      </c>
      <c r="AG28" s="10">
        <f t="shared" si="28"/>
        <v>0.28939310759159387</v>
      </c>
      <c r="AH28" s="8">
        <f t="shared" si="15"/>
        <v>5.9455414422275528</v>
      </c>
      <c r="AI28" s="10">
        <f t="shared" si="29"/>
        <v>0.27564626507361467</v>
      </c>
      <c r="AJ28" s="10">
        <f t="shared" si="35"/>
        <v>0.29662900597736863</v>
      </c>
      <c r="AK28" s="10">
        <f t="shared" si="16"/>
        <v>0.25431476928312979</v>
      </c>
      <c r="AL28" s="162">
        <f t="shared" si="30"/>
        <v>0.27547188763024921</v>
      </c>
      <c r="AM28" s="178">
        <f t="shared" si="31"/>
        <v>0.27047188763024921</v>
      </c>
      <c r="AO28" s="12">
        <f>G4</f>
        <v>15</v>
      </c>
      <c r="AQ28" s="1">
        <f t="shared" si="17"/>
        <v>5.0000000000000001E-3</v>
      </c>
      <c r="AR28" s="1">
        <f t="shared" si="18"/>
        <v>1</v>
      </c>
      <c r="AS28" s="1">
        <f t="shared" si="19"/>
        <v>0.28939310759159387</v>
      </c>
      <c r="AT28" s="1">
        <f t="shared" si="32"/>
        <v>6.1217772759760107</v>
      </c>
      <c r="AU28" s="1">
        <f t="shared" si="33"/>
        <v>8.24</v>
      </c>
      <c r="AV28" s="8">
        <f t="shared" si="34"/>
        <v>0.01</v>
      </c>
    </row>
    <row r="29" spans="1:48" ht="17.399999999999999">
      <c r="A29" s="168">
        <v>9.02</v>
      </c>
      <c r="B29" s="98">
        <v>6.5002144166727085</v>
      </c>
      <c r="C29" s="171">
        <v>0</v>
      </c>
      <c r="D29" s="8">
        <f t="shared" si="0"/>
        <v>6.3002144166727083</v>
      </c>
      <c r="E29" s="8">
        <f t="shared" si="1"/>
        <v>6.2080680921161147</v>
      </c>
      <c r="F29" s="8">
        <f t="shared" si="2"/>
        <v>9.2146324556593662E-2</v>
      </c>
      <c r="G29" s="8">
        <f t="shared" si="3"/>
        <v>0</v>
      </c>
      <c r="H29" s="8"/>
      <c r="I29" s="8">
        <f t="shared" si="4"/>
        <v>-9.2146324556593662E-2</v>
      </c>
      <c r="J29" s="8">
        <f t="shared" si="5"/>
        <v>6.2080680921161147</v>
      </c>
      <c r="K29" s="8">
        <f t="shared" si="6"/>
        <v>9.2146324556593662E-2</v>
      </c>
      <c r="L29" s="8"/>
      <c r="M29" s="8">
        <f t="shared" si="7"/>
        <v>0</v>
      </c>
      <c r="N29" s="8">
        <f t="shared" si="8"/>
        <v>-9.2146324556593662E-2</v>
      </c>
      <c r="O29" s="8">
        <f t="shared" si="9"/>
        <v>6.2080680921161147</v>
      </c>
      <c r="P29" s="8"/>
      <c r="Q29" s="8">
        <f t="shared" si="10"/>
        <v>9.2146324556593662E-2</v>
      </c>
      <c r="R29" s="8"/>
      <c r="S29" s="9">
        <f t="shared" si="11"/>
        <v>8.4909451292890965E-3</v>
      </c>
      <c r="T29" s="165">
        <f t="shared" si="20"/>
        <v>0</v>
      </c>
      <c r="U29" s="163">
        <f t="shared" si="21"/>
        <v>0</v>
      </c>
      <c r="V29" s="8">
        <f t="shared" si="12"/>
        <v>0.70696677131754848</v>
      </c>
      <c r="X29" s="8">
        <f t="shared" si="13"/>
        <v>2.6377181339106532</v>
      </c>
      <c r="Z29" s="2">
        <f t="shared" si="22"/>
        <v>0.69799999999999995</v>
      </c>
      <c r="AA29" s="4">
        <f t="shared" si="23"/>
        <v>9.02</v>
      </c>
      <c r="AB29" s="46">
        <f t="shared" si="24"/>
        <v>0.69799999999999995</v>
      </c>
      <c r="AC29" s="4">
        <f t="shared" si="25"/>
        <v>6.3002144166727083</v>
      </c>
      <c r="AD29" s="2">
        <f t="shared" si="26"/>
        <v>2.3619969284972382E-3</v>
      </c>
      <c r="AE29" s="50">
        <f t="shared" si="14"/>
        <v>23.619969284972381</v>
      </c>
      <c r="AF29" s="10">
        <f t="shared" si="27"/>
        <v>0.37843714069669776</v>
      </c>
      <c r="AG29" s="10">
        <f t="shared" si="28"/>
        <v>0.37843714069669776</v>
      </c>
      <c r="AH29" s="8">
        <f t="shared" si="15"/>
        <v>6.2080680921161147</v>
      </c>
      <c r="AI29" s="10">
        <f t="shared" si="29"/>
        <v>0.26252664988856189</v>
      </c>
      <c r="AJ29" s="10">
        <f t="shared" si="35"/>
        <v>0.28212175811911933</v>
      </c>
      <c r="AK29" s="10">
        <f t="shared" si="16"/>
        <v>0.24013995410728439</v>
      </c>
      <c r="AL29" s="162">
        <f t="shared" si="30"/>
        <v>0.26113085611320186</v>
      </c>
      <c r="AM29" s="178">
        <f t="shared" si="31"/>
        <v>0.25613085611320185</v>
      </c>
      <c r="AO29" s="3" t="s">
        <v>38</v>
      </c>
      <c r="AQ29" s="1">
        <f t="shared" si="17"/>
        <v>5.0000000000000001E-3</v>
      </c>
      <c r="AR29" s="1">
        <f t="shared" si="18"/>
        <v>1</v>
      </c>
      <c r="AS29" s="1">
        <f t="shared" si="19"/>
        <v>0.37843714069669776</v>
      </c>
      <c r="AT29" s="1">
        <f t="shared" si="32"/>
        <v>6.5002144166727085</v>
      </c>
      <c r="AU29" s="1">
        <f t="shared" si="33"/>
        <v>9.02</v>
      </c>
      <c r="AV29" s="8">
        <f t="shared" si="34"/>
        <v>0.01</v>
      </c>
    </row>
    <row r="30" spans="1:48" ht="17.399999999999999">
      <c r="A30" s="168">
        <v>9.86</v>
      </c>
      <c r="B30" s="98">
        <v>6.7896075242643015</v>
      </c>
      <c r="C30" s="171">
        <v>1</v>
      </c>
      <c r="D30" s="8">
        <f t="shared" si="0"/>
        <v>6.5896075242643013</v>
      </c>
      <c r="E30" s="8">
        <f t="shared" si="1"/>
        <v>6.4534814920550811</v>
      </c>
      <c r="F30" s="8">
        <f t="shared" si="2"/>
        <v>0.13612603220922015</v>
      </c>
      <c r="G30" s="8">
        <f t="shared" si="3"/>
        <v>0</v>
      </c>
      <c r="H30" s="8"/>
      <c r="I30" s="8">
        <f t="shared" si="4"/>
        <v>-0.13612603220922015</v>
      </c>
      <c r="J30" s="8">
        <f t="shared" si="5"/>
        <v>6.4534814920550811</v>
      </c>
      <c r="K30" s="8">
        <f t="shared" si="6"/>
        <v>0.13612603220922015</v>
      </c>
      <c r="L30" s="8"/>
      <c r="M30" s="8">
        <f t="shared" si="7"/>
        <v>0</v>
      </c>
      <c r="N30" s="8">
        <f t="shared" si="8"/>
        <v>-0.13612603220922015</v>
      </c>
      <c r="O30" s="8">
        <f t="shared" si="9"/>
        <v>6.4534814920550811</v>
      </c>
      <c r="P30" s="8"/>
      <c r="Q30" s="8">
        <f t="shared" si="10"/>
        <v>0.13612603220922015</v>
      </c>
      <c r="R30" s="8"/>
      <c r="S30" s="9">
        <f t="shared" si="11"/>
        <v>1.8530296645025642E-2</v>
      </c>
      <c r="T30" s="165">
        <f t="shared" si="20"/>
        <v>1</v>
      </c>
      <c r="U30" s="163">
        <f t="shared" si="21"/>
        <v>1.8530296645025642E-2</v>
      </c>
      <c r="V30" s="8">
        <f t="shared" si="12"/>
        <v>0.69350662677840458</v>
      </c>
      <c r="X30" s="8">
        <f t="shared" si="13"/>
        <v>2.883359290505437</v>
      </c>
      <c r="Z30" s="2">
        <f t="shared" si="22"/>
        <v>0.66800000000000004</v>
      </c>
      <c r="AA30" s="4">
        <f t="shared" si="23"/>
        <v>9.86</v>
      </c>
      <c r="AB30" s="46">
        <f t="shared" si="24"/>
        <v>0.66800000000000004</v>
      </c>
      <c r="AC30" s="4">
        <f t="shared" si="25"/>
        <v>6.5896075242643013</v>
      </c>
      <c r="AD30" s="2">
        <f t="shared" si="26"/>
        <v>2.1607720380370271E-3</v>
      </c>
      <c r="AE30" s="50">
        <f t="shared" si="14"/>
        <v>21.607720380370271</v>
      </c>
      <c r="AF30" s="10">
        <f t="shared" si="27"/>
        <v>0.28939310759159298</v>
      </c>
      <c r="AG30" s="10">
        <f t="shared" si="28"/>
        <v>0.28939310759159298</v>
      </c>
      <c r="AH30" s="8">
        <f t="shared" si="15"/>
        <v>6.4534814920550811</v>
      </c>
      <c r="AI30" s="10">
        <f t="shared" si="29"/>
        <v>0.24541339993896649</v>
      </c>
      <c r="AJ30" s="10">
        <f t="shared" si="35"/>
        <v>0.26747486086986538</v>
      </c>
      <c r="AK30" s="10">
        <f t="shared" si="16"/>
        <v>0.22749553356712471</v>
      </c>
      <c r="AL30" s="162">
        <f t="shared" si="30"/>
        <v>0.24748519721849505</v>
      </c>
      <c r="AM30" s="178">
        <f t="shared" si="31"/>
        <v>4.1907910373097934E-2</v>
      </c>
      <c r="AO30" s="12">
        <f>D4</f>
        <v>0.2</v>
      </c>
      <c r="AQ30" s="1">
        <f t="shared" si="17"/>
        <v>0.28939310759159298</v>
      </c>
      <c r="AR30" s="1">
        <f t="shared" si="18"/>
        <v>0</v>
      </c>
      <c r="AS30" s="1">
        <f t="shared" si="19"/>
        <v>0</v>
      </c>
      <c r="AT30" s="1">
        <f t="shared" si="32"/>
        <v>6.7896075242643015</v>
      </c>
      <c r="AU30" s="1">
        <f t="shared" si="33"/>
        <v>9.86</v>
      </c>
      <c r="AV30" s="8">
        <f t="shared" si="34"/>
        <v>6.5896075242643013</v>
      </c>
    </row>
    <row r="31" spans="1:48" ht="17.399999999999999">
      <c r="A31" s="168">
        <v>10.78</v>
      </c>
      <c r="B31" s="98">
        <v>6.9676955904745137</v>
      </c>
      <c r="C31" s="171">
        <v>1</v>
      </c>
      <c r="D31" s="8">
        <f t="shared" si="0"/>
        <v>6.7676955904745135</v>
      </c>
      <c r="E31" s="8">
        <f t="shared" si="1"/>
        <v>6.6871542542864573</v>
      </c>
      <c r="F31" s="8">
        <f t="shared" si="2"/>
        <v>8.0541336188056256E-2</v>
      </c>
      <c r="G31" s="8">
        <f t="shared" si="3"/>
        <v>0</v>
      </c>
      <c r="H31" s="8"/>
      <c r="I31" s="8">
        <f t="shared" si="4"/>
        <v>-8.0541336188056256E-2</v>
      </c>
      <c r="J31" s="8">
        <f t="shared" si="5"/>
        <v>6.6871542542864573</v>
      </c>
      <c r="K31" s="8">
        <f t="shared" si="6"/>
        <v>8.0541336188056256E-2</v>
      </c>
      <c r="L31" s="8"/>
      <c r="M31" s="8">
        <f t="shared" si="7"/>
        <v>0</v>
      </c>
      <c r="N31" s="8">
        <f t="shared" si="8"/>
        <v>-8.0541336188056256E-2</v>
      </c>
      <c r="O31" s="8">
        <f t="shared" si="9"/>
        <v>6.6871542542864573</v>
      </c>
      <c r="P31" s="8"/>
      <c r="Q31" s="8">
        <f t="shared" si="10"/>
        <v>8.0541336188056256E-2</v>
      </c>
      <c r="R31" s="8"/>
      <c r="S31" s="9">
        <f t="shared" si="11"/>
        <v>6.4869068349575005E-3</v>
      </c>
      <c r="T31" s="165">
        <f t="shared" si="20"/>
        <v>1</v>
      </c>
      <c r="U31" s="163">
        <f t="shared" si="21"/>
        <v>6.4869068349575005E-3</v>
      </c>
      <c r="V31" s="8">
        <f t="shared" si="12"/>
        <v>0.68522346090816222</v>
      </c>
      <c r="X31" s="8">
        <f t="shared" si="13"/>
        <v>3.1523948429663906</v>
      </c>
      <c r="Z31" s="2">
        <f t="shared" si="22"/>
        <v>0.628</v>
      </c>
      <c r="AA31" s="4">
        <f t="shared" si="23"/>
        <v>10.78</v>
      </c>
      <c r="AB31" s="46">
        <f t="shared" si="24"/>
        <v>0.628</v>
      </c>
      <c r="AC31" s="4">
        <f t="shared" si="25"/>
        <v>6.7676955904745135</v>
      </c>
      <c r="AD31" s="2">
        <f t="shared" si="26"/>
        <v>1.9763647769058521E-3</v>
      </c>
      <c r="AE31" s="50">
        <f t="shared" si="14"/>
        <v>19.763647769058522</v>
      </c>
      <c r="AF31" s="10">
        <f t="shared" si="27"/>
        <v>0.17808806621021223</v>
      </c>
      <c r="AG31" s="10">
        <f t="shared" si="28"/>
        <v>0.17808806621021223</v>
      </c>
      <c r="AH31" s="8">
        <f t="shared" si="15"/>
        <v>6.6871542542864573</v>
      </c>
      <c r="AI31" s="10">
        <f t="shared" si="29"/>
        <v>0.23367276223137612</v>
      </c>
      <c r="AJ31" s="10">
        <f t="shared" si="35"/>
        <v>0.25431476928312979</v>
      </c>
      <c r="AK31" s="10">
        <f t="shared" si="16"/>
        <v>0.22000011968729649</v>
      </c>
      <c r="AL31" s="162">
        <f t="shared" si="30"/>
        <v>0.23715744448521314</v>
      </c>
      <c r="AM31" s="178">
        <f t="shared" si="31"/>
        <v>5.9069378275000917E-2</v>
      </c>
      <c r="AO31" s="3" t="s">
        <v>39</v>
      </c>
      <c r="AQ31" s="1">
        <f t="shared" si="17"/>
        <v>0.17808806621021223</v>
      </c>
      <c r="AR31" s="1">
        <f t="shared" si="18"/>
        <v>0</v>
      </c>
      <c r="AS31" s="1">
        <f t="shared" si="19"/>
        <v>0</v>
      </c>
      <c r="AT31" s="1">
        <f t="shared" si="32"/>
        <v>6.9676955904745137</v>
      </c>
      <c r="AU31" s="1">
        <f t="shared" si="33"/>
        <v>10.78</v>
      </c>
      <c r="AV31" s="8">
        <f t="shared" si="34"/>
        <v>6.7676955904745135</v>
      </c>
    </row>
    <row r="32" spans="1:48" ht="17.399999999999999">
      <c r="A32" s="168">
        <v>11.77</v>
      </c>
      <c r="B32" s="98">
        <v>7.1903056732372779</v>
      </c>
      <c r="C32" s="171">
        <v>1</v>
      </c>
      <c r="D32" s="8">
        <f t="shared" si="0"/>
        <v>6.9903056732372777</v>
      </c>
      <c r="E32" s="8">
        <f t="shared" si="1"/>
        <v>6.9061012586566903</v>
      </c>
      <c r="F32" s="8">
        <f t="shared" si="2"/>
        <v>8.4204414580587361E-2</v>
      </c>
      <c r="G32" s="8">
        <f t="shared" si="3"/>
        <v>0</v>
      </c>
      <c r="H32" s="8"/>
      <c r="I32" s="8">
        <f t="shared" si="4"/>
        <v>-8.4204414580587361E-2</v>
      </c>
      <c r="J32" s="8">
        <f t="shared" si="5"/>
        <v>6.9061012586566903</v>
      </c>
      <c r="K32" s="8">
        <f t="shared" si="6"/>
        <v>8.4204414580587361E-2</v>
      </c>
      <c r="L32" s="8"/>
      <c r="M32" s="8">
        <f t="shared" si="7"/>
        <v>0</v>
      </c>
      <c r="N32" s="8">
        <f t="shared" si="8"/>
        <v>-8.4204414580587361E-2</v>
      </c>
      <c r="O32" s="8">
        <f t="shared" si="9"/>
        <v>6.9061012586566903</v>
      </c>
      <c r="P32" s="8"/>
      <c r="Q32" s="8">
        <f t="shared" si="10"/>
        <v>8.4204414580587361E-2</v>
      </c>
      <c r="R32" s="8"/>
      <c r="S32" s="9">
        <f t="shared" si="11"/>
        <v>7.0903834348594336E-3</v>
      </c>
      <c r="T32" s="165">
        <f t="shared" si="20"/>
        <v>1</v>
      </c>
      <c r="U32" s="163">
        <f t="shared" si="21"/>
        <v>7.0903834348594336E-3</v>
      </c>
      <c r="V32" s="8">
        <f t="shared" si="12"/>
        <v>0.67486950357035913</v>
      </c>
      <c r="X32" s="8">
        <f t="shared" si="13"/>
        <v>3.4419004918102427</v>
      </c>
      <c r="Z32" s="2">
        <f t="shared" si="22"/>
        <v>0.59399999999999997</v>
      </c>
      <c r="AA32" s="4">
        <f t="shared" si="23"/>
        <v>11.77</v>
      </c>
      <c r="AB32" s="46">
        <f t="shared" si="24"/>
        <v>0.59399999999999997</v>
      </c>
      <c r="AC32" s="4">
        <f t="shared" si="25"/>
        <v>6.9903056732372777</v>
      </c>
      <c r="AD32" s="2">
        <f t="shared" si="26"/>
        <v>1.8101284872595656E-3</v>
      </c>
      <c r="AE32" s="50">
        <f t="shared" si="14"/>
        <v>18.101284872595656</v>
      </c>
      <c r="AF32" s="10">
        <f t="shared" si="27"/>
        <v>0.22261008276276417</v>
      </c>
      <c r="AG32" s="10">
        <f t="shared" si="28"/>
        <v>0.22261008276276417</v>
      </c>
      <c r="AH32" s="8">
        <f t="shared" si="15"/>
        <v>6.9061012586566903</v>
      </c>
      <c r="AI32" s="10">
        <f t="shared" si="29"/>
        <v>0.21894700437023307</v>
      </c>
      <c r="AJ32" s="10">
        <f t="shared" si="35"/>
        <v>0.24013995410728439</v>
      </c>
      <c r="AK32" s="10">
        <f t="shared" si="16"/>
        <v>0.2083816799450513</v>
      </c>
      <c r="AL32" s="162">
        <f t="shared" si="30"/>
        <v>0.22426081702616785</v>
      </c>
      <c r="AM32" s="178">
        <f t="shared" si="31"/>
        <v>1.6507342634036748E-3</v>
      </c>
      <c r="AO32" s="3" t="s">
        <v>40</v>
      </c>
      <c r="AQ32" s="1">
        <f t="shared" si="17"/>
        <v>0.22261008276276417</v>
      </c>
      <c r="AR32" s="1">
        <f t="shared" si="18"/>
        <v>0</v>
      </c>
      <c r="AS32" s="1">
        <f t="shared" si="19"/>
        <v>0</v>
      </c>
      <c r="AT32" s="1">
        <f t="shared" si="32"/>
        <v>7.1903056732372779</v>
      </c>
      <c r="AU32" s="1">
        <f t="shared" si="33"/>
        <v>11.77</v>
      </c>
      <c r="AV32" s="8">
        <f t="shared" si="34"/>
        <v>6.9903056732372777</v>
      </c>
    </row>
    <row r="33" spans="1:48" ht="17.399999999999999">
      <c r="A33" s="168">
        <v>12.87</v>
      </c>
      <c r="B33" s="98">
        <v>7.3906547477237643</v>
      </c>
      <c r="C33" s="171">
        <v>1</v>
      </c>
      <c r="D33" s="8">
        <f t="shared" si="0"/>
        <v>7.1906547477237641</v>
      </c>
      <c r="E33" s="8">
        <f t="shared" si="1"/>
        <v>7.1180502263846135</v>
      </c>
      <c r="F33" s="8">
        <f t="shared" si="2"/>
        <v>7.2604521339150629E-2</v>
      </c>
      <c r="G33" s="8">
        <f t="shared" si="3"/>
        <v>0</v>
      </c>
      <c r="H33" s="8"/>
      <c r="I33" s="8">
        <f t="shared" si="4"/>
        <v>-7.2604521339150629E-2</v>
      </c>
      <c r="J33" s="8">
        <f t="shared" si="5"/>
        <v>7.1180502263846135</v>
      </c>
      <c r="K33" s="8">
        <f t="shared" si="6"/>
        <v>7.2604521339150629E-2</v>
      </c>
      <c r="L33" s="8"/>
      <c r="M33" s="8">
        <f t="shared" si="7"/>
        <v>0</v>
      </c>
      <c r="N33" s="8">
        <f t="shared" si="8"/>
        <v>-7.2604521339150629E-2</v>
      </c>
      <c r="O33" s="8">
        <f t="shared" si="9"/>
        <v>7.1180502263846135</v>
      </c>
      <c r="P33" s="8"/>
      <c r="Q33" s="8">
        <f t="shared" si="10"/>
        <v>7.2604521339150629E-2</v>
      </c>
      <c r="R33" s="8"/>
      <c r="S33" s="9">
        <f t="shared" si="11"/>
        <v>5.271416518887179E-3</v>
      </c>
      <c r="T33" s="165">
        <f t="shared" si="20"/>
        <v>1</v>
      </c>
      <c r="U33" s="163">
        <f t="shared" si="21"/>
        <v>5.271416518887179E-3</v>
      </c>
      <c r="V33" s="8">
        <f t="shared" si="12"/>
        <v>0.66555094196633657</v>
      </c>
      <c r="X33" s="8">
        <f t="shared" si="13"/>
        <v>3.7635734349700782</v>
      </c>
      <c r="Z33" s="2">
        <f t="shared" si="22"/>
        <v>0.55900000000000005</v>
      </c>
      <c r="AA33" s="4">
        <f t="shared" si="23"/>
        <v>12.87</v>
      </c>
      <c r="AB33" s="46">
        <f t="shared" si="24"/>
        <v>0.55900000000000005</v>
      </c>
      <c r="AC33" s="4">
        <f t="shared" si="25"/>
        <v>7.1906547477237641</v>
      </c>
      <c r="AD33" s="2">
        <f t="shared" si="26"/>
        <v>1.655416650741654E-3</v>
      </c>
      <c r="AE33" s="51">
        <f t="shared" si="14"/>
        <v>16.554166507416539</v>
      </c>
      <c r="AF33" s="10">
        <f t="shared" si="27"/>
        <v>0.20034907448648642</v>
      </c>
      <c r="AG33" s="10">
        <f t="shared" si="28"/>
        <v>0.20034907448648642</v>
      </c>
      <c r="AH33" s="8">
        <f t="shared" si="15"/>
        <v>7.1180502263846135</v>
      </c>
      <c r="AI33" s="10">
        <f t="shared" si="29"/>
        <v>0.21194896772792315</v>
      </c>
      <c r="AJ33" s="10">
        <f t="shared" si="35"/>
        <v>0.22749553356712471</v>
      </c>
      <c r="AK33" s="10">
        <f t="shared" si="16"/>
        <v>0.19811116916867055</v>
      </c>
      <c r="AL33" s="162">
        <f t="shared" si="30"/>
        <v>0.21280335136789763</v>
      </c>
      <c r="AM33" s="178">
        <f t="shared" si="31"/>
        <v>1.2454276881411208E-2</v>
      </c>
      <c r="AO33" s="12">
        <f>I4</f>
        <v>0.18</v>
      </c>
      <c r="AQ33" s="1">
        <f t="shared" si="17"/>
        <v>0.20034907448648642</v>
      </c>
      <c r="AR33" s="1">
        <f t="shared" si="18"/>
        <v>0</v>
      </c>
      <c r="AS33" s="1">
        <f t="shared" si="19"/>
        <v>0</v>
      </c>
      <c r="AT33" s="1">
        <f t="shared" si="32"/>
        <v>7.3906547477237643</v>
      </c>
      <c r="AU33" s="1">
        <f t="shared" si="33"/>
        <v>12.87</v>
      </c>
      <c r="AV33" s="8">
        <f t="shared" si="34"/>
        <v>7.1906547477237641</v>
      </c>
    </row>
    <row r="34" spans="1:48" ht="17.399999999999999">
      <c r="A34" s="168">
        <v>14.16</v>
      </c>
      <c r="B34" s="98">
        <v>7.6132648304865294</v>
      </c>
      <c r="C34" s="171">
        <v>1</v>
      </c>
      <c r="D34" s="8">
        <f t="shared" si="0"/>
        <v>7.4132648304865292</v>
      </c>
      <c r="E34" s="8">
        <f t="shared" si="1"/>
        <v>7.3334819708042671</v>
      </c>
      <c r="F34" s="8">
        <f t="shared" si="2"/>
        <v>7.9782859682262064E-2</v>
      </c>
      <c r="G34" s="8">
        <f t="shared" si="3"/>
        <v>0</v>
      </c>
      <c r="H34" s="8"/>
      <c r="I34" s="8">
        <f t="shared" si="4"/>
        <v>-7.9782859682262064E-2</v>
      </c>
      <c r="J34" s="8">
        <f t="shared" si="5"/>
        <v>7.3334819708042671</v>
      </c>
      <c r="K34" s="8">
        <f t="shared" si="6"/>
        <v>7.9782859682262064E-2</v>
      </c>
      <c r="L34" s="8"/>
      <c r="M34" s="8">
        <f t="shared" si="7"/>
        <v>0</v>
      </c>
      <c r="N34" s="8">
        <f t="shared" si="8"/>
        <v>-7.9782859682262064E-2</v>
      </c>
      <c r="O34" s="8">
        <f t="shared" si="9"/>
        <v>7.3334819708042671</v>
      </c>
      <c r="P34" s="8"/>
      <c r="Q34" s="8">
        <f t="shared" si="10"/>
        <v>7.9782859682262064E-2</v>
      </c>
      <c r="R34" s="8"/>
      <c r="S34" s="9">
        <f t="shared" si="11"/>
        <v>6.3653046990795178E-3</v>
      </c>
      <c r="T34" s="165">
        <f t="shared" si="20"/>
        <v>1</v>
      </c>
      <c r="U34" s="163">
        <f t="shared" si="21"/>
        <v>6.3653046990795178E-3</v>
      </c>
      <c r="V34" s="8">
        <f t="shared" si="12"/>
        <v>0.65519698462853349</v>
      </c>
      <c r="X34" s="8">
        <f t="shared" si="13"/>
        <v>4.1408080683120678</v>
      </c>
      <c r="Z34" s="2">
        <f t="shared" si="22"/>
        <v>0.52400000000000002</v>
      </c>
      <c r="AA34" s="4">
        <f t="shared" si="23"/>
        <v>14.16</v>
      </c>
      <c r="AB34" s="46">
        <f t="shared" si="24"/>
        <v>0.52400000000000002</v>
      </c>
      <c r="AC34" s="4">
        <f t="shared" si="25"/>
        <v>7.4132648304865292</v>
      </c>
      <c r="AD34" s="2">
        <f t="shared" si="26"/>
        <v>1.5046053880681557E-3</v>
      </c>
      <c r="AE34" s="51">
        <f t="shared" si="14"/>
        <v>15.046053880681557</v>
      </c>
      <c r="AF34" s="10">
        <f t="shared" si="27"/>
        <v>0.22261008276276506</v>
      </c>
      <c r="AG34" s="10">
        <f t="shared" si="28"/>
        <v>0.22261008276276506</v>
      </c>
      <c r="AH34" s="8">
        <f t="shared" si="15"/>
        <v>7.3334819708042671</v>
      </c>
      <c r="AI34" s="10">
        <f t="shared" si="29"/>
        <v>0.21543174441965363</v>
      </c>
      <c r="AJ34" s="10">
        <f t="shared" si="35"/>
        <v>0.22000011968729649</v>
      </c>
      <c r="AK34" s="10">
        <f t="shared" si="16"/>
        <v>0.19056416419074074</v>
      </c>
      <c r="AL34" s="162">
        <f t="shared" si="30"/>
        <v>0.20528214193901861</v>
      </c>
      <c r="AM34" s="178">
        <f t="shared" si="31"/>
        <v>1.7327940823746446E-2</v>
      </c>
      <c r="AO34" s="3" t="s">
        <v>41</v>
      </c>
      <c r="AQ34" s="1">
        <f t="shared" si="17"/>
        <v>0.22261008276276506</v>
      </c>
      <c r="AR34" s="1">
        <f t="shared" si="18"/>
        <v>0</v>
      </c>
      <c r="AS34" s="1">
        <f t="shared" si="19"/>
        <v>0</v>
      </c>
      <c r="AT34" s="1">
        <f t="shared" si="32"/>
        <v>7.6132648304865294</v>
      </c>
      <c r="AU34" s="1">
        <f t="shared" si="33"/>
        <v>14.16</v>
      </c>
      <c r="AV34" s="8">
        <f t="shared" si="34"/>
        <v>7.4132648304865292</v>
      </c>
    </row>
    <row r="35" spans="1:48" ht="17.399999999999999">
      <c r="A35" s="168">
        <v>15.45</v>
      </c>
      <c r="B35" s="98">
        <v>7.8136139049730176</v>
      </c>
      <c r="C35" s="171">
        <v>1</v>
      </c>
      <c r="D35" s="8">
        <f t="shared" si="0"/>
        <v>7.6136139049730174</v>
      </c>
      <c r="E35" s="8">
        <f t="shared" si="1"/>
        <v>7.5206809740666625</v>
      </c>
      <c r="F35" s="8">
        <f t="shared" si="2"/>
        <v>9.2932930906354905E-2</v>
      </c>
      <c r="G35" s="8">
        <f t="shared" si="3"/>
        <v>0</v>
      </c>
      <c r="H35" s="8"/>
      <c r="I35" s="8">
        <f t="shared" si="4"/>
        <v>-9.2932930906354905E-2</v>
      </c>
      <c r="J35" s="8">
        <f t="shared" si="5"/>
        <v>7.5206809740666625</v>
      </c>
      <c r="K35" s="8">
        <f t="shared" si="6"/>
        <v>9.2932930906354905E-2</v>
      </c>
      <c r="L35" s="8"/>
      <c r="M35" s="8">
        <f t="shared" si="7"/>
        <v>0</v>
      </c>
      <c r="N35" s="8">
        <f t="shared" si="8"/>
        <v>-9.2932930906354905E-2</v>
      </c>
      <c r="O35" s="8">
        <f t="shared" si="9"/>
        <v>7.5206809740666625</v>
      </c>
      <c r="P35" s="8"/>
      <c r="Q35" s="8">
        <f t="shared" si="10"/>
        <v>9.2932930906354905E-2</v>
      </c>
      <c r="R35" s="8"/>
      <c r="S35" s="9">
        <f t="shared" si="11"/>
        <v>8.6365296468453347E-3</v>
      </c>
      <c r="T35" s="165">
        <f t="shared" si="20"/>
        <v>1</v>
      </c>
      <c r="U35" s="163">
        <f t="shared" si="21"/>
        <v>8.6365296468453347E-3</v>
      </c>
      <c r="V35" s="8">
        <f t="shared" si="12"/>
        <v>0.64587842302451082</v>
      </c>
      <c r="X35" s="8">
        <f t="shared" si="13"/>
        <v>4.518042701654057</v>
      </c>
      <c r="Z35" s="2">
        <f t="shared" si="22"/>
        <v>0.49299999999999999</v>
      </c>
      <c r="AA35" s="4">
        <f t="shared" si="23"/>
        <v>15.45</v>
      </c>
      <c r="AB35" s="46">
        <f t="shared" si="24"/>
        <v>0.49299999999999999</v>
      </c>
      <c r="AC35" s="4">
        <f t="shared" si="25"/>
        <v>7.6136139049730174</v>
      </c>
      <c r="AD35" s="2">
        <f t="shared" si="26"/>
        <v>1.3789781420741156E-3</v>
      </c>
      <c r="AE35" s="51">
        <f t="shared" si="14"/>
        <v>13.789781420741155</v>
      </c>
      <c r="AF35" s="10">
        <f t="shared" si="27"/>
        <v>0.2003490744864882</v>
      </c>
      <c r="AG35" s="10">
        <f t="shared" si="28"/>
        <v>0.2003490744864882</v>
      </c>
      <c r="AH35" s="8">
        <f t="shared" si="15"/>
        <v>7.5206809740666625</v>
      </c>
      <c r="AI35" s="10">
        <f t="shared" si="29"/>
        <v>0.18719900326239536</v>
      </c>
      <c r="AJ35" s="10">
        <f t="shared" si="35"/>
        <v>0.2083816799450513</v>
      </c>
      <c r="AK35" s="10">
        <f t="shared" si="16"/>
        <v>0.17982435077765602</v>
      </c>
      <c r="AL35" s="162">
        <f t="shared" si="30"/>
        <v>0.19410301536135366</v>
      </c>
      <c r="AM35" s="178">
        <f t="shared" si="31"/>
        <v>6.2460591251345399E-3</v>
      </c>
      <c r="AO35" s="12">
        <f>J4</f>
        <v>190</v>
      </c>
      <c r="AQ35" s="1">
        <f t="shared" si="17"/>
        <v>0.2003490744864882</v>
      </c>
      <c r="AR35" s="1">
        <f t="shared" si="18"/>
        <v>0</v>
      </c>
      <c r="AS35" s="1">
        <f t="shared" si="19"/>
        <v>0</v>
      </c>
      <c r="AT35" s="1">
        <f t="shared" si="32"/>
        <v>7.8136139049730176</v>
      </c>
      <c r="AU35" s="1">
        <f t="shared" si="33"/>
        <v>15.45</v>
      </c>
      <c r="AV35" s="8">
        <f t="shared" si="34"/>
        <v>7.6136139049730174</v>
      </c>
    </row>
    <row r="36" spans="1:48" ht="17.399999999999999">
      <c r="A36" s="168">
        <v>16.850000000000001</v>
      </c>
      <c r="B36" s="98">
        <v>8.0139629794595031</v>
      </c>
      <c r="C36" s="171">
        <v>1</v>
      </c>
      <c r="D36" s="8">
        <f t="shared" si="0"/>
        <v>7.8139629794595029</v>
      </c>
      <c r="E36" s="8">
        <f t="shared" si="1"/>
        <v>7.6985459353313725</v>
      </c>
      <c r="F36" s="8">
        <f t="shared" si="2"/>
        <v>0.11541704412813036</v>
      </c>
      <c r="G36" s="8">
        <f t="shared" si="3"/>
        <v>0</v>
      </c>
      <c r="H36" s="8"/>
      <c r="I36" s="8">
        <f t="shared" si="4"/>
        <v>-0.11541704412813036</v>
      </c>
      <c r="J36" s="8">
        <f t="shared" si="5"/>
        <v>7.6985459353313725</v>
      </c>
      <c r="K36" s="8">
        <f t="shared" si="6"/>
        <v>0.11541704412813036</v>
      </c>
      <c r="L36" s="8"/>
      <c r="M36" s="8">
        <f t="shared" si="7"/>
        <v>0</v>
      </c>
      <c r="N36" s="8">
        <f t="shared" si="8"/>
        <v>-0.11541704412813036</v>
      </c>
      <c r="O36" s="8">
        <f t="shared" si="9"/>
        <v>7.6985459353313725</v>
      </c>
      <c r="P36" s="8"/>
      <c r="Q36" s="8">
        <f t="shared" si="10"/>
        <v>0.11541704412813036</v>
      </c>
      <c r="R36" s="8"/>
      <c r="S36" s="9">
        <f t="shared" si="11"/>
        <v>1.3321094075274792E-2</v>
      </c>
      <c r="T36" s="165">
        <f t="shared" si="20"/>
        <v>1</v>
      </c>
      <c r="U36" s="163">
        <f t="shared" si="21"/>
        <v>1.3321094075274792E-2</v>
      </c>
      <c r="V36" s="8">
        <f t="shared" si="12"/>
        <v>0.63655986142048826</v>
      </c>
      <c r="X36" s="8">
        <f t="shared" si="13"/>
        <v>4.9274446293120304</v>
      </c>
      <c r="Z36" s="2">
        <f t="shared" si="22"/>
        <v>0.46400000000000002</v>
      </c>
      <c r="AA36" s="4">
        <f t="shared" si="23"/>
        <v>16.850000000000001</v>
      </c>
      <c r="AB36" s="46">
        <f t="shared" si="24"/>
        <v>0.46400000000000002</v>
      </c>
      <c r="AC36" s="4">
        <f t="shared" si="25"/>
        <v>7.8139629794595029</v>
      </c>
      <c r="AD36" s="2">
        <f t="shared" si="26"/>
        <v>1.2644042905071268E-3</v>
      </c>
      <c r="AE36" s="51">
        <f t="shared" si="14"/>
        <v>12.644042905071268</v>
      </c>
      <c r="AF36" s="10">
        <f t="shared" si="27"/>
        <v>0.20034907448648553</v>
      </c>
      <c r="AG36" s="10">
        <f t="shared" si="28"/>
        <v>0.20034907448648553</v>
      </c>
      <c r="AH36" s="8">
        <f t="shared" si="15"/>
        <v>7.6985459353313725</v>
      </c>
      <c r="AI36" s="10">
        <f t="shared" si="29"/>
        <v>0.17786496126471008</v>
      </c>
      <c r="AJ36" s="10">
        <f t="shared" si="35"/>
        <v>0.19811116916867055</v>
      </c>
      <c r="AK36" s="10">
        <f t="shared" si="16"/>
        <v>0.17275170757389935</v>
      </c>
      <c r="AL36" s="162">
        <f t="shared" si="30"/>
        <v>0.18543143837128495</v>
      </c>
      <c r="AM36" s="178">
        <f t="shared" si="31"/>
        <v>1.4917636115200583E-2</v>
      </c>
      <c r="AO36" s="3" t="s">
        <v>42</v>
      </c>
      <c r="AQ36" s="1">
        <f t="shared" si="17"/>
        <v>0.20034907448648553</v>
      </c>
      <c r="AR36" s="1">
        <f t="shared" si="18"/>
        <v>0</v>
      </c>
      <c r="AS36" s="1">
        <f t="shared" si="19"/>
        <v>0</v>
      </c>
      <c r="AT36" s="1">
        <f t="shared" si="32"/>
        <v>8.0139629794595031</v>
      </c>
      <c r="AU36" s="1">
        <f t="shared" si="33"/>
        <v>16.850000000000001</v>
      </c>
      <c r="AV36" s="8">
        <f t="shared" si="34"/>
        <v>7.8139629794595029</v>
      </c>
    </row>
    <row r="37" spans="1:48" ht="17.399999999999999">
      <c r="A37" s="168">
        <v>18.489999999999998</v>
      </c>
      <c r="B37" s="98">
        <v>8.2365730622222681</v>
      </c>
      <c r="C37" s="171">
        <v>1</v>
      </c>
      <c r="D37" s="8">
        <f t="shared" si="0"/>
        <v>8.0365730622222689</v>
      </c>
      <c r="E37" s="8">
        <f t="shared" si="1"/>
        <v>7.8803068831475764</v>
      </c>
      <c r="F37" s="8">
        <f t="shared" si="2"/>
        <v>0.15626617907469242</v>
      </c>
      <c r="G37" s="8">
        <f t="shared" si="3"/>
        <v>0</v>
      </c>
      <c r="H37" s="8"/>
      <c r="I37" s="8">
        <f t="shared" si="4"/>
        <v>-0.15626617907469242</v>
      </c>
      <c r="J37" s="8">
        <f t="shared" si="5"/>
        <v>7.8803068831475764</v>
      </c>
      <c r="K37" s="8">
        <f t="shared" si="6"/>
        <v>0.15626617907469242</v>
      </c>
      <c r="L37" s="8"/>
      <c r="M37" s="8">
        <f t="shared" si="7"/>
        <v>0</v>
      </c>
      <c r="N37" s="8">
        <f t="shared" si="8"/>
        <v>-0.15626617907469242</v>
      </c>
      <c r="O37" s="8">
        <f t="shared" si="9"/>
        <v>7.8803068831475764</v>
      </c>
      <c r="P37" s="8"/>
      <c r="Q37" s="8">
        <f t="shared" si="10"/>
        <v>0.15626617907469242</v>
      </c>
      <c r="R37" s="8"/>
      <c r="S37" s="9">
        <f t="shared" si="11"/>
        <v>2.4419118722603841E-2</v>
      </c>
      <c r="T37" s="165">
        <f t="shared" si="20"/>
        <v>1</v>
      </c>
      <c r="U37" s="163">
        <f t="shared" si="21"/>
        <v>2.4419118722603841E-2</v>
      </c>
      <c r="V37" s="8">
        <f t="shared" si="12"/>
        <v>0.62620590408268517</v>
      </c>
      <c r="X37" s="8">
        <f t="shared" si="13"/>
        <v>5.4070297445685123</v>
      </c>
      <c r="Z37" s="2">
        <f t="shared" si="22"/>
        <v>0.435</v>
      </c>
      <c r="AA37" s="4">
        <f t="shared" si="23"/>
        <v>18.489999999999998</v>
      </c>
      <c r="AB37" s="46">
        <f t="shared" si="24"/>
        <v>0.435</v>
      </c>
      <c r="AC37" s="4">
        <f t="shared" si="25"/>
        <v>8.0365730622222689</v>
      </c>
      <c r="AD37" s="2">
        <f t="shared" si="26"/>
        <v>1.1522559380770733E-3</v>
      </c>
      <c r="AE37" s="51">
        <f t="shared" si="14"/>
        <v>11.522559380770733</v>
      </c>
      <c r="AF37" s="10">
        <f t="shared" si="27"/>
        <v>0.22261008276276506</v>
      </c>
      <c r="AG37" s="10">
        <f t="shared" si="28"/>
        <v>0.22261008276276595</v>
      </c>
      <c r="AH37" s="8">
        <f t="shared" si="15"/>
        <v>7.8803068831475764</v>
      </c>
      <c r="AI37" s="10">
        <f t="shared" si="29"/>
        <v>0.18176094781620389</v>
      </c>
      <c r="AJ37" s="10">
        <f t="shared" si="35"/>
        <v>0.19056416419074074</v>
      </c>
      <c r="AK37" s="10">
        <f t="shared" si="16"/>
        <v>0.16723234254898411</v>
      </c>
      <c r="AL37" s="162">
        <f t="shared" si="30"/>
        <v>0.17889825336986243</v>
      </c>
      <c r="AM37" s="178">
        <f t="shared" si="31"/>
        <v>4.3711829392903523E-2</v>
      </c>
      <c r="AO37" s="12">
        <f>K4</f>
        <v>5.5</v>
      </c>
      <c r="AQ37" s="1">
        <f t="shared" si="17"/>
        <v>0.22261008276276595</v>
      </c>
      <c r="AR37" s="1">
        <f t="shared" si="18"/>
        <v>0</v>
      </c>
      <c r="AS37" s="1">
        <f t="shared" si="19"/>
        <v>0</v>
      </c>
      <c r="AT37" s="1">
        <f t="shared" si="32"/>
        <v>8.2365730622222681</v>
      </c>
      <c r="AU37" s="1">
        <f t="shared" si="33"/>
        <v>18.489999999999998</v>
      </c>
      <c r="AV37" s="8">
        <f t="shared" si="34"/>
        <v>8.0365730622222689</v>
      </c>
    </row>
    <row r="38" spans="1:48" ht="17.399999999999999">
      <c r="A38" s="168">
        <v>20.28</v>
      </c>
      <c r="B38" s="98">
        <v>8.4146611284324795</v>
      </c>
      <c r="C38" s="171">
        <v>1</v>
      </c>
      <c r="D38" s="8">
        <f t="shared" si="0"/>
        <v>8.2146611284324802</v>
      </c>
      <c r="E38" s="8">
        <f t="shared" si="1"/>
        <v>8.0527793739148912</v>
      </c>
      <c r="F38" s="8">
        <f t="shared" si="2"/>
        <v>0.16188175451758902</v>
      </c>
      <c r="G38" s="8">
        <f t="shared" si="3"/>
        <v>0</v>
      </c>
      <c r="H38" s="8"/>
      <c r="I38" s="8">
        <f t="shared" si="4"/>
        <v>-0.16188175451758902</v>
      </c>
      <c r="J38" s="8">
        <f t="shared" si="5"/>
        <v>8.0527793739148912</v>
      </c>
      <c r="K38" s="8">
        <f t="shared" si="6"/>
        <v>0.16188175451758902</v>
      </c>
      <c r="L38" s="8"/>
      <c r="M38" s="8">
        <f t="shared" si="7"/>
        <v>0</v>
      </c>
      <c r="N38" s="8">
        <f t="shared" si="8"/>
        <v>-0.16188175451758902</v>
      </c>
      <c r="O38" s="8">
        <f t="shared" si="9"/>
        <v>8.0527793739148912</v>
      </c>
      <c r="P38" s="8"/>
      <c r="Q38" s="8">
        <f t="shared" si="10"/>
        <v>0.16188175451758902</v>
      </c>
      <c r="R38" s="8"/>
      <c r="S38" s="9">
        <f t="shared" si="11"/>
        <v>2.6205702445692952E-2</v>
      </c>
      <c r="T38" s="165">
        <f t="shared" si="20"/>
        <v>1</v>
      </c>
      <c r="U38" s="163">
        <f t="shared" si="21"/>
        <v>2.6205702445692952E-2</v>
      </c>
      <c r="V38" s="8">
        <f t="shared" si="12"/>
        <v>0.61792273821244281</v>
      </c>
      <c r="X38" s="8">
        <f t="shared" si="13"/>
        <v>5.9304793520740633</v>
      </c>
      <c r="Z38" s="2">
        <f t="shared" si="22"/>
        <v>0.40500000000000003</v>
      </c>
      <c r="AA38" s="4">
        <f t="shared" si="23"/>
        <v>20.28</v>
      </c>
      <c r="AB38" s="46">
        <f t="shared" si="24"/>
        <v>0.40500000000000003</v>
      </c>
      <c r="AC38" s="4">
        <f t="shared" si="25"/>
        <v>8.2146611284324802</v>
      </c>
      <c r="AD38" s="2">
        <f t="shared" si="26"/>
        <v>1.0505528745091265E-3</v>
      </c>
      <c r="AE38" s="51">
        <f t="shared" si="14"/>
        <v>10.505528745091265</v>
      </c>
      <c r="AF38" s="10">
        <f t="shared" si="27"/>
        <v>0.17808806621021134</v>
      </c>
      <c r="AG38" s="10">
        <f t="shared" si="28"/>
        <v>0.17808806621021134</v>
      </c>
      <c r="AH38" s="8">
        <f t="shared" si="15"/>
        <v>8.0527793739148912</v>
      </c>
      <c r="AI38" s="10">
        <f t="shared" si="29"/>
        <v>0.17247249076731475</v>
      </c>
      <c r="AJ38" s="10">
        <f t="shared" si="35"/>
        <v>0.17982435077765602</v>
      </c>
      <c r="AK38" s="10">
        <f t="shared" si="16"/>
        <v>0.15811312466115601</v>
      </c>
      <c r="AL38" s="162">
        <f t="shared" si="30"/>
        <v>0.16896873771940601</v>
      </c>
      <c r="AM38" s="178">
        <f t="shared" si="31"/>
        <v>9.1193284908053229E-3</v>
      </c>
      <c r="AO38" s="3" t="s">
        <v>43</v>
      </c>
      <c r="AQ38" s="1">
        <f t="shared" si="17"/>
        <v>0.17808806621021134</v>
      </c>
      <c r="AR38" s="1">
        <f t="shared" si="18"/>
        <v>0</v>
      </c>
      <c r="AS38" s="1">
        <f t="shared" si="19"/>
        <v>0</v>
      </c>
      <c r="AT38" s="1">
        <f t="shared" si="32"/>
        <v>8.4146611284324795</v>
      </c>
      <c r="AU38" s="1">
        <f t="shared" si="33"/>
        <v>20.28</v>
      </c>
      <c r="AV38" s="8">
        <f t="shared" si="34"/>
        <v>8.2146611284324802</v>
      </c>
    </row>
    <row r="39" spans="1:48" ht="17.399999999999999">
      <c r="A39" s="168">
        <v>22.17</v>
      </c>
      <c r="B39" s="98">
        <v>8.5704881863664131</v>
      </c>
      <c r="C39" s="171">
        <v>1</v>
      </c>
      <c r="D39" s="8">
        <f t="shared" si="0"/>
        <v>8.3704881863664138</v>
      </c>
      <c r="E39" s="8">
        <f t="shared" si="1"/>
        <v>8.2116878043622599</v>
      </c>
      <c r="F39" s="8">
        <f t="shared" si="2"/>
        <v>0.15880038200415392</v>
      </c>
      <c r="G39" s="8">
        <f t="shared" si="3"/>
        <v>0</v>
      </c>
      <c r="H39" s="8"/>
      <c r="I39" s="8">
        <f t="shared" si="4"/>
        <v>-0.15880038200415392</v>
      </c>
      <c r="J39" s="8">
        <f t="shared" si="5"/>
        <v>8.2116878043622599</v>
      </c>
      <c r="K39" s="8">
        <f t="shared" si="6"/>
        <v>0.15880038200415392</v>
      </c>
      <c r="L39" s="8"/>
      <c r="M39" s="8">
        <f t="shared" si="7"/>
        <v>0</v>
      </c>
      <c r="N39" s="8">
        <f t="shared" si="8"/>
        <v>-0.15880038200415392</v>
      </c>
      <c r="O39" s="8">
        <f t="shared" si="9"/>
        <v>8.2116878043622599</v>
      </c>
      <c r="P39" s="8"/>
      <c r="Q39" s="8">
        <f t="shared" si="10"/>
        <v>0.15880038200415392</v>
      </c>
      <c r="R39" s="8"/>
      <c r="S39" s="9">
        <f t="shared" si="11"/>
        <v>2.5217561324665211E-2</v>
      </c>
      <c r="T39" s="165">
        <f t="shared" si="20"/>
        <v>1</v>
      </c>
      <c r="U39" s="163">
        <f t="shared" si="21"/>
        <v>2.5217561324665211E-2</v>
      </c>
      <c r="V39" s="8">
        <f t="shared" si="12"/>
        <v>0.61067496807598076</v>
      </c>
      <c r="X39" s="8">
        <f t="shared" si="13"/>
        <v>6.4831719544123274</v>
      </c>
      <c r="Z39" s="2">
        <f t="shared" si="22"/>
        <v>0.378</v>
      </c>
      <c r="AA39" s="4">
        <f t="shared" si="23"/>
        <v>22.17</v>
      </c>
      <c r="AB39" s="46">
        <f t="shared" si="24"/>
        <v>0.378</v>
      </c>
      <c r="AC39" s="4">
        <f t="shared" si="25"/>
        <v>8.3704881863664138</v>
      </c>
      <c r="AD39" s="2">
        <f t="shared" si="26"/>
        <v>9.6099288656044575E-4</v>
      </c>
      <c r="AE39" s="51">
        <f t="shared" si="14"/>
        <v>9.6099288656044575</v>
      </c>
      <c r="AF39" s="10">
        <f t="shared" si="27"/>
        <v>0.15582705793393359</v>
      </c>
      <c r="AG39" s="10">
        <f t="shared" si="28"/>
        <v>0.15582705793393359</v>
      </c>
      <c r="AH39" s="8">
        <f t="shared" si="15"/>
        <v>8.2116878043622599</v>
      </c>
      <c r="AI39" s="10">
        <f t="shared" si="29"/>
        <v>0.15890843044736869</v>
      </c>
      <c r="AJ39" s="10">
        <f t="shared" si="35"/>
        <v>0.17275170757389935</v>
      </c>
      <c r="AK39" s="10">
        <f t="shared" si="16"/>
        <v>0.14808626894567345</v>
      </c>
      <c r="AL39" s="162">
        <f t="shared" si="30"/>
        <v>0.1604189882597864</v>
      </c>
      <c r="AM39" s="178">
        <f t="shared" si="31"/>
        <v>4.591930325852811E-3</v>
      </c>
      <c r="AO39" s="3" t="s">
        <v>44</v>
      </c>
      <c r="AQ39" s="1">
        <f t="shared" si="17"/>
        <v>0.15582705793393359</v>
      </c>
      <c r="AR39" s="1">
        <f t="shared" si="18"/>
        <v>0</v>
      </c>
      <c r="AS39" s="1">
        <f t="shared" si="19"/>
        <v>0</v>
      </c>
      <c r="AT39" s="1">
        <f t="shared" si="32"/>
        <v>8.5704881863664131</v>
      </c>
      <c r="AU39" s="1">
        <f t="shared" si="33"/>
        <v>22.17</v>
      </c>
      <c r="AV39" s="8">
        <f t="shared" si="34"/>
        <v>8.3704881863664138</v>
      </c>
    </row>
    <row r="40" spans="1:48" ht="17.399999999999999">
      <c r="A40" s="168">
        <v>24.29</v>
      </c>
      <c r="B40" s="98">
        <v>8.7485762525766262</v>
      </c>
      <c r="C40" s="171">
        <v>1</v>
      </c>
      <c r="D40" s="8">
        <f t="shared" si="0"/>
        <v>8.5485762525766269</v>
      </c>
      <c r="E40" s="8">
        <f t="shared" si="1"/>
        <v>8.367475305527309</v>
      </c>
      <c r="F40" s="8">
        <f t="shared" si="2"/>
        <v>0.1811009470493179</v>
      </c>
      <c r="G40" s="8">
        <f t="shared" si="3"/>
        <v>0</v>
      </c>
      <c r="H40" s="8"/>
      <c r="I40" s="8">
        <f t="shared" si="4"/>
        <v>-0.1811009470493179</v>
      </c>
      <c r="J40" s="8">
        <f t="shared" si="5"/>
        <v>8.367475305527309</v>
      </c>
      <c r="K40" s="8">
        <f t="shared" si="6"/>
        <v>0.1811009470493179</v>
      </c>
      <c r="L40" s="8"/>
      <c r="M40" s="8">
        <f t="shared" si="7"/>
        <v>0</v>
      </c>
      <c r="N40" s="8">
        <f t="shared" si="8"/>
        <v>-0.1811009470493179</v>
      </c>
      <c r="O40" s="8">
        <f t="shared" si="9"/>
        <v>8.367475305527309</v>
      </c>
      <c r="P40" s="8"/>
      <c r="Q40" s="8">
        <f t="shared" si="10"/>
        <v>0.1811009470493179</v>
      </c>
      <c r="R40" s="8"/>
      <c r="S40" s="9">
        <f t="shared" si="11"/>
        <v>3.2797553022159844E-2</v>
      </c>
      <c r="T40" s="165">
        <f t="shared" si="20"/>
        <v>1</v>
      </c>
      <c r="U40" s="163">
        <f t="shared" si="21"/>
        <v>3.2797553022159844E-2</v>
      </c>
      <c r="V40" s="8">
        <f t="shared" si="12"/>
        <v>0.60239180220573829</v>
      </c>
      <c r="X40" s="8">
        <f t="shared" si="13"/>
        <v>7.1031234448658278</v>
      </c>
      <c r="Z40" s="2">
        <f t="shared" si="22"/>
        <v>0.35199999999999998</v>
      </c>
      <c r="AA40" s="4">
        <f t="shared" si="23"/>
        <v>24.29</v>
      </c>
      <c r="AB40" s="46">
        <f t="shared" si="24"/>
        <v>0.35199999999999998</v>
      </c>
      <c r="AC40" s="4">
        <f t="shared" si="25"/>
        <v>8.5485762525766269</v>
      </c>
      <c r="AD40" s="2">
        <f t="shared" si="26"/>
        <v>8.7711866179683356E-4</v>
      </c>
      <c r="AE40" s="51">
        <f t="shared" si="14"/>
        <v>8.7711866179683362</v>
      </c>
      <c r="AF40" s="10">
        <f t="shared" si="27"/>
        <v>0.17808806621021311</v>
      </c>
      <c r="AG40" s="10">
        <f t="shared" si="28"/>
        <v>0.17808806621021311</v>
      </c>
      <c r="AH40" s="8">
        <f t="shared" si="15"/>
        <v>8.367475305527309</v>
      </c>
      <c r="AI40" s="10">
        <f t="shared" si="29"/>
        <v>0.15578750116504914</v>
      </c>
      <c r="AJ40" s="10">
        <f t="shared" si="35"/>
        <v>0.16723234254898411</v>
      </c>
      <c r="AK40" s="10">
        <f t="shared" si="16"/>
        <v>0.1431335383203316</v>
      </c>
      <c r="AL40" s="162">
        <f t="shared" si="30"/>
        <v>0.15518294043465786</v>
      </c>
      <c r="AM40" s="178">
        <f t="shared" si="31"/>
        <v>2.2905125775555257E-2</v>
      </c>
      <c r="AO40" s="12">
        <f>M4</f>
        <v>0.1</v>
      </c>
      <c r="AP40" s="7"/>
      <c r="AQ40" s="1">
        <f t="shared" si="17"/>
        <v>0.17808806621021311</v>
      </c>
      <c r="AR40" s="1">
        <f t="shared" si="18"/>
        <v>0</v>
      </c>
      <c r="AS40" s="1">
        <f t="shared" si="19"/>
        <v>0</v>
      </c>
      <c r="AT40" s="1">
        <f t="shared" si="32"/>
        <v>8.7485762525766262</v>
      </c>
      <c r="AU40" s="1">
        <f t="shared" si="33"/>
        <v>24.29</v>
      </c>
      <c r="AV40" s="8">
        <f t="shared" si="34"/>
        <v>8.5485762525766269</v>
      </c>
    </row>
    <row r="41" spans="1:48" ht="17.399999999999999">
      <c r="A41" s="168">
        <v>26.55</v>
      </c>
      <c r="B41" s="98">
        <v>8.8821423022342838</v>
      </c>
      <c r="C41" s="171">
        <v>1</v>
      </c>
      <c r="D41" s="8">
        <f t="shared" si="0"/>
        <v>8.6821423022342845</v>
      </c>
      <c r="E41" s="8">
        <f t="shared" si="1"/>
        <v>8.5127593817922005</v>
      </c>
      <c r="F41" s="8">
        <f t="shared" si="2"/>
        <v>0.16938292044208403</v>
      </c>
      <c r="G41" s="8">
        <f t="shared" si="3"/>
        <v>0</v>
      </c>
      <c r="H41" s="8"/>
      <c r="I41" s="8">
        <f t="shared" si="4"/>
        <v>-0.16938292044208403</v>
      </c>
      <c r="J41" s="8">
        <f t="shared" si="5"/>
        <v>8.5127593817922005</v>
      </c>
      <c r="K41" s="8">
        <f t="shared" si="6"/>
        <v>0.16938292044208403</v>
      </c>
      <c r="L41" s="8"/>
      <c r="M41" s="8">
        <f t="shared" si="7"/>
        <v>0</v>
      </c>
      <c r="N41" s="8">
        <f t="shared" si="8"/>
        <v>-0.16938292044208403</v>
      </c>
      <c r="O41" s="8">
        <f t="shared" si="9"/>
        <v>8.5127593817922005</v>
      </c>
      <c r="P41" s="8"/>
      <c r="Q41" s="8">
        <f t="shared" si="10"/>
        <v>0.16938292044208403</v>
      </c>
      <c r="R41" s="8"/>
      <c r="S41" s="9">
        <f t="shared" si="11"/>
        <v>2.8690573737489369E-2</v>
      </c>
      <c r="T41" s="165">
        <f t="shared" si="20"/>
        <v>1</v>
      </c>
      <c r="U41" s="163">
        <f t="shared" si="21"/>
        <v>2.8690573737489369E-2</v>
      </c>
      <c r="V41" s="8">
        <f t="shared" si="12"/>
        <v>0.59617942780305655</v>
      </c>
      <c r="X41" s="8">
        <f t="shared" si="13"/>
        <v>7.7640151280851271</v>
      </c>
      <c r="Z41" s="2">
        <f t="shared" si="22"/>
        <v>0.32700000000000001</v>
      </c>
      <c r="AA41" s="4">
        <f t="shared" si="23"/>
        <v>26.55</v>
      </c>
      <c r="AB41" s="46">
        <f t="shared" si="24"/>
        <v>0.32700000000000001</v>
      </c>
      <c r="AC41" s="4">
        <f t="shared" si="25"/>
        <v>8.6821423022342845</v>
      </c>
      <c r="AD41" s="2">
        <f t="shared" si="26"/>
        <v>8.0245620696968304E-4</v>
      </c>
      <c r="AE41" s="51">
        <f t="shared" si="14"/>
        <v>8.0245620696968309</v>
      </c>
      <c r="AF41" s="10">
        <f t="shared" si="27"/>
        <v>0.13356604965765762</v>
      </c>
      <c r="AG41" s="10">
        <f t="shared" si="28"/>
        <v>0.13356604965765762</v>
      </c>
      <c r="AH41" s="8">
        <f t="shared" si="15"/>
        <v>8.5127593817922005</v>
      </c>
      <c r="AI41" s="10">
        <f t="shared" si="29"/>
        <v>0.14528407626489148</v>
      </c>
      <c r="AJ41" s="10">
        <f t="shared" si="35"/>
        <v>0.15811312466115601</v>
      </c>
      <c r="AK41" s="10">
        <f t="shared" si="16"/>
        <v>0.13871719951461259</v>
      </c>
      <c r="AL41" s="162">
        <f t="shared" si="30"/>
        <v>0.1484151620878843</v>
      </c>
      <c r="AM41" s="178">
        <f t="shared" si="31"/>
        <v>1.4849112430226685E-2</v>
      </c>
      <c r="AO41" s="3" t="s">
        <v>45</v>
      </c>
      <c r="AP41" s="7"/>
      <c r="AQ41" s="1">
        <f t="shared" si="17"/>
        <v>0.13356604965765762</v>
      </c>
      <c r="AR41" s="1">
        <f t="shared" si="18"/>
        <v>0</v>
      </c>
      <c r="AS41" s="1">
        <f t="shared" si="19"/>
        <v>0</v>
      </c>
      <c r="AT41" s="1">
        <f t="shared" si="32"/>
        <v>8.8821423022342838</v>
      </c>
      <c r="AU41" s="1">
        <f t="shared" si="33"/>
        <v>26.55</v>
      </c>
      <c r="AV41" s="8">
        <f t="shared" si="34"/>
        <v>8.6821423022342845</v>
      </c>
    </row>
    <row r="42" spans="1:48" ht="17.399999999999999">
      <c r="A42" s="168">
        <v>28.89</v>
      </c>
      <c r="B42" s="98">
        <v>9.0379693601682192</v>
      </c>
      <c r="C42" s="171">
        <v>1</v>
      </c>
      <c r="D42" s="8">
        <f t="shared" ref="D42:D73" si="36">IF(B42-$D$4&gt;0.05,B42-$D$4,IF(A42="","",0))</f>
        <v>8.8379693601682199</v>
      </c>
      <c r="E42" s="8">
        <f t="shared" ref="E42:E73" si="37">IF(D42="","",IF(A42&lt;$F$4+0.01,0,10^(((-0.434*$E$4)/(LOG(A42)-LOG($F$4)))+LOG($G$4))))</f>
        <v>8.645124449697585</v>
      </c>
      <c r="F42" s="8">
        <f t="shared" ref="F42:F73" si="38">IF(E42="","",IF(ABS(D42-E42)&lt;0.05,0,D42-E42))</f>
        <v>0.1928449104706349</v>
      </c>
      <c r="G42" s="8">
        <f t="shared" ref="G42:G73" si="39">IF(OR(D42="",$I$4=""),"",IF(A42&lt;$J$4,0,10^(((-0.434*$I$4)/(LOG(A42)-LOG($J$4)))+LOG($K$4))))</f>
        <v>0</v>
      </c>
      <c r="H42" s="8"/>
      <c r="I42" s="8">
        <f t="shared" ref="I42:I73" si="40">IF(G42="","",IF(ABS(G42-F42)&lt;0.05,0,G42-F42))</f>
        <v>-0.1928449104706349</v>
      </c>
      <c r="J42" s="8">
        <f t="shared" ref="J42:J73" si="41">IF(G42="","",E42+G42)</f>
        <v>8.645124449697585</v>
      </c>
      <c r="K42" s="8">
        <f t="shared" si="6"/>
        <v>0.1928449104706349</v>
      </c>
      <c r="L42" s="8"/>
      <c r="M42" s="8">
        <f t="shared" ref="M42:M73" si="42">IF(OR(G42="",$M$4=""),"",IF(A42&lt;$N$4,0,10^(((-0.434*$M$4)/(LOG(A42)-LOG($N$4)))+LOG($O$4))))</f>
        <v>0</v>
      </c>
      <c r="N42" s="8">
        <f t="shared" ref="N42:N73" si="43">IF(M42="","",IF(ABS(M42-K42)&lt;0.05,0,M42-K42))</f>
        <v>-0.1928449104706349</v>
      </c>
      <c r="O42" s="8">
        <f t="shared" ref="O42:O73" si="44">IF(N42="","",E42+G42+M42)</f>
        <v>8.645124449697585</v>
      </c>
      <c r="P42" s="8"/>
      <c r="Q42" s="8">
        <f t="shared" ref="Q42:Q73" si="45">IF(O42="","",IF(ABS(D42-O42)&lt;0.05,0,D42-O42))</f>
        <v>0.1928449104706349</v>
      </c>
      <c r="R42" s="8"/>
      <c r="S42" s="9">
        <f t="shared" ref="S42:S93" si="46">IF($I$4="",IF(A42="","",F42^2),IF(Q42="","",Q42^2))</f>
        <v>3.7189159494427193E-2</v>
      </c>
      <c r="T42" s="165">
        <f t="shared" si="20"/>
        <v>1</v>
      </c>
      <c r="U42" s="163">
        <f t="shared" si="21"/>
        <v>3.7189159494427193E-2</v>
      </c>
      <c r="V42" s="8">
        <f t="shared" ref="V42:V73" si="47">IF(D42="","",IF(X42=0," ",1-(D42/$Q$4)))</f>
        <v>0.58893165766659439</v>
      </c>
      <c r="X42" s="8">
        <f t="shared" ref="X42:X73" si="48">IF(D42="","",($X$3*COS($Z$3*PI()/180)/($X$4*ABS(COS($Z$4*PI()/180))*0.434*($V$5-$V$6))*A42))</f>
        <v>8.4483012071705961</v>
      </c>
      <c r="Z42" s="2">
        <f t="shared" si="22"/>
        <v>0.30599999999999999</v>
      </c>
      <c r="AA42" s="4">
        <f t="shared" si="23"/>
        <v>28.89</v>
      </c>
      <c r="AB42" s="46">
        <f t="shared" si="24"/>
        <v>0.30599999999999999</v>
      </c>
      <c r="AC42" s="4">
        <f t="shared" si="25"/>
        <v>8.8379693601682199</v>
      </c>
      <c r="AD42" s="2">
        <f t="shared" si="26"/>
        <v>7.3745975406871176E-4</v>
      </c>
      <c r="AE42" s="51">
        <f t="shared" ref="AE42:AE73" si="49">IF(D42="","",IF(AD42=" "," ",AD42*10000))</f>
        <v>7.3745975406871178</v>
      </c>
      <c r="AF42" s="10">
        <f t="shared" si="27"/>
        <v>0.15582705793393536</v>
      </c>
      <c r="AG42" s="10">
        <f t="shared" si="28"/>
        <v>0.15582705793393536</v>
      </c>
      <c r="AH42" s="8">
        <f t="shared" ref="AH42:AH73" si="50">(IF(O42="",(IF(J42="",E42,J42)),O42 ))</f>
        <v>8.645124449697585</v>
      </c>
      <c r="AI42" s="10">
        <f t="shared" si="29"/>
        <v>0.13236506790538449</v>
      </c>
      <c r="AJ42" s="10">
        <f t="shared" si="35"/>
        <v>0.14808626894567345</v>
      </c>
      <c r="AK42" s="10">
        <f t="shared" si="16"/>
        <v>0.13084103133184222</v>
      </c>
      <c r="AL42" s="162">
        <f t="shared" si="30"/>
        <v>0.13946365013875783</v>
      </c>
      <c r="AM42" s="178">
        <f t="shared" si="31"/>
        <v>1.6363407795177531E-2</v>
      </c>
      <c r="AO42" s="12">
        <f>N4</f>
        <v>850</v>
      </c>
      <c r="AP42" s="7"/>
      <c r="AQ42" s="1">
        <f t="shared" ref="AQ42:AQ73" si="51" xml:space="preserve"> IF(C42=1,AG42,0.005)</f>
        <v>0.15582705793393536</v>
      </c>
      <c r="AR42" s="1">
        <f t="shared" ref="AR42:AR73" si="52">IF(C42=1,0,1)</f>
        <v>0</v>
      </c>
      <c r="AS42" s="1">
        <f t="shared" ref="AS42:AS73" si="53">(AG42*AR42)</f>
        <v>0</v>
      </c>
      <c r="AT42" s="1">
        <f t="shared" si="32"/>
        <v>9.0379693601682192</v>
      </c>
      <c r="AU42" s="1">
        <f t="shared" si="33"/>
        <v>28.89</v>
      </c>
      <c r="AV42" s="8">
        <f t="shared" si="34"/>
        <v>8.8379693601682199</v>
      </c>
    </row>
    <row r="43" spans="1:48" ht="17.399999999999999">
      <c r="A43" s="168">
        <v>31.69</v>
      </c>
      <c r="B43" s="98">
        <v>9.1715354098258768</v>
      </c>
      <c r="C43" s="171">
        <v>1</v>
      </c>
      <c r="D43" s="8">
        <f t="shared" si="36"/>
        <v>8.9715354098258775</v>
      </c>
      <c r="E43" s="8">
        <f t="shared" si="37"/>
        <v>8.7842219576435863</v>
      </c>
      <c r="F43" s="8">
        <f t="shared" si="38"/>
        <v>0.18731345218229123</v>
      </c>
      <c r="G43" s="8">
        <f t="shared" si="39"/>
        <v>0</v>
      </c>
      <c r="H43" s="8"/>
      <c r="I43" s="8">
        <f t="shared" si="40"/>
        <v>-0.18731345218229123</v>
      </c>
      <c r="J43" s="8">
        <f t="shared" si="41"/>
        <v>8.7842219576435863</v>
      </c>
      <c r="K43" s="8">
        <f t="shared" si="6"/>
        <v>0.18731345218229123</v>
      </c>
      <c r="L43" s="8"/>
      <c r="M43" s="8">
        <f t="shared" si="42"/>
        <v>0</v>
      </c>
      <c r="N43" s="8">
        <f t="shared" si="43"/>
        <v>-0.18731345218229123</v>
      </c>
      <c r="O43" s="8">
        <f t="shared" si="44"/>
        <v>8.7842219576435863</v>
      </c>
      <c r="P43" s="8"/>
      <c r="Q43" s="8">
        <f t="shared" si="45"/>
        <v>0.18731345218229123</v>
      </c>
      <c r="R43" s="8"/>
      <c r="S43" s="9">
        <f t="shared" si="46"/>
        <v>3.5086329368447501E-2</v>
      </c>
      <c r="T43" s="165">
        <f t="shared" si="20"/>
        <v>1</v>
      </c>
      <c r="U43" s="163">
        <f t="shared" si="21"/>
        <v>3.5086329368447501E-2</v>
      </c>
      <c r="V43" s="8">
        <f t="shared" si="47"/>
        <v>0.58271928326391276</v>
      </c>
      <c r="X43" s="8">
        <f t="shared" si="48"/>
        <v>9.2671050624865412</v>
      </c>
      <c r="Z43" s="2">
        <f t="shared" si="22"/>
        <v>0.28299999999999997</v>
      </c>
      <c r="AA43" s="4">
        <f t="shared" si="23"/>
        <v>31.69</v>
      </c>
      <c r="AB43" s="46">
        <f t="shared" si="24"/>
        <v>0.28299999999999997</v>
      </c>
      <c r="AC43" s="4">
        <f t="shared" si="25"/>
        <v>8.9715354098258775</v>
      </c>
      <c r="AD43" s="2">
        <f t="shared" si="26"/>
        <v>6.7230079820274806E-4</v>
      </c>
      <c r="AE43" s="51">
        <f t="shared" si="49"/>
        <v>6.7230079820274806</v>
      </c>
      <c r="AF43" s="10">
        <f t="shared" ref="AF43:AF74" si="54">IF(B43-B42&lt;0.0001,0.0001,B43-B42)</f>
        <v>0.13356604965765762</v>
      </c>
      <c r="AG43" s="10">
        <f t="shared" ref="AG43:AG74" si="55">IF(D43-D42&lt;0.0001,0.0001,D43-D42)</f>
        <v>0.13356604965765762</v>
      </c>
      <c r="AH43" s="8">
        <f t="shared" si="50"/>
        <v>8.7842219576435863</v>
      </c>
      <c r="AI43" s="10">
        <f t="shared" ref="AI43:AI74" si="56">IF(AH43-AH42&lt;0.0001,0.0001,AH43-AH42)</f>
        <v>0.13909750794600129</v>
      </c>
      <c r="AJ43" s="10">
        <f t="shared" si="35"/>
        <v>0.1431335383203316</v>
      </c>
      <c r="AK43" s="10">
        <f t="shared" si="16"/>
        <v>0.12536577718247433</v>
      </c>
      <c r="AL43" s="162">
        <f t="shared" si="30"/>
        <v>0.13424965775140296</v>
      </c>
      <c r="AM43" s="178">
        <f t="shared" si="31"/>
        <v>6.8360809374534703E-4</v>
      </c>
      <c r="AO43" s="3" t="s">
        <v>46</v>
      </c>
      <c r="AP43" s="7"/>
      <c r="AQ43" s="1">
        <f t="shared" si="51"/>
        <v>0.13356604965765762</v>
      </c>
      <c r="AR43" s="1">
        <f t="shared" si="52"/>
        <v>0</v>
      </c>
      <c r="AS43" s="1">
        <f t="shared" si="53"/>
        <v>0</v>
      </c>
      <c r="AT43" s="1">
        <f t="shared" si="32"/>
        <v>9.1715354098258768</v>
      </c>
      <c r="AU43" s="1">
        <f t="shared" si="33"/>
        <v>31.69</v>
      </c>
      <c r="AV43" s="8">
        <f t="shared" si="34"/>
        <v>8.9715354098258775</v>
      </c>
    </row>
    <row r="44" spans="1:48" ht="17.399999999999999">
      <c r="A44" s="168">
        <v>34.880000000000003</v>
      </c>
      <c r="B44" s="98">
        <v>9.305101459483538</v>
      </c>
      <c r="C44" s="171">
        <v>1</v>
      </c>
      <c r="D44" s="8">
        <f t="shared" si="36"/>
        <v>9.1051014594835387</v>
      </c>
      <c r="E44" s="8">
        <f t="shared" si="37"/>
        <v>8.9223441035857594</v>
      </c>
      <c r="F44" s="8">
        <f t="shared" si="38"/>
        <v>0.18275735589777931</v>
      </c>
      <c r="G44" s="8">
        <f t="shared" si="39"/>
        <v>0</v>
      </c>
      <c r="H44" s="8"/>
      <c r="I44" s="8">
        <f t="shared" si="40"/>
        <v>-0.18275735589777931</v>
      </c>
      <c r="J44" s="8">
        <f t="shared" si="41"/>
        <v>8.9223441035857594</v>
      </c>
      <c r="K44" s="8">
        <f t="shared" si="6"/>
        <v>0.18275735589777931</v>
      </c>
      <c r="L44" s="8"/>
      <c r="M44" s="8">
        <f t="shared" si="42"/>
        <v>0</v>
      </c>
      <c r="N44" s="8">
        <f t="shared" si="43"/>
        <v>-0.18275735589777931</v>
      </c>
      <c r="O44" s="8">
        <f t="shared" si="44"/>
        <v>8.9223441035857594</v>
      </c>
      <c r="P44" s="8"/>
      <c r="Q44" s="8">
        <f t="shared" si="45"/>
        <v>0.18275735589777931</v>
      </c>
      <c r="R44" s="8"/>
      <c r="S44" s="9">
        <f t="shared" si="46"/>
        <v>3.3400251134747566E-2</v>
      </c>
      <c r="T44" s="165">
        <f t="shared" si="20"/>
        <v>1</v>
      </c>
      <c r="U44" s="163">
        <f t="shared" si="21"/>
        <v>3.3400251134747566E-2</v>
      </c>
      <c r="V44" s="8">
        <f t="shared" si="47"/>
        <v>0.57650690886123068</v>
      </c>
      <c r="X44" s="8">
        <f t="shared" si="48"/>
        <v>10.199956597650067</v>
      </c>
      <c r="Z44" s="2">
        <f t="shared" si="22"/>
        <v>0.26100000000000001</v>
      </c>
      <c r="AA44" s="4">
        <f t="shared" si="23"/>
        <v>34.880000000000003</v>
      </c>
      <c r="AB44" s="46">
        <f t="shared" si="24"/>
        <v>0.26100000000000001</v>
      </c>
      <c r="AC44" s="4">
        <f t="shared" si="25"/>
        <v>9.1051014594835387</v>
      </c>
      <c r="AD44" s="2">
        <f t="shared" si="26"/>
        <v>6.1081457267904481E-4</v>
      </c>
      <c r="AE44" s="51">
        <f t="shared" si="49"/>
        <v>6.1081457267904478</v>
      </c>
      <c r="AF44" s="10">
        <f t="shared" si="54"/>
        <v>0.13356604965766117</v>
      </c>
      <c r="AG44" s="10">
        <f t="shared" si="55"/>
        <v>0.13356604965766117</v>
      </c>
      <c r="AH44" s="8">
        <f t="shared" si="50"/>
        <v>8.9223441035857594</v>
      </c>
      <c r="AI44" s="10">
        <f t="shared" si="56"/>
        <v>0.13812214594217309</v>
      </c>
      <c r="AJ44" s="10">
        <f t="shared" si="35"/>
        <v>0.13871719951461259</v>
      </c>
      <c r="AK44" s="10">
        <f t="shared" si="16"/>
        <v>0.11685805994606913</v>
      </c>
      <c r="AL44" s="162">
        <f t="shared" si="30"/>
        <v>0.12778762973034086</v>
      </c>
      <c r="AM44" s="178">
        <f t="shared" si="31"/>
        <v>5.7784199273203107E-3</v>
      </c>
      <c r="AO44" s="12">
        <f>O4</f>
        <v>1</v>
      </c>
      <c r="AP44" s="7"/>
      <c r="AQ44" s="1">
        <f t="shared" si="51"/>
        <v>0.13356604965766117</v>
      </c>
      <c r="AR44" s="1">
        <f t="shared" si="52"/>
        <v>0</v>
      </c>
      <c r="AS44" s="1">
        <f t="shared" si="53"/>
        <v>0</v>
      </c>
      <c r="AT44" s="1">
        <f t="shared" si="32"/>
        <v>9.305101459483538</v>
      </c>
      <c r="AU44" s="1">
        <f t="shared" si="33"/>
        <v>34.880000000000003</v>
      </c>
      <c r="AV44" s="8">
        <f t="shared" si="34"/>
        <v>9.1051014594835387</v>
      </c>
    </row>
    <row r="45" spans="1:48" ht="15" customHeight="1">
      <c r="A45" s="168">
        <v>37.869999999999997</v>
      </c>
      <c r="B45" s="98">
        <v>9.4386675091411956</v>
      </c>
      <c r="C45" s="171">
        <v>1</v>
      </c>
      <c r="D45" s="8">
        <f t="shared" si="36"/>
        <v>9.2386675091411963</v>
      </c>
      <c r="E45" s="8">
        <f t="shared" si="37"/>
        <v>9.0361235071195694</v>
      </c>
      <c r="F45" s="8">
        <f t="shared" si="38"/>
        <v>0.20254400202162692</v>
      </c>
      <c r="G45" s="8">
        <f t="shared" si="39"/>
        <v>0</v>
      </c>
      <c r="H45" s="8"/>
      <c r="I45" s="8">
        <f t="shared" si="40"/>
        <v>-0.20254400202162692</v>
      </c>
      <c r="J45" s="8">
        <f t="shared" si="41"/>
        <v>9.0361235071195694</v>
      </c>
      <c r="K45" s="8">
        <f t="shared" si="6"/>
        <v>0.20254400202162692</v>
      </c>
      <c r="L45" s="8"/>
      <c r="M45" s="8">
        <f t="shared" si="42"/>
        <v>0</v>
      </c>
      <c r="N45" s="8">
        <f t="shared" si="43"/>
        <v>-0.20254400202162692</v>
      </c>
      <c r="O45" s="8">
        <f t="shared" si="44"/>
        <v>9.0361235071195694</v>
      </c>
      <c r="P45" s="8"/>
      <c r="Q45" s="8">
        <f t="shared" si="45"/>
        <v>0.20254400202162692</v>
      </c>
      <c r="R45" s="8"/>
      <c r="S45" s="9">
        <f t="shared" si="46"/>
        <v>4.1024072754936809E-2</v>
      </c>
      <c r="T45" s="165">
        <f t="shared" si="20"/>
        <v>1</v>
      </c>
      <c r="U45" s="163">
        <f t="shared" si="21"/>
        <v>4.1024072754936809E-2</v>
      </c>
      <c r="V45" s="8">
        <f t="shared" si="47"/>
        <v>0.57029453445854905</v>
      </c>
      <c r="X45" s="8">
        <f t="shared" si="48"/>
        <v>11.074322143148164</v>
      </c>
      <c r="Z45" s="2">
        <f t="shared" si="22"/>
        <v>0.24399999999999999</v>
      </c>
      <c r="AA45" s="4">
        <f t="shared" si="23"/>
        <v>37.869999999999997</v>
      </c>
      <c r="AB45" s="46">
        <f t="shared" si="24"/>
        <v>0.24399999999999999</v>
      </c>
      <c r="AC45" s="4">
        <f t="shared" si="25"/>
        <v>9.2386675091411963</v>
      </c>
      <c r="AD45" s="2">
        <f t="shared" si="26"/>
        <v>5.6258812503419821E-4</v>
      </c>
      <c r="AE45" s="51">
        <f t="shared" si="49"/>
        <v>5.6258812503419824</v>
      </c>
      <c r="AF45" s="10">
        <f t="shared" si="54"/>
        <v>0.13356604965765762</v>
      </c>
      <c r="AG45" s="10">
        <f t="shared" si="55"/>
        <v>0.13356604965765762</v>
      </c>
      <c r="AH45" s="8">
        <f t="shared" si="50"/>
        <v>9.0361235071195694</v>
      </c>
      <c r="AI45" s="10">
        <f t="shared" si="56"/>
        <v>0.11377940353381</v>
      </c>
      <c r="AJ45" s="10">
        <f t="shared" si="35"/>
        <v>0.13084103133184222</v>
      </c>
      <c r="AK45" s="10">
        <f t="shared" si="16"/>
        <v>0.11268747381415078</v>
      </c>
      <c r="AL45" s="162">
        <f t="shared" si="30"/>
        <v>0.1217642525729965</v>
      </c>
      <c r="AM45" s="178">
        <f t="shared" si="31"/>
        <v>1.1801797084661114E-2</v>
      </c>
      <c r="AQ45" s="1">
        <f t="shared" si="51"/>
        <v>0.13356604965765762</v>
      </c>
      <c r="AR45" s="1">
        <f t="shared" si="52"/>
        <v>0</v>
      </c>
      <c r="AS45" s="1">
        <f t="shared" si="53"/>
        <v>0</v>
      </c>
      <c r="AT45" s="1">
        <f t="shared" si="32"/>
        <v>9.4386675091411956</v>
      </c>
      <c r="AU45" s="1">
        <f t="shared" si="33"/>
        <v>37.869999999999997</v>
      </c>
      <c r="AV45" s="8">
        <f t="shared" si="34"/>
        <v>9.2386675091411963</v>
      </c>
    </row>
    <row r="46" spans="1:48" ht="15" customHeight="1">
      <c r="A46" s="168">
        <v>41.14</v>
      </c>
      <c r="B46" s="98">
        <v>9.549972550522579</v>
      </c>
      <c r="C46" s="171">
        <v>1</v>
      </c>
      <c r="D46" s="8">
        <f t="shared" si="36"/>
        <v>9.3499725505225797</v>
      </c>
      <c r="E46" s="8">
        <f t="shared" si="37"/>
        <v>9.1465875584274823</v>
      </c>
      <c r="F46" s="8">
        <f t="shared" si="38"/>
        <v>0.20338499209509742</v>
      </c>
      <c r="G46" s="8">
        <f t="shared" si="39"/>
        <v>0</v>
      </c>
      <c r="H46" s="8"/>
      <c r="I46" s="8">
        <f t="shared" si="40"/>
        <v>-0.20338499209509742</v>
      </c>
      <c r="J46" s="8">
        <f t="shared" si="41"/>
        <v>9.1465875584274823</v>
      </c>
      <c r="K46" s="8">
        <f t="shared" si="6"/>
        <v>0.20338499209509742</v>
      </c>
      <c r="L46" s="8"/>
      <c r="M46" s="8">
        <f t="shared" si="42"/>
        <v>0</v>
      </c>
      <c r="N46" s="8">
        <f t="shared" si="43"/>
        <v>-0.20338499209509742</v>
      </c>
      <c r="O46" s="8">
        <f t="shared" si="44"/>
        <v>9.1465875584274823</v>
      </c>
      <c r="P46" s="8"/>
      <c r="Q46" s="8">
        <f t="shared" si="45"/>
        <v>0.20338499209509742</v>
      </c>
      <c r="R46" s="8"/>
      <c r="S46" s="9">
        <f t="shared" si="46"/>
        <v>4.1365455009522836E-2</v>
      </c>
      <c r="T46" s="165">
        <f t="shared" si="20"/>
        <v>1</v>
      </c>
      <c r="U46" s="163">
        <f t="shared" si="21"/>
        <v>4.1365455009522836E-2</v>
      </c>
      <c r="V46" s="8">
        <f t="shared" si="47"/>
        <v>0.56511755578964751</v>
      </c>
      <c r="X46" s="8">
        <f t="shared" si="48"/>
        <v>12.030568074177859</v>
      </c>
      <c r="Z46" s="2">
        <f t="shared" si="22"/>
        <v>0.22700000000000001</v>
      </c>
      <c r="AA46" s="4">
        <f t="shared" si="23"/>
        <v>41.14</v>
      </c>
      <c r="AB46" s="46">
        <f t="shared" si="24"/>
        <v>0.22700000000000001</v>
      </c>
      <c r="AC46" s="4">
        <f t="shared" si="25"/>
        <v>9.3499725505225797</v>
      </c>
      <c r="AD46" s="2">
        <f t="shared" si="26"/>
        <v>5.1787098432292387E-4</v>
      </c>
      <c r="AE46" s="51">
        <f t="shared" si="49"/>
        <v>5.1787098432292389</v>
      </c>
      <c r="AF46" s="10">
        <f t="shared" si="54"/>
        <v>0.11130504138138342</v>
      </c>
      <c r="AG46" s="10">
        <f t="shared" si="55"/>
        <v>0.11130504138138342</v>
      </c>
      <c r="AH46" s="8">
        <f t="shared" si="50"/>
        <v>9.1465875584274823</v>
      </c>
      <c r="AI46" s="10">
        <f t="shared" si="56"/>
        <v>0.11046405130791292</v>
      </c>
      <c r="AJ46" s="10">
        <f t="shared" si="35"/>
        <v>0.12536577718247433</v>
      </c>
      <c r="AK46" s="10">
        <f t="shared" si="16"/>
        <v>0.11146898382843062</v>
      </c>
      <c r="AL46" s="162">
        <f t="shared" si="30"/>
        <v>0.11841738050545247</v>
      </c>
      <c r="AM46" s="178">
        <f t="shared" si="31"/>
        <v>7.1123391240690559E-3</v>
      </c>
      <c r="AQ46" s="1">
        <f t="shared" si="51"/>
        <v>0.11130504138138342</v>
      </c>
      <c r="AR46" s="1">
        <f t="shared" si="52"/>
        <v>0</v>
      </c>
      <c r="AS46" s="1">
        <f t="shared" si="53"/>
        <v>0</v>
      </c>
      <c r="AT46" s="1">
        <f t="shared" si="32"/>
        <v>9.549972550522579</v>
      </c>
      <c r="AU46" s="1">
        <f t="shared" si="33"/>
        <v>41.14</v>
      </c>
      <c r="AV46" s="8">
        <f t="shared" si="34"/>
        <v>9.3499725505225797</v>
      </c>
    </row>
    <row r="47" spans="1:48" ht="15" customHeight="1">
      <c r="A47" s="168">
        <v>44.64</v>
      </c>
      <c r="B47" s="98">
        <v>9.6835386001802366</v>
      </c>
      <c r="C47" s="171">
        <v>1</v>
      </c>
      <c r="D47" s="8">
        <f t="shared" si="36"/>
        <v>9.4835386001802373</v>
      </c>
      <c r="E47" s="8">
        <f t="shared" si="37"/>
        <v>9.2516541974278628</v>
      </c>
      <c r="F47" s="8">
        <f t="shared" si="38"/>
        <v>0.23188440275237454</v>
      </c>
      <c r="G47" s="8">
        <f t="shared" si="39"/>
        <v>0</v>
      </c>
      <c r="H47" s="8"/>
      <c r="I47" s="8">
        <f t="shared" si="40"/>
        <v>-0.23188440275237454</v>
      </c>
      <c r="J47" s="8">
        <f t="shared" si="41"/>
        <v>9.2516541974278628</v>
      </c>
      <c r="K47" s="8">
        <f t="shared" si="6"/>
        <v>0.23188440275237454</v>
      </c>
      <c r="L47" s="8"/>
      <c r="M47" s="8">
        <f t="shared" si="42"/>
        <v>0</v>
      </c>
      <c r="N47" s="8">
        <f t="shared" si="43"/>
        <v>-0.23188440275237454</v>
      </c>
      <c r="O47" s="8">
        <f t="shared" si="44"/>
        <v>9.2516541974278628</v>
      </c>
      <c r="P47" s="8"/>
      <c r="Q47" s="8">
        <f t="shared" si="45"/>
        <v>0.23188440275237454</v>
      </c>
      <c r="R47" s="8"/>
      <c r="S47" s="9">
        <f t="shared" si="46"/>
        <v>5.3770376239825446E-2</v>
      </c>
      <c r="T47" s="165">
        <f t="shared" si="20"/>
        <v>1</v>
      </c>
      <c r="U47" s="163">
        <f t="shared" si="21"/>
        <v>5.3770376239825446E-2</v>
      </c>
      <c r="V47" s="8">
        <f t="shared" si="47"/>
        <v>0.55890518138696565</v>
      </c>
      <c r="X47" s="8">
        <f t="shared" si="48"/>
        <v>13.05407289332279</v>
      </c>
      <c r="Z47" s="2">
        <f t="shared" si="22"/>
        <v>0.21199999999999999</v>
      </c>
      <c r="AA47" s="4">
        <f t="shared" si="23"/>
        <v>44.64</v>
      </c>
      <c r="AB47" s="46">
        <f t="shared" si="24"/>
        <v>0.21199999999999999</v>
      </c>
      <c r="AC47" s="4">
        <f t="shared" si="25"/>
        <v>9.4835386001802373</v>
      </c>
      <c r="AD47" s="2">
        <f t="shared" si="26"/>
        <v>4.7726730051624299E-4</v>
      </c>
      <c r="AE47" s="51">
        <f t="shared" si="49"/>
        <v>4.7726730051624298</v>
      </c>
      <c r="AF47" s="10">
        <f t="shared" si="54"/>
        <v>0.13356604965765762</v>
      </c>
      <c r="AG47" s="10">
        <f t="shared" si="55"/>
        <v>0.13356604965765762</v>
      </c>
      <c r="AH47" s="8">
        <f t="shared" si="50"/>
        <v>9.2516541974278628</v>
      </c>
      <c r="AI47" s="10">
        <f t="shared" si="56"/>
        <v>0.10506663900038049</v>
      </c>
      <c r="AJ47" s="10">
        <f t="shared" si="35"/>
        <v>0.11685805994606913</v>
      </c>
      <c r="AK47" s="10">
        <f t="shared" si="16"/>
        <v>0.11005589774221303</v>
      </c>
      <c r="AL47" s="162">
        <f t="shared" si="30"/>
        <v>0.11345697884414108</v>
      </c>
      <c r="AM47" s="178">
        <f t="shared" si="31"/>
        <v>2.0109070813516539E-2</v>
      </c>
      <c r="AQ47" s="1">
        <f t="shared" si="51"/>
        <v>0.13356604965765762</v>
      </c>
      <c r="AR47" s="1">
        <f t="shared" si="52"/>
        <v>0</v>
      </c>
      <c r="AS47" s="1">
        <f t="shared" si="53"/>
        <v>0</v>
      </c>
      <c r="AT47" s="1">
        <f t="shared" si="32"/>
        <v>9.6835386001802366</v>
      </c>
      <c r="AU47" s="1">
        <f t="shared" si="33"/>
        <v>44.64</v>
      </c>
      <c r="AV47" s="8">
        <f t="shared" si="34"/>
        <v>9.4835386001802373</v>
      </c>
    </row>
    <row r="48" spans="1:48" ht="15" customHeight="1">
      <c r="A48" s="168">
        <v>49.24</v>
      </c>
      <c r="B48" s="98">
        <v>9.79484364156162</v>
      </c>
      <c r="C48" s="171">
        <v>1</v>
      </c>
      <c r="D48" s="8">
        <f t="shared" si="36"/>
        <v>9.5948436415616207</v>
      </c>
      <c r="E48" s="8">
        <f t="shared" si="37"/>
        <v>9.3730939988423625</v>
      </c>
      <c r="F48" s="8">
        <f t="shared" si="38"/>
        <v>0.22174964271925823</v>
      </c>
      <c r="G48" s="8">
        <f t="shared" si="39"/>
        <v>0</v>
      </c>
      <c r="H48" s="8"/>
      <c r="I48" s="8">
        <f t="shared" si="40"/>
        <v>-0.22174964271925823</v>
      </c>
      <c r="J48" s="8">
        <f t="shared" si="41"/>
        <v>9.3730939988423625</v>
      </c>
      <c r="K48" s="8">
        <f t="shared" si="6"/>
        <v>0.22174964271925823</v>
      </c>
      <c r="L48" s="8"/>
      <c r="M48" s="8">
        <f t="shared" si="42"/>
        <v>0</v>
      </c>
      <c r="N48" s="8">
        <f t="shared" si="43"/>
        <v>-0.22174964271925823</v>
      </c>
      <c r="O48" s="8">
        <f t="shared" si="44"/>
        <v>9.3730939988423625</v>
      </c>
      <c r="P48" s="8"/>
      <c r="Q48" s="8">
        <f t="shared" si="45"/>
        <v>0.22174964271925823</v>
      </c>
      <c r="R48" s="8"/>
      <c r="S48" s="9">
        <f t="shared" si="46"/>
        <v>4.9172904046118675E-2</v>
      </c>
      <c r="T48" s="165">
        <f t="shared" si="20"/>
        <v>1</v>
      </c>
      <c r="U48" s="163">
        <f t="shared" si="21"/>
        <v>4.9172904046118675E-2</v>
      </c>
      <c r="V48" s="8">
        <f t="shared" si="47"/>
        <v>0.55372820271806411</v>
      </c>
      <c r="X48" s="8">
        <f t="shared" si="48"/>
        <v>14.399250655627558</v>
      </c>
      <c r="Z48" s="2">
        <f t="shared" si="22"/>
        <v>0.19500000000000001</v>
      </c>
      <c r="AA48" s="4">
        <f t="shared" si="23"/>
        <v>49.24</v>
      </c>
      <c r="AB48" s="46">
        <f t="shared" si="24"/>
        <v>0.19500000000000001</v>
      </c>
      <c r="AC48" s="4">
        <f t="shared" si="25"/>
        <v>9.5948436415616207</v>
      </c>
      <c r="AD48" s="2">
        <f t="shared" si="26"/>
        <v>4.3268099705615526E-4</v>
      </c>
      <c r="AE48" s="51">
        <f t="shared" si="49"/>
        <v>4.3268099705615528</v>
      </c>
      <c r="AF48" s="10">
        <f t="shared" si="54"/>
        <v>0.11130504138138342</v>
      </c>
      <c r="AG48" s="10">
        <f t="shared" si="55"/>
        <v>0.11130504138138342</v>
      </c>
      <c r="AH48" s="8">
        <f t="shared" si="50"/>
        <v>9.3730939988423625</v>
      </c>
      <c r="AI48" s="10">
        <f t="shared" si="56"/>
        <v>0.12143980141449973</v>
      </c>
      <c r="AJ48" s="10">
        <f t="shared" si="35"/>
        <v>0.11268747381415078</v>
      </c>
      <c r="AK48" s="10">
        <f t="shared" si="16"/>
        <v>0.10792258225184082</v>
      </c>
      <c r="AL48" s="162">
        <f t="shared" si="30"/>
        <v>0.1103050280329958</v>
      </c>
      <c r="AM48" s="178">
        <f t="shared" si="31"/>
        <v>1.0000133483876184E-3</v>
      </c>
      <c r="AQ48" s="1">
        <f t="shared" si="51"/>
        <v>0.11130504138138342</v>
      </c>
      <c r="AR48" s="1">
        <f t="shared" si="52"/>
        <v>0</v>
      </c>
      <c r="AS48" s="1">
        <f t="shared" si="53"/>
        <v>0</v>
      </c>
      <c r="AT48" s="1">
        <f t="shared" si="32"/>
        <v>9.79484364156162</v>
      </c>
      <c r="AU48" s="1">
        <f t="shared" si="33"/>
        <v>49.24</v>
      </c>
      <c r="AV48" s="8">
        <f t="shared" si="34"/>
        <v>9.5948436415616207</v>
      </c>
    </row>
    <row r="49" spans="1:48" ht="15" customHeight="1">
      <c r="A49" s="168">
        <v>53.96</v>
      </c>
      <c r="B49" s="98">
        <v>9.9061486829429999</v>
      </c>
      <c r="C49" s="171">
        <v>1</v>
      </c>
      <c r="D49" s="8">
        <f t="shared" si="36"/>
        <v>9.7061486829430006</v>
      </c>
      <c r="E49" s="8">
        <f t="shared" si="37"/>
        <v>9.4819994424332918</v>
      </c>
      <c r="F49" s="8">
        <f t="shared" si="38"/>
        <v>0.22414924050970875</v>
      </c>
      <c r="G49" s="8">
        <f t="shared" si="39"/>
        <v>0</v>
      </c>
      <c r="H49" s="8"/>
      <c r="I49" s="8">
        <f t="shared" si="40"/>
        <v>-0.22414924050970875</v>
      </c>
      <c r="J49" s="8">
        <f t="shared" si="41"/>
        <v>9.4819994424332918</v>
      </c>
      <c r="K49" s="8">
        <f t="shared" si="6"/>
        <v>0.22414924050970875</v>
      </c>
      <c r="L49" s="8"/>
      <c r="M49" s="8">
        <f t="shared" si="42"/>
        <v>0</v>
      </c>
      <c r="N49" s="8">
        <f t="shared" si="43"/>
        <v>-0.22414924050970875</v>
      </c>
      <c r="O49" s="8">
        <f t="shared" si="44"/>
        <v>9.4819994424332918</v>
      </c>
      <c r="P49" s="8"/>
      <c r="Q49" s="8">
        <f t="shared" si="45"/>
        <v>0.22414924050970875</v>
      </c>
      <c r="R49" s="8"/>
      <c r="S49" s="9">
        <f t="shared" si="46"/>
        <v>5.0242882021079259E-2</v>
      </c>
      <c r="T49" s="165">
        <f t="shared" si="20"/>
        <v>1</v>
      </c>
      <c r="U49" s="163">
        <f t="shared" si="21"/>
        <v>5.0242882021079259E-2</v>
      </c>
      <c r="V49" s="8">
        <f t="shared" si="47"/>
        <v>0.54855122404916279</v>
      </c>
      <c r="X49" s="8">
        <f t="shared" si="48"/>
        <v>15.779520011731581</v>
      </c>
      <c r="Z49" s="2">
        <f t="shared" si="22"/>
        <v>0.18</v>
      </c>
      <c r="AA49" s="4">
        <f t="shared" si="23"/>
        <v>53.96</v>
      </c>
      <c r="AB49" s="46">
        <f t="shared" si="24"/>
        <v>0.18</v>
      </c>
      <c r="AC49" s="4">
        <f t="shared" si="25"/>
        <v>9.7061486829430006</v>
      </c>
      <c r="AD49" s="2">
        <f t="shared" si="26"/>
        <v>3.9483343763982735E-4</v>
      </c>
      <c r="AE49" s="51">
        <f t="shared" si="49"/>
        <v>3.9483343763982734</v>
      </c>
      <c r="AF49" s="10">
        <f t="shared" si="54"/>
        <v>0.11130504138137987</v>
      </c>
      <c r="AG49" s="10">
        <f t="shared" si="55"/>
        <v>0.11130504138137987</v>
      </c>
      <c r="AH49" s="8">
        <f t="shared" si="50"/>
        <v>9.4819994424332918</v>
      </c>
      <c r="AI49" s="10">
        <f t="shared" si="56"/>
        <v>0.10890544359092935</v>
      </c>
      <c r="AJ49" s="10">
        <f t="shared" si="35"/>
        <v>0.11146898382843062</v>
      </c>
      <c r="AK49" s="10">
        <f t="shared" si="16"/>
        <v>0.10344216280364016</v>
      </c>
      <c r="AL49" s="162">
        <f t="shared" si="30"/>
        <v>0.10745557331603539</v>
      </c>
      <c r="AM49" s="178">
        <f t="shared" si="31"/>
        <v>3.8494680653444746E-3</v>
      </c>
      <c r="AQ49" s="1">
        <f t="shared" si="51"/>
        <v>0.11130504138137987</v>
      </c>
      <c r="AR49" s="1">
        <f t="shared" si="52"/>
        <v>0</v>
      </c>
      <c r="AS49" s="1">
        <f t="shared" si="53"/>
        <v>0</v>
      </c>
      <c r="AT49" s="1">
        <f t="shared" si="32"/>
        <v>9.9061486829429999</v>
      </c>
      <c r="AU49" s="1">
        <f t="shared" si="33"/>
        <v>53.96</v>
      </c>
      <c r="AV49" s="8">
        <f t="shared" si="34"/>
        <v>9.7061486829430006</v>
      </c>
    </row>
    <row r="50" spans="1:48" ht="15" customHeight="1">
      <c r="A50" s="168">
        <v>59.13</v>
      </c>
      <c r="B50" s="98">
        <v>9.9951927160481056</v>
      </c>
      <c r="C50" s="171">
        <v>1</v>
      </c>
      <c r="D50" s="8">
        <f t="shared" si="36"/>
        <v>9.7951927160481063</v>
      </c>
      <c r="E50" s="8">
        <f t="shared" si="37"/>
        <v>9.5868111493963344</v>
      </c>
      <c r="F50" s="8">
        <f t="shared" si="38"/>
        <v>0.20838156665177188</v>
      </c>
      <c r="G50" s="8">
        <f t="shared" si="39"/>
        <v>0</v>
      </c>
      <c r="H50" s="8"/>
      <c r="I50" s="8">
        <f t="shared" si="40"/>
        <v>-0.20838156665177188</v>
      </c>
      <c r="J50" s="8">
        <f t="shared" si="41"/>
        <v>9.5868111493963344</v>
      </c>
      <c r="K50" s="8">
        <f t="shared" si="6"/>
        <v>0.20838156665177188</v>
      </c>
      <c r="L50" s="8"/>
      <c r="M50" s="8">
        <f t="shared" si="42"/>
        <v>0</v>
      </c>
      <c r="N50" s="8">
        <f t="shared" si="43"/>
        <v>-0.20838156665177188</v>
      </c>
      <c r="O50" s="8">
        <f t="shared" si="44"/>
        <v>9.5868111493963344</v>
      </c>
      <c r="P50" s="8"/>
      <c r="Q50" s="8">
        <f t="shared" si="45"/>
        <v>0.20838156665177188</v>
      </c>
      <c r="R50" s="8"/>
      <c r="S50" s="9">
        <f t="shared" si="46"/>
        <v>4.3422877320246848E-2</v>
      </c>
      <c r="T50" s="165">
        <f t="shared" si="20"/>
        <v>1</v>
      </c>
      <c r="U50" s="163">
        <f t="shared" si="21"/>
        <v>4.3422877320246848E-2</v>
      </c>
      <c r="V50" s="8">
        <f t="shared" si="47"/>
        <v>0.54440964111404155</v>
      </c>
      <c r="X50" s="8">
        <f t="shared" si="48"/>
        <v>17.291382844582809</v>
      </c>
      <c r="Z50" s="2">
        <f t="shared" si="22"/>
        <v>0.16600000000000001</v>
      </c>
      <c r="AA50" s="4">
        <f t="shared" si="23"/>
        <v>59.13</v>
      </c>
      <c r="AB50" s="46">
        <f t="shared" si="24"/>
        <v>0.16600000000000001</v>
      </c>
      <c r="AC50" s="4">
        <f t="shared" si="25"/>
        <v>9.7951927160481063</v>
      </c>
      <c r="AD50" s="2">
        <f t="shared" si="26"/>
        <v>3.6031138669110577E-4</v>
      </c>
      <c r="AE50" s="51">
        <f t="shared" si="49"/>
        <v>3.6031138669110576</v>
      </c>
      <c r="AF50" s="10">
        <f t="shared" si="54"/>
        <v>8.9044033105105669E-2</v>
      </c>
      <c r="AG50" s="10">
        <f t="shared" si="55"/>
        <v>8.9044033105105669E-2</v>
      </c>
      <c r="AH50" s="8">
        <f t="shared" si="50"/>
        <v>9.5868111493963344</v>
      </c>
      <c r="AI50" s="10">
        <f t="shared" si="56"/>
        <v>0.10481170696304254</v>
      </c>
      <c r="AJ50" s="10">
        <f t="shared" si="35"/>
        <v>0.11005589774221303</v>
      </c>
      <c r="AK50" s="10">
        <f t="shared" si="16"/>
        <v>9.7225520274874633E-2</v>
      </c>
      <c r="AL50" s="162">
        <f t="shared" si="30"/>
        <v>0.10364070900854383</v>
      </c>
      <c r="AM50" s="178">
        <f t="shared" si="31"/>
        <v>1.4596675903438161E-2</v>
      </c>
      <c r="AQ50" s="1">
        <f t="shared" si="51"/>
        <v>8.9044033105105669E-2</v>
      </c>
      <c r="AR50" s="1">
        <f t="shared" si="52"/>
        <v>0</v>
      </c>
      <c r="AS50" s="1">
        <f t="shared" si="53"/>
        <v>0</v>
      </c>
      <c r="AT50" s="1">
        <f t="shared" si="32"/>
        <v>9.9951927160481056</v>
      </c>
      <c r="AU50" s="1">
        <f t="shared" si="33"/>
        <v>59.13</v>
      </c>
      <c r="AV50" s="8">
        <f t="shared" si="34"/>
        <v>9.7951927160481063</v>
      </c>
    </row>
    <row r="51" spans="1:48" ht="15" customHeight="1">
      <c r="A51" s="168">
        <v>64.53</v>
      </c>
      <c r="B51" s="98">
        <v>10.106497757429489</v>
      </c>
      <c r="C51" s="171">
        <v>1</v>
      </c>
      <c r="D51" s="8">
        <f t="shared" si="36"/>
        <v>9.9064977574294897</v>
      </c>
      <c r="E51" s="8">
        <f t="shared" si="37"/>
        <v>9.683344526435226</v>
      </c>
      <c r="F51" s="8">
        <f t="shared" si="38"/>
        <v>0.22315323099426365</v>
      </c>
      <c r="G51" s="8">
        <f t="shared" si="39"/>
        <v>0</v>
      </c>
      <c r="H51" s="8"/>
      <c r="I51" s="8">
        <f t="shared" si="40"/>
        <v>-0.22315323099426365</v>
      </c>
      <c r="J51" s="8">
        <f t="shared" si="41"/>
        <v>9.683344526435226</v>
      </c>
      <c r="K51" s="8">
        <f t="shared" si="6"/>
        <v>0.22315323099426365</v>
      </c>
      <c r="L51" s="8"/>
      <c r="M51" s="8">
        <f t="shared" si="42"/>
        <v>0</v>
      </c>
      <c r="N51" s="8">
        <f t="shared" si="43"/>
        <v>-0.22315323099426365</v>
      </c>
      <c r="O51" s="8">
        <f t="shared" si="44"/>
        <v>9.683344526435226</v>
      </c>
      <c r="P51" s="8"/>
      <c r="Q51" s="8">
        <f t="shared" si="45"/>
        <v>0.22315323099426365</v>
      </c>
      <c r="R51" s="8"/>
      <c r="S51" s="9">
        <f t="shared" si="46"/>
        <v>4.9797364503179189E-2</v>
      </c>
      <c r="T51" s="165">
        <f t="shared" si="20"/>
        <v>1</v>
      </c>
      <c r="U51" s="163">
        <f t="shared" si="21"/>
        <v>4.9797364503179189E-2</v>
      </c>
      <c r="V51" s="8">
        <f t="shared" si="47"/>
        <v>0.53923266244514001</v>
      </c>
      <c r="X51" s="8">
        <f t="shared" si="48"/>
        <v>18.870504565549275</v>
      </c>
      <c r="Z51" s="2">
        <f t="shared" si="22"/>
        <v>0.154</v>
      </c>
      <c r="AA51" s="4">
        <f t="shared" si="23"/>
        <v>64.53</v>
      </c>
      <c r="AB51" s="46">
        <f t="shared" si="24"/>
        <v>0.154</v>
      </c>
      <c r="AC51" s="4">
        <f t="shared" si="25"/>
        <v>9.9064977574294897</v>
      </c>
      <c r="AD51" s="2">
        <f t="shared" si="26"/>
        <v>3.3015980621486262E-4</v>
      </c>
      <c r="AE51" s="51">
        <f t="shared" si="49"/>
        <v>3.3015980621486261</v>
      </c>
      <c r="AF51" s="10">
        <f t="shared" si="54"/>
        <v>0.11130504138138342</v>
      </c>
      <c r="AG51" s="10">
        <f t="shared" si="55"/>
        <v>0.11130504138138342</v>
      </c>
      <c r="AH51" s="8">
        <f t="shared" si="50"/>
        <v>9.683344526435226</v>
      </c>
      <c r="AI51" s="10">
        <f t="shared" si="56"/>
        <v>9.6533377038891643E-2</v>
      </c>
      <c r="AJ51" s="10">
        <f t="shared" si="35"/>
        <v>0.10792258225184082</v>
      </c>
      <c r="AK51" s="10">
        <f t="shared" si="16"/>
        <v>9.4892863526263582E-2</v>
      </c>
      <c r="AL51" s="162">
        <f t="shared" si="30"/>
        <v>0.1014077228890522</v>
      </c>
      <c r="AM51" s="178">
        <f t="shared" si="31"/>
        <v>9.8973184923312196E-3</v>
      </c>
      <c r="AQ51" s="1">
        <f t="shared" si="51"/>
        <v>0.11130504138138342</v>
      </c>
      <c r="AR51" s="1">
        <f t="shared" si="52"/>
        <v>0</v>
      </c>
      <c r="AS51" s="1">
        <f t="shared" si="53"/>
        <v>0</v>
      </c>
      <c r="AT51" s="1">
        <f t="shared" si="32"/>
        <v>10.106497757429489</v>
      </c>
      <c r="AU51" s="1">
        <f t="shared" si="33"/>
        <v>64.53</v>
      </c>
      <c r="AV51" s="8">
        <f t="shared" si="34"/>
        <v>9.9064977574294897</v>
      </c>
    </row>
    <row r="52" spans="1:48" ht="15" customHeight="1">
      <c r="A52" s="168">
        <v>71.12</v>
      </c>
      <c r="B52" s="98">
        <v>10.195541790534593</v>
      </c>
      <c r="C52" s="171">
        <v>0</v>
      </c>
      <c r="D52" s="8">
        <f t="shared" si="36"/>
        <v>9.9955417905345936</v>
      </c>
      <c r="E52" s="8">
        <f t="shared" si="37"/>
        <v>9.7868626500569231</v>
      </c>
      <c r="F52" s="8">
        <f t="shared" si="38"/>
        <v>0.20867914047767044</v>
      </c>
      <c r="G52" s="8">
        <f t="shared" si="39"/>
        <v>0</v>
      </c>
      <c r="H52" s="8"/>
      <c r="I52" s="8">
        <f t="shared" si="40"/>
        <v>-0.20867914047767044</v>
      </c>
      <c r="J52" s="8">
        <f t="shared" si="41"/>
        <v>9.7868626500569231</v>
      </c>
      <c r="K52" s="8">
        <f t="shared" si="6"/>
        <v>0.20867914047767044</v>
      </c>
      <c r="L52" s="8"/>
      <c r="M52" s="8">
        <f t="shared" si="42"/>
        <v>0</v>
      </c>
      <c r="N52" s="8">
        <f t="shared" si="43"/>
        <v>-0.20867914047767044</v>
      </c>
      <c r="O52" s="8">
        <f t="shared" si="44"/>
        <v>9.7868626500569231</v>
      </c>
      <c r="P52" s="8"/>
      <c r="Q52" s="8">
        <f t="shared" si="45"/>
        <v>0.20867914047767044</v>
      </c>
      <c r="R52" s="8"/>
      <c r="S52" s="9">
        <f t="shared" si="46"/>
        <v>4.3546983670499313E-2</v>
      </c>
      <c r="T52" s="165">
        <f t="shared" si="20"/>
        <v>0</v>
      </c>
      <c r="U52" s="163">
        <f t="shared" si="21"/>
        <v>0</v>
      </c>
      <c r="V52" s="8">
        <f t="shared" si="47"/>
        <v>0.53509107951001889</v>
      </c>
      <c r="X52" s="8">
        <f t="shared" si="48"/>
        <v>20.797617925025019</v>
      </c>
      <c r="Z52" s="2">
        <f t="shared" si="22"/>
        <v>0.14099999999999999</v>
      </c>
      <c r="AA52" s="4">
        <f t="shared" si="23"/>
        <v>71.12</v>
      </c>
      <c r="AB52" s="46">
        <f t="shared" si="24"/>
        <v>0.14099999999999999</v>
      </c>
      <c r="AC52" s="4">
        <f t="shared" si="25"/>
        <v>9.9955417905345936</v>
      </c>
      <c r="AD52" s="2">
        <f t="shared" si="26"/>
        <v>2.9956710201132006E-4</v>
      </c>
      <c r="AE52" s="51">
        <f t="shared" si="49"/>
        <v>2.9956710201132006</v>
      </c>
      <c r="AF52" s="10">
        <f t="shared" si="54"/>
        <v>8.9044033105103892E-2</v>
      </c>
      <c r="AG52" s="10">
        <f t="shared" si="55"/>
        <v>8.9044033105103892E-2</v>
      </c>
      <c r="AH52" s="8">
        <f t="shared" si="50"/>
        <v>9.7868626500569231</v>
      </c>
      <c r="AI52" s="10">
        <f t="shared" si="56"/>
        <v>0.1035181236216971</v>
      </c>
      <c r="AJ52" s="10">
        <f t="shared" si="35"/>
        <v>0.10344216280364016</v>
      </c>
      <c r="AK52" s="10">
        <f t="shared" si="16"/>
        <v>9.234319751840081E-2</v>
      </c>
      <c r="AL52" s="162">
        <f t="shared" si="30"/>
        <v>9.7892680161020484E-2</v>
      </c>
      <c r="AM52" s="178">
        <f t="shared" si="31"/>
        <v>9.289268016102048E-2</v>
      </c>
      <c r="AQ52" s="1">
        <f t="shared" si="51"/>
        <v>5.0000000000000001E-3</v>
      </c>
      <c r="AR52" s="1">
        <f t="shared" si="52"/>
        <v>1</v>
      </c>
      <c r="AS52" s="1">
        <f t="shared" si="53"/>
        <v>8.9044033105103892E-2</v>
      </c>
      <c r="AT52" s="1">
        <f t="shared" si="32"/>
        <v>10.195541790534593</v>
      </c>
      <c r="AU52" s="1">
        <f t="shared" si="33"/>
        <v>71.12</v>
      </c>
      <c r="AV52" s="8">
        <f t="shared" si="34"/>
        <v>0.01</v>
      </c>
    </row>
    <row r="53" spans="1:48" ht="15" customHeight="1">
      <c r="A53" s="168">
        <v>77.180000000000007</v>
      </c>
      <c r="B53" s="98">
        <v>10.284585823639699</v>
      </c>
      <c r="C53" s="171">
        <v>0</v>
      </c>
      <c r="D53" s="8">
        <f t="shared" si="36"/>
        <v>10.084585823639699</v>
      </c>
      <c r="E53" s="8">
        <f t="shared" si="37"/>
        <v>9.8709015235327904</v>
      </c>
      <c r="F53" s="8">
        <f t="shared" si="38"/>
        <v>0.21368430010690886</v>
      </c>
      <c r="G53" s="8">
        <f t="shared" si="39"/>
        <v>0</v>
      </c>
      <c r="H53" s="8"/>
      <c r="I53" s="8">
        <f t="shared" si="40"/>
        <v>-0.21368430010690886</v>
      </c>
      <c r="J53" s="8">
        <f t="shared" si="41"/>
        <v>9.8709015235327904</v>
      </c>
      <c r="K53" s="8">
        <f t="shared" si="6"/>
        <v>0.21368430010690886</v>
      </c>
      <c r="L53" s="8"/>
      <c r="M53" s="8">
        <f t="shared" si="42"/>
        <v>0</v>
      </c>
      <c r="N53" s="8">
        <f t="shared" si="43"/>
        <v>-0.21368430010690886</v>
      </c>
      <c r="O53" s="8">
        <f t="shared" si="44"/>
        <v>9.8709015235327904</v>
      </c>
      <c r="P53" s="8"/>
      <c r="Q53" s="8">
        <f t="shared" si="45"/>
        <v>0.21368430010690886</v>
      </c>
      <c r="R53" s="8"/>
      <c r="S53" s="9">
        <f t="shared" si="46"/>
        <v>4.5660980112179492E-2</v>
      </c>
      <c r="T53" s="165">
        <f t="shared" si="20"/>
        <v>0</v>
      </c>
      <c r="U53" s="163">
        <f t="shared" si="21"/>
        <v>0</v>
      </c>
      <c r="V53" s="8">
        <f t="shared" si="47"/>
        <v>0.53094949657489776</v>
      </c>
      <c r="X53" s="8">
        <f t="shared" si="48"/>
        <v>22.569743411887387</v>
      </c>
      <c r="Z53" s="2">
        <f t="shared" si="22"/>
        <v>0.13100000000000001</v>
      </c>
      <c r="AA53" s="4">
        <f t="shared" si="23"/>
        <v>77.180000000000007</v>
      </c>
      <c r="AB53" s="46">
        <f t="shared" si="24"/>
        <v>0.13100000000000001</v>
      </c>
      <c r="AC53" s="4">
        <f t="shared" si="25"/>
        <v>10.084585823639699</v>
      </c>
      <c r="AD53" s="2">
        <f t="shared" si="26"/>
        <v>2.7604576697389324E-4</v>
      </c>
      <c r="AE53" s="51">
        <f t="shared" si="49"/>
        <v>2.7604576697389325</v>
      </c>
      <c r="AF53" s="10">
        <f t="shared" si="54"/>
        <v>8.9044033105105669E-2</v>
      </c>
      <c r="AG53" s="10">
        <f t="shared" si="55"/>
        <v>8.9044033105105669E-2</v>
      </c>
      <c r="AH53" s="8">
        <f t="shared" si="50"/>
        <v>9.8709015235327904</v>
      </c>
      <c r="AI53" s="10">
        <f t="shared" si="56"/>
        <v>8.4038873475867248E-2</v>
      </c>
      <c r="AJ53" s="10">
        <f t="shared" si="35"/>
        <v>9.7225520274874633E-2</v>
      </c>
      <c r="AK53" s="10">
        <f t="shared" si="16"/>
        <v>8.7476220905029933E-2</v>
      </c>
      <c r="AL53" s="162">
        <f t="shared" si="30"/>
        <v>9.2350870589952283E-2</v>
      </c>
      <c r="AM53" s="178">
        <f t="shared" si="31"/>
        <v>8.7350870589952279E-2</v>
      </c>
      <c r="AQ53" s="1">
        <f t="shared" si="51"/>
        <v>5.0000000000000001E-3</v>
      </c>
      <c r="AR53" s="1">
        <f t="shared" si="52"/>
        <v>1</v>
      </c>
      <c r="AS53" s="1">
        <f t="shared" si="53"/>
        <v>8.9044033105105669E-2</v>
      </c>
      <c r="AT53" s="1">
        <f t="shared" si="32"/>
        <v>10.284585823639699</v>
      </c>
      <c r="AU53" s="1">
        <f t="shared" si="33"/>
        <v>77.180000000000007</v>
      </c>
      <c r="AV53" s="8">
        <f t="shared" si="34"/>
        <v>0.01</v>
      </c>
    </row>
    <row r="54" spans="1:48" ht="15" customHeight="1">
      <c r="A54" s="168">
        <v>84.97</v>
      </c>
      <c r="B54" s="98">
        <v>10.373629856744804</v>
      </c>
      <c r="C54" s="171">
        <v>0</v>
      </c>
      <c r="D54" s="8">
        <f t="shared" si="36"/>
        <v>10.173629856744805</v>
      </c>
      <c r="E54" s="8">
        <f t="shared" si="37"/>
        <v>9.9663826035013887</v>
      </c>
      <c r="F54" s="8">
        <f t="shared" si="38"/>
        <v>0.2072472532434162</v>
      </c>
      <c r="G54" s="8">
        <f t="shared" si="39"/>
        <v>0</v>
      </c>
      <c r="H54" s="8"/>
      <c r="I54" s="8">
        <f t="shared" si="40"/>
        <v>-0.2072472532434162</v>
      </c>
      <c r="J54" s="8">
        <f t="shared" si="41"/>
        <v>9.9663826035013887</v>
      </c>
      <c r="K54" s="8">
        <f t="shared" si="6"/>
        <v>0.2072472532434162</v>
      </c>
      <c r="L54" s="8"/>
      <c r="M54" s="8">
        <f t="shared" si="42"/>
        <v>0</v>
      </c>
      <c r="N54" s="8">
        <f t="shared" si="43"/>
        <v>-0.2072472532434162</v>
      </c>
      <c r="O54" s="8">
        <f t="shared" si="44"/>
        <v>9.9663826035013887</v>
      </c>
      <c r="P54" s="8"/>
      <c r="Q54" s="8">
        <f t="shared" si="45"/>
        <v>0.2072472532434162</v>
      </c>
      <c r="R54" s="8"/>
      <c r="S54" s="9">
        <f t="shared" si="46"/>
        <v>4.2951423976940684E-2</v>
      </c>
      <c r="T54" s="165">
        <f t="shared" si="20"/>
        <v>0</v>
      </c>
      <c r="U54" s="163">
        <f t="shared" si="21"/>
        <v>0</v>
      </c>
      <c r="V54" s="8">
        <f t="shared" si="47"/>
        <v>0.52680791363977653</v>
      </c>
      <c r="X54" s="8">
        <f t="shared" si="48"/>
        <v>24.847772709355677</v>
      </c>
      <c r="Z54" s="2">
        <f t="shared" si="22"/>
        <v>0.12</v>
      </c>
      <c r="AA54" s="4">
        <f t="shared" si="23"/>
        <v>84.97</v>
      </c>
      <c r="AB54" s="46">
        <f t="shared" si="24"/>
        <v>0.12</v>
      </c>
      <c r="AC54" s="4">
        <f t="shared" si="25"/>
        <v>10.173629856744805</v>
      </c>
      <c r="AD54" s="2">
        <f t="shared" si="26"/>
        <v>2.5073805219542292E-4</v>
      </c>
      <c r="AE54" s="51">
        <f t="shared" si="49"/>
        <v>2.5073805219542291</v>
      </c>
      <c r="AF54" s="10">
        <f t="shared" si="54"/>
        <v>8.9044033105105669E-2</v>
      </c>
      <c r="AG54" s="10">
        <f t="shared" si="55"/>
        <v>8.9044033105105669E-2</v>
      </c>
      <c r="AH54" s="8">
        <f t="shared" si="50"/>
        <v>9.9663826035013887</v>
      </c>
      <c r="AI54" s="10">
        <f t="shared" si="56"/>
        <v>9.5481079968598337E-2</v>
      </c>
      <c r="AJ54" s="10">
        <f t="shared" si="35"/>
        <v>9.4892863526263582E-2</v>
      </c>
      <c r="AK54" s="10">
        <f t="shared" si="16"/>
        <v>8.5660141058144568E-2</v>
      </c>
      <c r="AL54" s="162">
        <f t="shared" si="30"/>
        <v>9.0276502292204075E-2</v>
      </c>
      <c r="AM54" s="178">
        <f t="shared" si="31"/>
        <v>8.5276502292204071E-2</v>
      </c>
      <c r="AQ54" s="1">
        <f t="shared" si="51"/>
        <v>5.0000000000000001E-3</v>
      </c>
      <c r="AR54" s="1">
        <f t="shared" si="52"/>
        <v>1</v>
      </c>
      <c r="AS54" s="1">
        <f t="shared" si="53"/>
        <v>8.9044033105105669E-2</v>
      </c>
      <c r="AT54" s="1">
        <f t="shared" si="32"/>
        <v>10.373629856744804</v>
      </c>
      <c r="AU54" s="1">
        <f t="shared" si="33"/>
        <v>84.97</v>
      </c>
      <c r="AV54" s="8">
        <f t="shared" si="34"/>
        <v>0.01</v>
      </c>
    </row>
    <row r="55" spans="1:48" ht="15" customHeight="1">
      <c r="A55" s="168">
        <v>92.98</v>
      </c>
      <c r="B55" s="98">
        <v>10.462673889849908</v>
      </c>
      <c r="C55" s="171">
        <v>0</v>
      </c>
      <c r="D55" s="8">
        <f t="shared" si="36"/>
        <v>10.262673889849909</v>
      </c>
      <c r="E55" s="8">
        <f t="shared" si="37"/>
        <v>10.052717316508829</v>
      </c>
      <c r="F55" s="8">
        <f t="shared" si="38"/>
        <v>0.20995657334107953</v>
      </c>
      <c r="G55" s="8">
        <f t="shared" si="39"/>
        <v>0</v>
      </c>
      <c r="H55" s="8"/>
      <c r="I55" s="8">
        <f t="shared" si="40"/>
        <v>-0.20995657334107953</v>
      </c>
      <c r="J55" s="8">
        <f t="shared" si="41"/>
        <v>10.052717316508829</v>
      </c>
      <c r="K55" s="8">
        <f t="shared" si="6"/>
        <v>0.20995657334107953</v>
      </c>
      <c r="L55" s="8"/>
      <c r="M55" s="8">
        <f t="shared" si="42"/>
        <v>0</v>
      </c>
      <c r="N55" s="8">
        <f t="shared" si="43"/>
        <v>-0.20995657334107953</v>
      </c>
      <c r="O55" s="8">
        <f t="shared" si="44"/>
        <v>10.052717316508829</v>
      </c>
      <c r="P55" s="8"/>
      <c r="Q55" s="8">
        <f t="shared" si="45"/>
        <v>0.20995657334107953</v>
      </c>
      <c r="R55" s="8"/>
      <c r="S55" s="9">
        <f t="shared" si="46"/>
        <v>4.4081762689128112E-2</v>
      </c>
      <c r="T55" s="165">
        <f t="shared" si="20"/>
        <v>0</v>
      </c>
      <c r="U55" s="163">
        <f t="shared" si="21"/>
        <v>0</v>
      </c>
      <c r="V55" s="8">
        <f t="shared" si="47"/>
        <v>0.5226663307046554</v>
      </c>
      <c r="X55" s="8">
        <f t="shared" si="48"/>
        <v>27.19013659545594</v>
      </c>
      <c r="Z55" s="2">
        <f t="shared" si="22"/>
        <v>0.11</v>
      </c>
      <c r="AA55" s="4">
        <f t="shared" si="23"/>
        <v>92.98</v>
      </c>
      <c r="AB55" s="46">
        <f t="shared" si="24"/>
        <v>0.11</v>
      </c>
      <c r="AC55" s="4">
        <f t="shared" si="25"/>
        <v>10.262673889849909</v>
      </c>
      <c r="AD55" s="2">
        <f t="shared" si="26"/>
        <v>2.29137581146968E-4</v>
      </c>
      <c r="AE55" s="51">
        <f t="shared" si="49"/>
        <v>2.2913758114696798</v>
      </c>
      <c r="AF55" s="10">
        <f t="shared" si="54"/>
        <v>8.9044033105103892E-2</v>
      </c>
      <c r="AG55" s="10">
        <f t="shared" si="55"/>
        <v>8.9044033105103892E-2</v>
      </c>
      <c r="AH55" s="8">
        <f t="shared" si="50"/>
        <v>10.052717316508829</v>
      </c>
      <c r="AI55" s="10">
        <f t="shared" si="56"/>
        <v>8.6334713007440556E-2</v>
      </c>
      <c r="AJ55" s="10">
        <f t="shared" si="35"/>
        <v>9.234319751840081E-2</v>
      </c>
      <c r="AK55" s="10">
        <f t="shared" si="16"/>
        <v>8.067274075638764E-2</v>
      </c>
      <c r="AL55" s="162">
        <f t="shared" si="30"/>
        <v>8.6507969137394225E-2</v>
      </c>
      <c r="AM55" s="178">
        <f t="shared" si="31"/>
        <v>8.1507969137394221E-2</v>
      </c>
      <c r="AQ55" s="1">
        <f t="shared" si="51"/>
        <v>5.0000000000000001E-3</v>
      </c>
      <c r="AR55" s="1">
        <f t="shared" si="52"/>
        <v>1</v>
      </c>
      <c r="AS55" s="1">
        <f t="shared" si="53"/>
        <v>8.9044033105103892E-2</v>
      </c>
      <c r="AT55" s="1">
        <f t="shared" si="32"/>
        <v>10.462673889849908</v>
      </c>
      <c r="AU55" s="1">
        <f t="shared" si="33"/>
        <v>92.98</v>
      </c>
      <c r="AV55" s="8">
        <f t="shared" si="34"/>
        <v>0.01</v>
      </c>
    </row>
    <row r="56" spans="1:48" ht="15" customHeight="1">
      <c r="A56" s="168">
        <v>101.81</v>
      </c>
      <c r="B56" s="98">
        <v>10.551717922955014</v>
      </c>
      <c r="C56" s="171">
        <v>0</v>
      </c>
      <c r="D56" s="8">
        <f t="shared" si="36"/>
        <v>10.351717922955014</v>
      </c>
      <c r="E56" s="8">
        <f t="shared" si="37"/>
        <v>10.136767533677043</v>
      </c>
      <c r="F56" s="8">
        <f t="shared" si="38"/>
        <v>0.21495038927797161</v>
      </c>
      <c r="G56" s="8">
        <f t="shared" si="39"/>
        <v>0</v>
      </c>
      <c r="H56" s="8"/>
      <c r="I56" s="8">
        <f t="shared" si="40"/>
        <v>-0.21495038927797161</v>
      </c>
      <c r="J56" s="8">
        <f t="shared" si="41"/>
        <v>10.136767533677043</v>
      </c>
      <c r="K56" s="8">
        <f t="shared" si="6"/>
        <v>0.21495038927797161</v>
      </c>
      <c r="L56" s="8"/>
      <c r="M56" s="8">
        <f t="shared" si="42"/>
        <v>0</v>
      </c>
      <c r="N56" s="8">
        <f t="shared" si="43"/>
        <v>-0.21495038927797161</v>
      </c>
      <c r="O56" s="8">
        <f t="shared" si="44"/>
        <v>10.136767533677043</v>
      </c>
      <c r="P56" s="8"/>
      <c r="Q56" s="8">
        <f t="shared" si="45"/>
        <v>0.21495038927797161</v>
      </c>
      <c r="R56" s="8"/>
      <c r="S56" s="9">
        <f t="shared" si="46"/>
        <v>4.6203669850751534E-2</v>
      </c>
      <c r="T56" s="165">
        <f t="shared" si="20"/>
        <v>0</v>
      </c>
      <c r="U56" s="163">
        <f t="shared" si="21"/>
        <v>0</v>
      </c>
      <c r="V56" s="8">
        <f t="shared" si="47"/>
        <v>0.51852474776953428</v>
      </c>
      <c r="X56" s="8">
        <f t="shared" si="48"/>
        <v>29.772293039184436</v>
      </c>
      <c r="Z56" s="2">
        <f t="shared" si="22"/>
        <v>0.10199999999999999</v>
      </c>
      <c r="AA56" s="4">
        <f t="shared" si="23"/>
        <v>101.81</v>
      </c>
      <c r="AB56" s="46">
        <f t="shared" si="24"/>
        <v>0.10199999999999999</v>
      </c>
      <c r="AC56" s="4">
        <f t="shared" si="25"/>
        <v>10.351717922955014</v>
      </c>
      <c r="AD56" s="2">
        <f t="shared" si="26"/>
        <v>2.0926443664713763E-4</v>
      </c>
      <c r="AE56" s="51">
        <f t="shared" si="49"/>
        <v>2.0926443664713763</v>
      </c>
      <c r="AF56" s="10">
        <f t="shared" si="54"/>
        <v>8.9044033105105669E-2</v>
      </c>
      <c r="AG56" s="10">
        <f t="shared" si="55"/>
        <v>8.9044033105105669E-2</v>
      </c>
      <c r="AH56" s="8">
        <f t="shared" si="50"/>
        <v>10.136767533677043</v>
      </c>
      <c r="AI56" s="10">
        <f t="shared" si="56"/>
        <v>8.4050217168213592E-2</v>
      </c>
      <c r="AJ56" s="10">
        <f t="shared" si="35"/>
        <v>8.7476220905029933E-2</v>
      </c>
      <c r="AK56" s="10">
        <f t="shared" si="16"/>
        <v>7.9772595459716822E-2</v>
      </c>
      <c r="AL56" s="162">
        <f t="shared" si="30"/>
        <v>8.3624408182373378E-2</v>
      </c>
      <c r="AM56" s="178">
        <f t="shared" si="31"/>
        <v>7.8624408182373373E-2</v>
      </c>
      <c r="AQ56" s="1">
        <f t="shared" si="51"/>
        <v>5.0000000000000001E-3</v>
      </c>
      <c r="AR56" s="1">
        <f t="shared" si="52"/>
        <v>1</v>
      </c>
      <c r="AS56" s="1">
        <f t="shared" si="53"/>
        <v>8.9044033105105669E-2</v>
      </c>
      <c r="AT56" s="1">
        <f t="shared" si="32"/>
        <v>10.551717922955014</v>
      </c>
      <c r="AU56" s="1">
        <f t="shared" si="33"/>
        <v>101.81</v>
      </c>
      <c r="AV56" s="8">
        <f t="shared" si="34"/>
        <v>0.01</v>
      </c>
    </row>
    <row r="57" spans="1:48" ht="15" customHeight="1">
      <c r="A57" s="168">
        <v>110.91</v>
      </c>
      <c r="B57" s="98">
        <v>10.663022964336397</v>
      </c>
      <c r="C57" s="171">
        <v>0</v>
      </c>
      <c r="D57" s="8">
        <f t="shared" si="36"/>
        <v>10.463022964336398</v>
      </c>
      <c r="E57" s="8">
        <f t="shared" si="37"/>
        <v>10.213542087765369</v>
      </c>
      <c r="F57" s="8">
        <f t="shared" si="38"/>
        <v>0.24948087657102924</v>
      </c>
      <c r="G57" s="8">
        <f t="shared" si="39"/>
        <v>0</v>
      </c>
      <c r="H57" s="8"/>
      <c r="I57" s="8">
        <f t="shared" si="40"/>
        <v>-0.24948087657102924</v>
      </c>
      <c r="J57" s="8">
        <f t="shared" si="41"/>
        <v>10.213542087765369</v>
      </c>
      <c r="K57" s="8">
        <f t="shared" si="6"/>
        <v>0.24948087657102924</v>
      </c>
      <c r="L57" s="8"/>
      <c r="M57" s="8">
        <f t="shared" si="42"/>
        <v>0</v>
      </c>
      <c r="N57" s="8">
        <f t="shared" si="43"/>
        <v>-0.24948087657102924</v>
      </c>
      <c r="O57" s="8">
        <f t="shared" si="44"/>
        <v>10.213542087765369</v>
      </c>
      <c r="P57" s="8"/>
      <c r="Q57" s="8">
        <f t="shared" si="45"/>
        <v>0.24948087657102924</v>
      </c>
      <c r="R57" s="8"/>
      <c r="S57" s="9">
        <f t="shared" si="46"/>
        <v>6.2240707774649129E-2</v>
      </c>
      <c r="T57" s="165">
        <f t="shared" si="20"/>
        <v>0</v>
      </c>
      <c r="U57" s="163">
        <f t="shared" si="21"/>
        <v>0</v>
      </c>
      <c r="V57" s="8">
        <f t="shared" si="47"/>
        <v>0.51334776910063273</v>
      </c>
      <c r="X57" s="8">
        <f t="shared" si="48"/>
        <v>32.433405568961263</v>
      </c>
      <c r="Z57" s="2">
        <f t="shared" si="22"/>
        <v>9.4E-2</v>
      </c>
      <c r="AA57" s="4">
        <f t="shared" si="23"/>
        <v>110.91</v>
      </c>
      <c r="AB57" s="46">
        <f t="shared" si="24"/>
        <v>9.4E-2</v>
      </c>
      <c r="AC57" s="4">
        <f t="shared" si="25"/>
        <v>10.463022964336398</v>
      </c>
      <c r="AD57" s="2">
        <f t="shared" si="26"/>
        <v>1.9209460188481729E-4</v>
      </c>
      <c r="AE57" s="51">
        <f t="shared" si="49"/>
        <v>1.9209460188481728</v>
      </c>
      <c r="AF57" s="10">
        <f t="shared" si="54"/>
        <v>0.11130504138138342</v>
      </c>
      <c r="AG57" s="10">
        <f t="shared" si="55"/>
        <v>0.11130504138138342</v>
      </c>
      <c r="AH57" s="8">
        <f t="shared" si="50"/>
        <v>10.213542087765369</v>
      </c>
      <c r="AI57" s="10">
        <f t="shared" si="56"/>
        <v>7.6774554088325786E-2</v>
      </c>
      <c r="AJ57" s="10">
        <f t="shared" si="35"/>
        <v>8.5660141058144568E-2</v>
      </c>
      <c r="AK57" s="10">
        <f t="shared" si="16"/>
        <v>7.6783766352088723E-2</v>
      </c>
      <c r="AL57" s="162">
        <f t="shared" si="30"/>
        <v>8.1221953705116645E-2</v>
      </c>
      <c r="AM57" s="178">
        <f t="shared" si="31"/>
        <v>7.6221953705116641E-2</v>
      </c>
      <c r="AQ57" s="1">
        <f t="shared" si="51"/>
        <v>5.0000000000000001E-3</v>
      </c>
      <c r="AR57" s="1">
        <f t="shared" si="52"/>
        <v>1</v>
      </c>
      <c r="AS57" s="1">
        <f t="shared" si="53"/>
        <v>0.11130504138138342</v>
      </c>
      <c r="AT57" s="1">
        <f t="shared" si="32"/>
        <v>10.663022964336397</v>
      </c>
      <c r="AU57" s="1">
        <f t="shared" si="33"/>
        <v>110.91</v>
      </c>
      <c r="AV57" s="8">
        <f t="shared" si="34"/>
        <v>0.01</v>
      </c>
    </row>
    <row r="58" spans="1:48" ht="15" customHeight="1">
      <c r="A58" s="168">
        <v>120.98</v>
      </c>
      <c r="B58" s="98">
        <v>10.752066997441501</v>
      </c>
      <c r="C58" s="171">
        <v>0</v>
      </c>
      <c r="D58" s="8">
        <f t="shared" si="36"/>
        <v>10.552066997441502</v>
      </c>
      <c r="E58" s="8">
        <f t="shared" si="37"/>
        <v>10.289073566526939</v>
      </c>
      <c r="F58" s="8">
        <f t="shared" si="38"/>
        <v>0.26299343091456251</v>
      </c>
      <c r="G58" s="8">
        <f t="shared" si="39"/>
        <v>0</v>
      </c>
      <c r="H58" s="8"/>
      <c r="I58" s="8">
        <f t="shared" si="40"/>
        <v>-0.26299343091456251</v>
      </c>
      <c r="J58" s="8">
        <f t="shared" si="41"/>
        <v>10.289073566526939</v>
      </c>
      <c r="K58" s="8">
        <f t="shared" si="6"/>
        <v>0.26299343091456251</v>
      </c>
      <c r="L58" s="8"/>
      <c r="M58" s="8">
        <f t="shared" si="42"/>
        <v>0</v>
      </c>
      <c r="N58" s="8">
        <f t="shared" si="43"/>
        <v>-0.26299343091456251</v>
      </c>
      <c r="O58" s="8">
        <f t="shared" si="44"/>
        <v>10.289073566526939</v>
      </c>
      <c r="P58" s="8"/>
      <c r="Q58" s="8">
        <f t="shared" si="45"/>
        <v>0.26299343091456251</v>
      </c>
      <c r="R58" s="8"/>
      <c r="S58" s="9">
        <f t="shared" si="46"/>
        <v>6.9165544704212767E-2</v>
      </c>
      <c r="T58" s="165">
        <f t="shared" si="20"/>
        <v>0</v>
      </c>
      <c r="U58" s="163">
        <f t="shared" si="21"/>
        <v>0</v>
      </c>
      <c r="V58" s="8">
        <f t="shared" si="47"/>
        <v>0.5092061861655115</v>
      </c>
      <c r="X58" s="8">
        <f t="shared" si="48"/>
        <v>35.378175148615391</v>
      </c>
      <c r="Z58" s="2">
        <f t="shared" si="22"/>
        <v>8.6999999999999994E-2</v>
      </c>
      <c r="AA58" s="4">
        <f t="shared" si="23"/>
        <v>120.98</v>
      </c>
      <c r="AB58" s="46">
        <f t="shared" si="24"/>
        <v>8.6999999999999994E-2</v>
      </c>
      <c r="AC58" s="4">
        <f t="shared" si="25"/>
        <v>10.552066997441502</v>
      </c>
      <c r="AD58" s="2">
        <f t="shared" si="26"/>
        <v>1.7610524297441798E-4</v>
      </c>
      <c r="AE58" s="51">
        <f t="shared" si="49"/>
        <v>1.7610524297441799</v>
      </c>
      <c r="AF58" s="10">
        <f t="shared" si="54"/>
        <v>8.9044033105103892E-2</v>
      </c>
      <c r="AG58" s="10">
        <f t="shared" si="55"/>
        <v>8.9044033105103892E-2</v>
      </c>
      <c r="AH58" s="8">
        <f t="shared" si="50"/>
        <v>10.289073566526939</v>
      </c>
      <c r="AI58" s="10">
        <f t="shared" si="56"/>
        <v>7.5531478761570625E-2</v>
      </c>
      <c r="AJ58" s="10">
        <f t="shared" si="35"/>
        <v>8.067274075638764E-2</v>
      </c>
      <c r="AK58" s="10">
        <f t="shared" si="16"/>
        <v>7.502376509411679E-2</v>
      </c>
      <c r="AL58" s="162">
        <f t="shared" si="30"/>
        <v>7.7848252925252215E-2</v>
      </c>
      <c r="AM58" s="178">
        <f t="shared" si="31"/>
        <v>7.284825292525221E-2</v>
      </c>
      <c r="AQ58" s="1">
        <f t="shared" si="51"/>
        <v>5.0000000000000001E-3</v>
      </c>
      <c r="AR58" s="1">
        <f t="shared" si="52"/>
        <v>1</v>
      </c>
      <c r="AS58" s="1">
        <f t="shared" si="53"/>
        <v>8.9044033105103892E-2</v>
      </c>
      <c r="AT58" s="1">
        <f t="shared" si="32"/>
        <v>10.752066997441501</v>
      </c>
      <c r="AU58" s="1">
        <f t="shared" si="33"/>
        <v>120.98</v>
      </c>
      <c r="AV58" s="8">
        <f t="shared" si="34"/>
        <v>0.01</v>
      </c>
    </row>
    <row r="59" spans="1:48" ht="15" customHeight="1">
      <c r="A59" s="168">
        <v>133.49</v>
      </c>
      <c r="B59" s="98">
        <v>10.885633047099159</v>
      </c>
      <c r="C59" s="171">
        <v>0</v>
      </c>
      <c r="D59" s="8">
        <f t="shared" si="36"/>
        <v>10.685633047099159</v>
      </c>
      <c r="E59" s="8">
        <f t="shared" si="37"/>
        <v>10.371807698347697</v>
      </c>
      <c r="F59" s="8">
        <f t="shared" si="38"/>
        <v>0.31382534875146284</v>
      </c>
      <c r="G59" s="8">
        <f t="shared" si="39"/>
        <v>0</v>
      </c>
      <c r="H59" s="8"/>
      <c r="I59" s="8">
        <f t="shared" si="40"/>
        <v>-0.31382534875146284</v>
      </c>
      <c r="J59" s="8">
        <f t="shared" si="41"/>
        <v>10.371807698347697</v>
      </c>
      <c r="K59" s="8">
        <f t="shared" si="6"/>
        <v>0.31382534875146284</v>
      </c>
      <c r="L59" s="8"/>
      <c r="M59" s="8">
        <f t="shared" si="42"/>
        <v>0</v>
      </c>
      <c r="N59" s="8">
        <f t="shared" si="43"/>
        <v>-0.31382534875146284</v>
      </c>
      <c r="O59" s="8">
        <f t="shared" si="44"/>
        <v>10.371807698347697</v>
      </c>
      <c r="P59" s="8"/>
      <c r="Q59" s="8">
        <f t="shared" si="45"/>
        <v>0.31382534875146284</v>
      </c>
      <c r="R59" s="8"/>
      <c r="S59" s="9">
        <f t="shared" si="46"/>
        <v>9.8486349518977279E-2</v>
      </c>
      <c r="T59" s="165">
        <f t="shared" si="20"/>
        <v>0</v>
      </c>
      <c r="U59" s="163">
        <f t="shared" si="21"/>
        <v>0</v>
      </c>
      <c r="V59" s="8">
        <f t="shared" si="47"/>
        <v>0.50299381176282987</v>
      </c>
      <c r="X59" s="8">
        <f t="shared" si="48"/>
        <v>39.036473802187707</v>
      </c>
      <c r="Z59" s="2">
        <f t="shared" si="22"/>
        <v>0.08</v>
      </c>
      <c r="AA59" s="4">
        <f t="shared" si="23"/>
        <v>133.49</v>
      </c>
      <c r="AB59" s="46">
        <f t="shared" si="24"/>
        <v>0.08</v>
      </c>
      <c r="AC59" s="4">
        <f t="shared" si="25"/>
        <v>10.685633047099159</v>
      </c>
      <c r="AD59" s="2">
        <f t="shared" si="26"/>
        <v>1.5960156037939235E-4</v>
      </c>
      <c r="AE59" s="51">
        <f t="shared" si="49"/>
        <v>1.5960156037939235</v>
      </c>
      <c r="AF59" s="10">
        <f t="shared" si="54"/>
        <v>0.13356604965765762</v>
      </c>
      <c r="AG59" s="10">
        <f t="shared" si="55"/>
        <v>0.13356604965765762</v>
      </c>
      <c r="AH59" s="8">
        <f t="shared" si="50"/>
        <v>10.371807698347697</v>
      </c>
      <c r="AI59" s="10">
        <f t="shared" si="56"/>
        <v>8.2734131820757284E-2</v>
      </c>
      <c r="AJ59" s="10">
        <f t="shared" si="35"/>
        <v>7.9772595459716822E-2</v>
      </c>
      <c r="AK59" s="10">
        <f t="shared" si="16"/>
        <v>7.2680373788425179E-2</v>
      </c>
      <c r="AL59" s="162">
        <f t="shared" si="30"/>
        <v>7.6226484624071E-2</v>
      </c>
      <c r="AM59" s="178">
        <f t="shared" si="31"/>
        <v>7.1226484624070996E-2</v>
      </c>
      <c r="AQ59" s="1">
        <f t="shared" si="51"/>
        <v>5.0000000000000001E-3</v>
      </c>
      <c r="AR59" s="1">
        <f t="shared" si="52"/>
        <v>1</v>
      </c>
      <c r="AS59" s="1">
        <f t="shared" si="53"/>
        <v>0.13356604965765762</v>
      </c>
      <c r="AT59" s="1">
        <f t="shared" si="32"/>
        <v>10.885633047099159</v>
      </c>
      <c r="AU59" s="1">
        <f t="shared" si="33"/>
        <v>133.49</v>
      </c>
      <c r="AV59" s="8">
        <f t="shared" si="34"/>
        <v>0.01</v>
      </c>
    </row>
    <row r="60" spans="1:48" ht="15" customHeight="1">
      <c r="A60" s="168">
        <v>145.86000000000001</v>
      </c>
      <c r="B60" s="98">
        <v>11.01919909675682</v>
      </c>
      <c r="C60" s="171">
        <v>0</v>
      </c>
      <c r="D60" s="8">
        <f t="shared" si="36"/>
        <v>10.819199096756821</v>
      </c>
      <c r="E60" s="8">
        <f t="shared" si="37"/>
        <v>10.443902599085398</v>
      </c>
      <c r="F60" s="8">
        <f t="shared" si="38"/>
        <v>0.37529649767142281</v>
      </c>
      <c r="G60" s="8">
        <f t="shared" si="39"/>
        <v>0</v>
      </c>
      <c r="H60" s="8"/>
      <c r="I60" s="8">
        <f t="shared" si="40"/>
        <v>-0.37529649767142281</v>
      </c>
      <c r="J60" s="8">
        <f t="shared" si="41"/>
        <v>10.443902599085398</v>
      </c>
      <c r="K60" s="8">
        <f t="shared" si="6"/>
        <v>0.37529649767142281</v>
      </c>
      <c r="L60" s="8"/>
      <c r="M60" s="8">
        <f t="shared" si="42"/>
        <v>0</v>
      </c>
      <c r="N60" s="8">
        <f t="shared" si="43"/>
        <v>-0.37529649767142281</v>
      </c>
      <c r="O60" s="8">
        <f t="shared" si="44"/>
        <v>10.443902599085398</v>
      </c>
      <c r="P60" s="8"/>
      <c r="Q60" s="8">
        <f t="shared" si="45"/>
        <v>0.37529649767142281</v>
      </c>
      <c r="R60" s="8"/>
      <c r="S60" s="9">
        <f t="shared" si="46"/>
        <v>0.14084746116443628</v>
      </c>
      <c r="T60" s="165">
        <f t="shared" si="20"/>
        <v>0</v>
      </c>
      <c r="U60" s="163">
        <f t="shared" si="21"/>
        <v>0</v>
      </c>
      <c r="V60" s="8">
        <f t="shared" si="47"/>
        <v>0.4967814373601479</v>
      </c>
      <c r="X60" s="8">
        <f t="shared" si="48"/>
        <v>42.653832262994229</v>
      </c>
      <c r="Z60" s="2">
        <f t="shared" si="22"/>
        <v>7.3999999999999996E-2</v>
      </c>
      <c r="AA60" s="4">
        <f t="shared" si="23"/>
        <v>145.86000000000001</v>
      </c>
      <c r="AB60" s="46">
        <f t="shared" si="24"/>
        <v>7.3999999999999996E-2</v>
      </c>
      <c r="AC60" s="4">
        <f t="shared" si="25"/>
        <v>10.819199096756821</v>
      </c>
      <c r="AD60" s="2">
        <f t="shared" si="26"/>
        <v>1.4606617506544002E-4</v>
      </c>
      <c r="AE60" s="51">
        <f t="shared" si="49"/>
        <v>1.4606617506544002</v>
      </c>
      <c r="AF60" s="10">
        <f t="shared" si="54"/>
        <v>0.13356604965766117</v>
      </c>
      <c r="AG60" s="10">
        <f t="shared" si="55"/>
        <v>0.13356604965766117</v>
      </c>
      <c r="AH60" s="8">
        <f t="shared" si="50"/>
        <v>10.443902599085398</v>
      </c>
      <c r="AI60" s="10">
        <f t="shared" si="56"/>
        <v>7.2094900737701195E-2</v>
      </c>
      <c r="AJ60" s="10">
        <f t="shared" si="35"/>
        <v>7.6783766352088723E-2</v>
      </c>
      <c r="AK60" s="10">
        <f t="shared" si="16"/>
        <v>6.9085217167027757E-2</v>
      </c>
      <c r="AL60" s="162">
        <f t="shared" si="30"/>
        <v>7.293449175955824E-2</v>
      </c>
      <c r="AM60" s="178">
        <f t="shared" si="31"/>
        <v>6.7934491759558235E-2</v>
      </c>
      <c r="AQ60" s="1">
        <f t="shared" si="51"/>
        <v>5.0000000000000001E-3</v>
      </c>
      <c r="AR60" s="1">
        <f t="shared" si="52"/>
        <v>1</v>
      </c>
      <c r="AS60" s="1">
        <f t="shared" si="53"/>
        <v>0.13356604965766117</v>
      </c>
      <c r="AT60" s="1">
        <f t="shared" si="32"/>
        <v>11.01919909675682</v>
      </c>
      <c r="AU60" s="1">
        <f t="shared" si="33"/>
        <v>145.86000000000001</v>
      </c>
      <c r="AV60" s="8">
        <f t="shared" si="34"/>
        <v>0.01</v>
      </c>
    </row>
    <row r="61" spans="1:48" ht="15" customHeight="1">
      <c r="A61" s="168">
        <v>159.34</v>
      </c>
      <c r="B61" s="98">
        <v>11.175026154690752</v>
      </c>
      <c r="C61" s="171">
        <v>1</v>
      </c>
      <c r="D61" s="8">
        <f t="shared" si="36"/>
        <v>10.975026154690752</v>
      </c>
      <c r="E61" s="8">
        <f t="shared" si="37"/>
        <v>10.513637148141836</v>
      </c>
      <c r="F61" s="8">
        <f t="shared" si="38"/>
        <v>0.46138900654891657</v>
      </c>
      <c r="G61" s="8">
        <f t="shared" si="39"/>
        <v>0</v>
      </c>
      <c r="H61" s="8"/>
      <c r="I61" s="8">
        <f t="shared" si="40"/>
        <v>-0.46138900654891657</v>
      </c>
      <c r="J61" s="8">
        <f t="shared" si="41"/>
        <v>10.513637148141836</v>
      </c>
      <c r="K61" s="8">
        <f t="shared" si="6"/>
        <v>0.46138900654891657</v>
      </c>
      <c r="L61" s="8"/>
      <c r="M61" s="8">
        <f t="shared" si="42"/>
        <v>0</v>
      </c>
      <c r="N61" s="8">
        <f t="shared" si="43"/>
        <v>-0.46138900654891657</v>
      </c>
      <c r="O61" s="8">
        <f t="shared" si="44"/>
        <v>10.513637148141836</v>
      </c>
      <c r="P61" s="8"/>
      <c r="Q61" s="8">
        <f t="shared" si="45"/>
        <v>0.46138900654891657</v>
      </c>
      <c r="R61" s="8"/>
      <c r="S61" s="9">
        <f t="shared" si="46"/>
        <v>0.21287981536419617</v>
      </c>
      <c r="T61" s="165">
        <f t="shared" si="20"/>
        <v>1</v>
      </c>
      <c r="U61" s="163">
        <f t="shared" si="21"/>
        <v>0.21287981536419617</v>
      </c>
      <c r="V61" s="8">
        <f t="shared" si="47"/>
        <v>0.48953366722368596</v>
      </c>
      <c r="X61" s="8">
        <f t="shared" si="48"/>
        <v>46.595787966443851</v>
      </c>
      <c r="Z61" s="2">
        <f t="shared" si="22"/>
        <v>6.9000000000000006E-2</v>
      </c>
      <c r="AA61" s="4">
        <f t="shared" si="23"/>
        <v>159.34</v>
      </c>
      <c r="AB61" s="46">
        <f t="shared" si="24"/>
        <v>6.9000000000000006E-2</v>
      </c>
      <c r="AC61" s="4">
        <f t="shared" si="25"/>
        <v>10.975026154690752</v>
      </c>
      <c r="AD61" s="2">
        <f t="shared" si="26"/>
        <v>1.337091269928774E-4</v>
      </c>
      <c r="AE61" s="51">
        <f t="shared" si="49"/>
        <v>1.337091269928774</v>
      </c>
      <c r="AF61" s="10">
        <f t="shared" si="54"/>
        <v>0.15582705793393181</v>
      </c>
      <c r="AG61" s="10">
        <f t="shared" si="55"/>
        <v>0.15582705793393181</v>
      </c>
      <c r="AH61" s="8">
        <f t="shared" si="50"/>
        <v>10.513637148141836</v>
      </c>
      <c r="AI61" s="10">
        <f t="shared" si="56"/>
        <v>6.9734549056438055E-2</v>
      </c>
      <c r="AJ61" s="10">
        <f t="shared" si="35"/>
        <v>7.502376509411679E-2</v>
      </c>
      <c r="AK61" s="10">
        <f t="shared" si="16"/>
        <v>7.9915716003589488E-2</v>
      </c>
      <c r="AL61" s="162">
        <f t="shared" si="30"/>
        <v>7.7469740548853139E-2</v>
      </c>
      <c r="AM61" s="178">
        <f t="shared" si="31"/>
        <v>7.8357317385078673E-2</v>
      </c>
      <c r="AQ61" s="1">
        <f t="shared" si="51"/>
        <v>0.15582705793393181</v>
      </c>
      <c r="AR61" s="1">
        <f t="shared" si="52"/>
        <v>0</v>
      </c>
      <c r="AS61" s="1">
        <f t="shared" si="53"/>
        <v>0</v>
      </c>
      <c r="AT61" s="1">
        <f t="shared" si="32"/>
        <v>11.175026154690752</v>
      </c>
      <c r="AU61" s="1">
        <f t="shared" si="33"/>
        <v>159.34</v>
      </c>
      <c r="AV61" s="8">
        <f t="shared" si="34"/>
        <v>10.975026154690752</v>
      </c>
    </row>
    <row r="62" spans="1:48" ht="15" customHeight="1">
      <c r="A62" s="168">
        <v>173.72</v>
      </c>
      <c r="B62" s="98">
        <v>11.353114220900967</v>
      </c>
      <c r="C62" s="171">
        <v>1</v>
      </c>
      <c r="D62" s="8">
        <f t="shared" si="36"/>
        <v>11.153114220900967</v>
      </c>
      <c r="E62" s="8">
        <f t="shared" si="37"/>
        <v>10.57979506168064</v>
      </c>
      <c r="F62" s="8">
        <f t="shared" si="38"/>
        <v>0.57331915922032728</v>
      </c>
      <c r="G62" s="8">
        <f t="shared" si="39"/>
        <v>0</v>
      </c>
      <c r="H62" s="8"/>
      <c r="I62" s="8">
        <f t="shared" si="40"/>
        <v>-0.57331915922032728</v>
      </c>
      <c r="J62" s="8">
        <f t="shared" si="41"/>
        <v>10.57979506168064</v>
      </c>
      <c r="K62" s="8">
        <f t="shared" si="6"/>
        <v>0.57331915922032728</v>
      </c>
      <c r="L62" s="8"/>
      <c r="M62" s="8">
        <f t="shared" si="42"/>
        <v>0</v>
      </c>
      <c r="N62" s="8">
        <f t="shared" si="43"/>
        <v>-0.57331915922032728</v>
      </c>
      <c r="O62" s="8">
        <f t="shared" si="44"/>
        <v>10.57979506168064</v>
      </c>
      <c r="P62" s="8"/>
      <c r="Q62" s="8">
        <f t="shared" si="45"/>
        <v>0.57331915922032728</v>
      </c>
      <c r="R62" s="8"/>
      <c r="S62" s="9">
        <f t="shared" si="46"/>
        <v>0.328694858329103</v>
      </c>
      <c r="T62" s="165">
        <f t="shared" si="20"/>
        <v>1</v>
      </c>
      <c r="U62" s="163">
        <f t="shared" si="21"/>
        <v>0.328694858329103</v>
      </c>
      <c r="V62" s="8">
        <f t="shared" si="47"/>
        <v>0.48125050135344338</v>
      </c>
      <c r="X62" s="8">
        <f t="shared" si="48"/>
        <v>50.800930623387885</v>
      </c>
      <c r="Z62" s="2">
        <f t="shared" si="22"/>
        <v>6.4000000000000001E-2</v>
      </c>
      <c r="AA62" s="4">
        <f t="shared" si="23"/>
        <v>173.72</v>
      </c>
      <c r="AB62" s="46">
        <f t="shared" si="24"/>
        <v>6.4000000000000001E-2</v>
      </c>
      <c r="AC62" s="4">
        <f t="shared" si="25"/>
        <v>11.153114220900967</v>
      </c>
      <c r="AD62" s="2">
        <f t="shared" si="26"/>
        <v>1.2264110232008455E-4</v>
      </c>
      <c r="AE62" s="51">
        <f t="shared" si="49"/>
        <v>1.2264110232008456</v>
      </c>
      <c r="AF62" s="10">
        <f t="shared" si="54"/>
        <v>0.17808806621021489</v>
      </c>
      <c r="AG62" s="10">
        <f t="shared" si="55"/>
        <v>0.17808806621021489</v>
      </c>
      <c r="AH62" s="8">
        <f t="shared" si="50"/>
        <v>10.57979506168064</v>
      </c>
      <c r="AI62" s="10">
        <f t="shared" si="56"/>
        <v>6.6157913538804181E-2</v>
      </c>
      <c r="AJ62" s="10">
        <f t="shared" si="35"/>
        <v>7.2680373788425179E-2</v>
      </c>
      <c r="AK62" s="10">
        <f t="shared" si="16"/>
        <v>0.21768603582119139</v>
      </c>
      <c r="AL62" s="162">
        <f t="shared" si="30"/>
        <v>0.14518320480480829</v>
      </c>
      <c r="AM62" s="178">
        <f t="shared" si="31"/>
        <v>3.2904861405406605E-2</v>
      </c>
      <c r="AQ62" s="1">
        <f t="shared" si="51"/>
        <v>0.17808806621021489</v>
      </c>
      <c r="AR62" s="1">
        <f t="shared" si="52"/>
        <v>0</v>
      </c>
      <c r="AS62" s="1">
        <f t="shared" si="53"/>
        <v>0</v>
      </c>
      <c r="AT62" s="1">
        <f t="shared" si="32"/>
        <v>11.353114220900967</v>
      </c>
      <c r="AU62" s="1">
        <f t="shared" si="33"/>
        <v>173.72</v>
      </c>
      <c r="AV62" s="8">
        <f t="shared" si="34"/>
        <v>11.153114220900967</v>
      </c>
    </row>
    <row r="63" spans="1:48" ht="15" customHeight="1">
      <c r="A63" s="168">
        <v>190.46</v>
      </c>
      <c r="B63" s="98">
        <v>11.575724303663728</v>
      </c>
      <c r="C63" s="171">
        <v>1</v>
      </c>
      <c r="D63" s="8">
        <f t="shared" si="36"/>
        <v>11.375724303663729</v>
      </c>
      <c r="E63" s="8">
        <f t="shared" si="37"/>
        <v>10.648148567015808</v>
      </c>
      <c r="F63" s="8">
        <f t="shared" si="38"/>
        <v>0.72757573664792119</v>
      </c>
      <c r="G63" s="8">
        <f t="shared" si="39"/>
        <v>2.2544825587181872E-74</v>
      </c>
      <c r="H63" s="8"/>
      <c r="I63" s="8">
        <f t="shared" si="40"/>
        <v>-0.72757573664792119</v>
      </c>
      <c r="J63" s="8">
        <f t="shared" si="41"/>
        <v>10.648148567015808</v>
      </c>
      <c r="K63" s="8">
        <f t="shared" si="6"/>
        <v>0.72757573664792119</v>
      </c>
      <c r="L63" s="8"/>
      <c r="M63" s="8">
        <f t="shared" si="42"/>
        <v>0</v>
      </c>
      <c r="N63" s="8">
        <f t="shared" si="43"/>
        <v>-0.72757573664792119</v>
      </c>
      <c r="O63" s="8">
        <f t="shared" si="44"/>
        <v>10.648148567015808</v>
      </c>
      <c r="P63" s="8"/>
      <c r="Q63" s="8">
        <f t="shared" si="45"/>
        <v>0.72757573664792119</v>
      </c>
      <c r="R63" s="8"/>
      <c r="S63" s="9">
        <f t="shared" si="46"/>
        <v>0.52936645255876513</v>
      </c>
      <c r="T63" s="165">
        <f t="shared" si="20"/>
        <v>1</v>
      </c>
      <c r="U63" s="163">
        <f t="shared" si="21"/>
        <v>0.52936645255876513</v>
      </c>
      <c r="V63" s="8">
        <f t="shared" si="47"/>
        <v>0.47089654401564052</v>
      </c>
      <c r="X63" s="8">
        <f t="shared" si="48"/>
        <v>55.69620795838393</v>
      </c>
      <c r="Z63" s="2">
        <f t="shared" si="22"/>
        <v>0.06</v>
      </c>
      <c r="AA63" s="4">
        <f t="shared" si="23"/>
        <v>190.46</v>
      </c>
      <c r="AB63" s="46">
        <f t="shared" si="24"/>
        <v>0.06</v>
      </c>
      <c r="AC63" s="4">
        <f t="shared" si="25"/>
        <v>11.375724303663729</v>
      </c>
      <c r="AD63" s="2">
        <f t="shared" si="26"/>
        <v>1.1186187280817539E-4</v>
      </c>
      <c r="AE63" s="51">
        <f t="shared" si="49"/>
        <v>1.1186187280817539</v>
      </c>
      <c r="AF63" s="10">
        <f t="shared" si="54"/>
        <v>0.22261008276276151</v>
      </c>
      <c r="AG63" s="10">
        <f t="shared" si="55"/>
        <v>0.22261008276276151</v>
      </c>
      <c r="AH63" s="8">
        <f t="shared" si="50"/>
        <v>10.648148567015808</v>
      </c>
      <c r="AI63" s="10">
        <f t="shared" si="56"/>
        <v>6.8353505335167597E-2</v>
      </c>
      <c r="AJ63" s="10">
        <f t="shared" si="35"/>
        <v>6.9085217167027757E-2</v>
      </c>
      <c r="AK63" s="10">
        <f t="shared" si="16"/>
        <v>0.36956223714892245</v>
      </c>
      <c r="AL63" s="162">
        <f t="shared" si="30"/>
        <v>0.2193237271579751</v>
      </c>
      <c r="AM63" s="178">
        <f t="shared" si="31"/>
        <v>3.2863556047864062E-3</v>
      </c>
      <c r="AQ63" s="1">
        <f t="shared" si="51"/>
        <v>0.22261008276276151</v>
      </c>
      <c r="AR63" s="1">
        <f t="shared" si="52"/>
        <v>0</v>
      </c>
      <c r="AS63" s="1">
        <f t="shared" si="53"/>
        <v>0</v>
      </c>
      <c r="AT63" s="1">
        <f t="shared" si="32"/>
        <v>11.575724303663728</v>
      </c>
      <c r="AU63" s="1">
        <f t="shared" si="33"/>
        <v>190.46</v>
      </c>
      <c r="AV63" s="8">
        <f t="shared" si="34"/>
        <v>11.375724303663729</v>
      </c>
    </row>
    <row r="64" spans="1:48" ht="15" customHeight="1">
      <c r="A64" s="168">
        <v>207.72</v>
      </c>
      <c r="B64" s="98">
        <v>11.865117411255325</v>
      </c>
      <c r="C64" s="171">
        <v>1</v>
      </c>
      <c r="D64" s="8">
        <f t="shared" si="36"/>
        <v>11.665117411255325</v>
      </c>
      <c r="E64" s="8">
        <f t="shared" si="37"/>
        <v>10.710715309686957</v>
      </c>
      <c r="F64" s="8">
        <f t="shared" si="38"/>
        <v>0.95440210156836791</v>
      </c>
      <c r="G64" s="8">
        <f t="shared" si="39"/>
        <v>5.2850153412798598E-2</v>
      </c>
      <c r="H64" s="8"/>
      <c r="I64" s="8">
        <f t="shared" si="40"/>
        <v>-0.90155194815556927</v>
      </c>
      <c r="J64" s="8">
        <f t="shared" si="41"/>
        <v>10.763565463099756</v>
      </c>
      <c r="K64" s="8">
        <f t="shared" si="6"/>
        <v>0.9015519481555696</v>
      </c>
      <c r="L64" s="8"/>
      <c r="M64" s="8">
        <f t="shared" si="42"/>
        <v>0</v>
      </c>
      <c r="N64" s="8">
        <f t="shared" si="43"/>
        <v>-0.9015519481555696</v>
      </c>
      <c r="O64" s="8">
        <f t="shared" si="44"/>
        <v>10.763565463099756</v>
      </c>
      <c r="P64" s="8"/>
      <c r="Q64" s="8">
        <f t="shared" si="45"/>
        <v>0.9015519481555696</v>
      </c>
      <c r="R64" s="8"/>
      <c r="S64" s="9">
        <f t="shared" si="46"/>
        <v>0.8127959152231029</v>
      </c>
      <c r="T64" s="165">
        <f t="shared" si="20"/>
        <v>1</v>
      </c>
      <c r="U64" s="163">
        <f t="shared" si="21"/>
        <v>0.8127959152231029</v>
      </c>
      <c r="V64" s="8">
        <f t="shared" si="47"/>
        <v>0.4574363994764965</v>
      </c>
      <c r="X64" s="8">
        <f t="shared" si="48"/>
        <v>60.743548866510082</v>
      </c>
      <c r="Z64" s="2">
        <f t="shared" si="22"/>
        <v>5.6000000000000001E-2</v>
      </c>
      <c r="AA64" s="4">
        <f t="shared" si="23"/>
        <v>207.72</v>
      </c>
      <c r="AB64" s="46">
        <f t="shared" si="24"/>
        <v>5.6000000000000001E-2</v>
      </c>
      <c r="AC64" s="4">
        <f t="shared" si="25"/>
        <v>11.665117411255325</v>
      </c>
      <c r="AD64" s="2">
        <f t="shared" si="26"/>
        <v>1.0256697619413194E-4</v>
      </c>
      <c r="AE64" s="51">
        <f t="shared" si="49"/>
        <v>1.0256697619413193</v>
      </c>
      <c r="AF64" s="10">
        <f t="shared" si="54"/>
        <v>0.28939310759159653</v>
      </c>
      <c r="AG64" s="10">
        <f t="shared" si="55"/>
        <v>0.28939310759159653</v>
      </c>
      <c r="AH64" s="8">
        <f t="shared" si="50"/>
        <v>10.763565463099756</v>
      </c>
      <c r="AI64" s="10">
        <f t="shared" si="56"/>
        <v>0.11541689608394812</v>
      </c>
      <c r="AJ64" s="10">
        <f t="shared" si="35"/>
        <v>7.9915716003589488E-2</v>
      </c>
      <c r="AK64" s="10">
        <f t="shared" si="16"/>
        <v>0.50625255039211625</v>
      </c>
      <c r="AL64" s="162">
        <f t="shared" si="30"/>
        <v>0.29308413319785287</v>
      </c>
      <c r="AM64" s="178">
        <f t="shared" si="31"/>
        <v>3.6910256062563374E-3</v>
      </c>
      <c r="AQ64" s="1">
        <f t="shared" si="51"/>
        <v>0.28939310759159653</v>
      </c>
      <c r="AR64" s="1">
        <f t="shared" si="52"/>
        <v>0</v>
      </c>
      <c r="AS64" s="1">
        <f t="shared" si="53"/>
        <v>0</v>
      </c>
      <c r="AT64" s="1">
        <f t="shared" si="32"/>
        <v>11.865117411255325</v>
      </c>
      <c r="AU64" s="1">
        <f t="shared" si="33"/>
        <v>207.72</v>
      </c>
      <c r="AV64" s="8">
        <f t="shared" si="34"/>
        <v>11.665117411255325</v>
      </c>
    </row>
    <row r="65" spans="1:48" ht="15" customHeight="1">
      <c r="A65" s="168">
        <v>229.21</v>
      </c>
      <c r="B65" s="98">
        <v>12.243554551952023</v>
      </c>
      <c r="C65" s="171">
        <v>1</v>
      </c>
      <c r="D65" s="8">
        <f t="shared" si="36"/>
        <v>12.043554551952024</v>
      </c>
      <c r="E65" s="8">
        <f t="shared" si="37"/>
        <v>10.779598626109468</v>
      </c>
      <c r="F65" s="8">
        <f t="shared" si="38"/>
        <v>1.2639559258425557</v>
      </c>
      <c r="G65" s="8">
        <f t="shared" si="39"/>
        <v>0.60478266531713376</v>
      </c>
      <c r="H65" s="8"/>
      <c r="I65" s="8">
        <f t="shared" si="40"/>
        <v>-0.65917326052542191</v>
      </c>
      <c r="J65" s="8">
        <f t="shared" si="41"/>
        <v>11.384381291426601</v>
      </c>
      <c r="K65" s="8">
        <f t="shared" si="6"/>
        <v>0.65917326052542258</v>
      </c>
      <c r="L65" s="8"/>
      <c r="M65" s="8">
        <f t="shared" si="42"/>
        <v>0</v>
      </c>
      <c r="N65" s="8">
        <f t="shared" si="43"/>
        <v>-0.65917326052542258</v>
      </c>
      <c r="O65" s="8">
        <f t="shared" si="44"/>
        <v>11.384381291426601</v>
      </c>
      <c r="P65" s="8"/>
      <c r="Q65" s="8">
        <f t="shared" si="45"/>
        <v>0.65917326052542258</v>
      </c>
      <c r="R65" s="8"/>
      <c r="S65" s="9">
        <f t="shared" si="46"/>
        <v>0.43450938739171663</v>
      </c>
      <c r="T65" s="165">
        <f t="shared" si="20"/>
        <v>1</v>
      </c>
      <c r="U65" s="163">
        <f t="shared" si="21"/>
        <v>0.43450938739171663</v>
      </c>
      <c r="V65" s="8">
        <f t="shared" si="47"/>
        <v>0.43983467200223147</v>
      </c>
      <c r="X65" s="8">
        <f t="shared" si="48"/>
        <v>67.027868456059963</v>
      </c>
      <c r="Z65" s="2">
        <f t="shared" si="22"/>
        <v>5.2999999999999999E-2</v>
      </c>
      <c r="AA65" s="4">
        <f t="shared" si="23"/>
        <v>229.21</v>
      </c>
      <c r="AB65" s="46">
        <f t="shared" si="24"/>
        <v>5.2999999999999999E-2</v>
      </c>
      <c r="AC65" s="4">
        <f t="shared" si="25"/>
        <v>12.043554551952024</v>
      </c>
      <c r="AD65" s="2">
        <f t="shared" si="26"/>
        <v>9.2950622987849943E-5</v>
      </c>
      <c r="AE65" s="51">
        <f t="shared" si="49"/>
        <v>0.9295062298784994</v>
      </c>
      <c r="AF65" s="10">
        <f t="shared" si="54"/>
        <v>0.37843714069669865</v>
      </c>
      <c r="AG65" s="10">
        <f t="shared" si="55"/>
        <v>0.37843714069669865</v>
      </c>
      <c r="AH65" s="8">
        <f t="shared" si="50"/>
        <v>11.384381291426601</v>
      </c>
      <c r="AI65" s="10">
        <f t="shared" si="56"/>
        <v>0.62081582832684568</v>
      </c>
      <c r="AJ65" s="10">
        <f t="shared" si="35"/>
        <v>0.21768603582119139</v>
      </c>
      <c r="AK65" s="10">
        <f t="shared" si="16"/>
        <v>0.60449951793531076</v>
      </c>
      <c r="AL65" s="162">
        <f t="shared" si="30"/>
        <v>0.41109277687825108</v>
      </c>
      <c r="AM65" s="178">
        <f t="shared" si="31"/>
        <v>3.2655636181552428E-2</v>
      </c>
      <c r="AQ65" s="1">
        <f t="shared" si="51"/>
        <v>0.37843714069669865</v>
      </c>
      <c r="AR65" s="1">
        <f t="shared" si="52"/>
        <v>0</v>
      </c>
      <c r="AS65" s="1">
        <f t="shared" si="53"/>
        <v>0</v>
      </c>
      <c r="AT65" s="1">
        <f t="shared" si="32"/>
        <v>12.243554551952023</v>
      </c>
      <c r="AU65" s="1">
        <f t="shared" si="33"/>
        <v>229.21</v>
      </c>
      <c r="AV65" s="8">
        <f t="shared" si="34"/>
        <v>12.043554551952024</v>
      </c>
    </row>
    <row r="66" spans="1:48" ht="15" customHeight="1">
      <c r="A66" s="168">
        <v>250.12</v>
      </c>
      <c r="B66" s="98">
        <v>12.62199169264872</v>
      </c>
      <c r="C66" s="171">
        <v>1</v>
      </c>
      <c r="D66" s="8">
        <f t="shared" si="36"/>
        <v>12.421991692648721</v>
      </c>
      <c r="E66" s="8">
        <f t="shared" si="37"/>
        <v>10.838877732158789</v>
      </c>
      <c r="F66" s="8">
        <f t="shared" si="38"/>
        <v>1.583113960489932</v>
      </c>
      <c r="G66" s="8">
        <f t="shared" si="39"/>
        <v>1.2191662781175403</v>
      </c>
      <c r="H66" s="8"/>
      <c r="I66" s="8">
        <f t="shared" si="40"/>
        <v>-0.36394768237239172</v>
      </c>
      <c r="J66" s="8">
        <f t="shared" si="41"/>
        <v>12.05804401027633</v>
      </c>
      <c r="K66" s="8">
        <f t="shared" si="6"/>
        <v>0.36394768237239106</v>
      </c>
      <c r="L66" s="8"/>
      <c r="M66" s="8">
        <f t="shared" si="42"/>
        <v>0</v>
      </c>
      <c r="N66" s="8">
        <f t="shared" si="43"/>
        <v>-0.36394768237239106</v>
      </c>
      <c r="O66" s="8">
        <f t="shared" si="44"/>
        <v>12.05804401027633</v>
      </c>
      <c r="P66" s="8"/>
      <c r="Q66" s="8">
        <f t="shared" si="45"/>
        <v>0.36394768237239106</v>
      </c>
      <c r="R66" s="8"/>
      <c r="S66" s="9">
        <f t="shared" si="46"/>
        <v>0.13245791550423486</v>
      </c>
      <c r="T66" s="165">
        <f t="shared" si="20"/>
        <v>1</v>
      </c>
      <c r="U66" s="163">
        <f t="shared" si="21"/>
        <v>0.13245791550423486</v>
      </c>
      <c r="V66" s="8">
        <f t="shared" si="47"/>
        <v>0.42223294452796645</v>
      </c>
      <c r="X66" s="8">
        <f t="shared" si="48"/>
        <v>73.142578675580111</v>
      </c>
      <c r="Z66" s="2">
        <f t="shared" si="22"/>
        <v>0.05</v>
      </c>
      <c r="AA66" s="4">
        <f t="shared" si="23"/>
        <v>250.12</v>
      </c>
      <c r="AB66" s="46">
        <f t="shared" si="24"/>
        <v>0.05</v>
      </c>
      <c r="AC66" s="4">
        <f t="shared" si="25"/>
        <v>12.421991692648721</v>
      </c>
      <c r="AD66" s="2">
        <f t="shared" si="26"/>
        <v>8.5179962798037292E-5</v>
      </c>
      <c r="AE66" s="51">
        <f t="shared" si="49"/>
        <v>0.8517996279803729</v>
      </c>
      <c r="AF66" s="10">
        <f t="shared" si="54"/>
        <v>0.37843714069669687</v>
      </c>
      <c r="AG66" s="10">
        <f t="shared" si="55"/>
        <v>0.37843714069669687</v>
      </c>
      <c r="AH66" s="8">
        <f t="shared" si="50"/>
        <v>12.05804401027633</v>
      </c>
      <c r="AI66" s="10">
        <f t="shared" si="56"/>
        <v>0.67366271884972839</v>
      </c>
      <c r="AJ66" s="10">
        <f t="shared" si="35"/>
        <v>0.36956223714892245</v>
      </c>
      <c r="AK66" s="10">
        <f t="shared" si="16"/>
        <v>0.55013921573848545</v>
      </c>
      <c r="AL66" s="162">
        <f t="shared" si="30"/>
        <v>0.45985072644370395</v>
      </c>
      <c r="AM66" s="178">
        <f t="shared" si="31"/>
        <v>8.1413585747007078E-2</v>
      </c>
      <c r="AQ66" s="1">
        <f t="shared" si="51"/>
        <v>0.37843714069669687</v>
      </c>
      <c r="AR66" s="1">
        <f t="shared" si="52"/>
        <v>0</v>
      </c>
      <c r="AS66" s="1">
        <f t="shared" si="53"/>
        <v>0</v>
      </c>
      <c r="AT66" s="1">
        <f t="shared" si="32"/>
        <v>12.62199169264872</v>
      </c>
      <c r="AU66" s="1">
        <f t="shared" si="33"/>
        <v>250.12</v>
      </c>
      <c r="AV66" s="8">
        <f t="shared" si="34"/>
        <v>12.421991692648721</v>
      </c>
    </row>
    <row r="67" spans="1:48" ht="15" customHeight="1">
      <c r="A67" s="168">
        <v>273.99</v>
      </c>
      <c r="B67" s="98">
        <v>13.022689841621698</v>
      </c>
      <c r="C67" s="171">
        <v>1</v>
      </c>
      <c r="D67" s="8">
        <f t="shared" si="36"/>
        <v>12.822689841621699</v>
      </c>
      <c r="E67" s="8">
        <f t="shared" si="37"/>
        <v>10.899036444059185</v>
      </c>
      <c r="F67" s="8">
        <f t="shared" si="38"/>
        <v>1.9236533975625143</v>
      </c>
      <c r="G67" s="8">
        <f t="shared" si="39"/>
        <v>1.7741223245250879</v>
      </c>
      <c r="H67" s="8"/>
      <c r="I67" s="8">
        <f t="shared" si="40"/>
        <v>-0.14953107303742641</v>
      </c>
      <c r="J67" s="8">
        <f t="shared" si="41"/>
        <v>12.673158768584273</v>
      </c>
      <c r="K67" s="8">
        <f t="shared" si="6"/>
        <v>0.14953107303742641</v>
      </c>
      <c r="L67" s="8"/>
      <c r="M67" s="8">
        <f t="shared" si="42"/>
        <v>0</v>
      </c>
      <c r="N67" s="8">
        <f t="shared" si="43"/>
        <v>-0.14953107303742641</v>
      </c>
      <c r="O67" s="8">
        <f t="shared" si="44"/>
        <v>12.673158768584273</v>
      </c>
      <c r="P67" s="8"/>
      <c r="Q67" s="8">
        <f t="shared" si="45"/>
        <v>0.14953107303742641</v>
      </c>
      <c r="R67" s="8"/>
      <c r="S67" s="9">
        <f t="shared" si="46"/>
        <v>2.235954180372415E-2</v>
      </c>
      <c r="T67" s="165">
        <f t="shared" si="20"/>
        <v>1</v>
      </c>
      <c r="U67" s="163">
        <f t="shared" si="21"/>
        <v>2.235954180372415E-2</v>
      </c>
      <c r="V67" s="8">
        <f t="shared" si="47"/>
        <v>0.403595821319921</v>
      </c>
      <c r="X67" s="8">
        <f t="shared" si="48"/>
        <v>80.122881542148548</v>
      </c>
      <c r="Z67" s="2">
        <f t="shared" si="22"/>
        <v>4.7E-2</v>
      </c>
      <c r="AA67" s="4">
        <f t="shared" si="23"/>
        <v>273.99</v>
      </c>
      <c r="AB67" s="46">
        <f t="shared" si="24"/>
        <v>4.7E-2</v>
      </c>
      <c r="AC67" s="4">
        <f t="shared" si="25"/>
        <v>12.822689841621699</v>
      </c>
      <c r="AD67" s="2">
        <f t="shared" si="26"/>
        <v>7.7759087174878941E-5</v>
      </c>
      <c r="AE67" s="51">
        <f t="shared" si="49"/>
        <v>0.77759087174878938</v>
      </c>
      <c r="AF67" s="10">
        <f t="shared" si="54"/>
        <v>0.40069814897297817</v>
      </c>
      <c r="AG67" s="10">
        <f t="shared" si="55"/>
        <v>0.40069814897297817</v>
      </c>
      <c r="AH67" s="8">
        <f t="shared" si="50"/>
        <v>12.673158768584273</v>
      </c>
      <c r="AI67" s="10">
        <f t="shared" si="56"/>
        <v>0.61511475830794282</v>
      </c>
      <c r="AJ67" s="10">
        <f t="shared" si="35"/>
        <v>0.50625255039211625</v>
      </c>
      <c r="AK67" s="10">
        <f t="shared" si="16"/>
        <v>0.46733240300065804</v>
      </c>
      <c r="AL67" s="162">
        <f t="shared" si="30"/>
        <v>0.48679247669638714</v>
      </c>
      <c r="AM67" s="178">
        <f t="shared" si="31"/>
        <v>8.609432772340897E-2</v>
      </c>
      <c r="AQ67" s="1">
        <f t="shared" si="51"/>
        <v>0.40069814897297817</v>
      </c>
      <c r="AR67" s="1">
        <f t="shared" si="52"/>
        <v>0</v>
      </c>
      <c r="AS67" s="1">
        <f t="shared" si="53"/>
        <v>0</v>
      </c>
      <c r="AT67" s="1">
        <f t="shared" si="32"/>
        <v>13.022689841621698</v>
      </c>
      <c r="AU67" s="1">
        <f t="shared" si="33"/>
        <v>273.99</v>
      </c>
      <c r="AV67" s="8">
        <f t="shared" si="34"/>
        <v>12.822689841621699</v>
      </c>
    </row>
    <row r="68" spans="1:48" ht="15" customHeight="1">
      <c r="A68" s="168">
        <v>300.2</v>
      </c>
      <c r="B68" s="98">
        <v>13.423387990594673</v>
      </c>
      <c r="C68" s="171">
        <v>1</v>
      </c>
      <c r="D68" s="8">
        <f t="shared" si="36"/>
        <v>13.223387990594674</v>
      </c>
      <c r="E68" s="8">
        <f t="shared" si="37"/>
        <v>10.957627709604088</v>
      </c>
      <c r="F68" s="8">
        <f t="shared" si="38"/>
        <v>2.2657602809905857</v>
      </c>
      <c r="G68" s="8">
        <f t="shared" si="39"/>
        <v>2.2239358252369104</v>
      </c>
      <c r="H68" s="8"/>
      <c r="I68" s="8">
        <f t="shared" si="40"/>
        <v>0</v>
      </c>
      <c r="J68" s="8">
        <f t="shared" si="41"/>
        <v>13.181563534840999</v>
      </c>
      <c r="K68" s="8">
        <f t="shared" si="6"/>
        <v>0</v>
      </c>
      <c r="L68" s="8"/>
      <c r="M68" s="8">
        <f t="shared" si="42"/>
        <v>0</v>
      </c>
      <c r="N68" s="8">
        <f t="shared" si="43"/>
        <v>0</v>
      </c>
      <c r="O68" s="8">
        <f t="shared" si="44"/>
        <v>13.181563534840999</v>
      </c>
      <c r="P68" s="8"/>
      <c r="Q68" s="8">
        <f t="shared" si="45"/>
        <v>0</v>
      </c>
      <c r="R68" s="8"/>
      <c r="S68" s="9">
        <f t="shared" si="46"/>
        <v>0</v>
      </c>
      <c r="T68" s="165">
        <f t="shared" si="20"/>
        <v>1</v>
      </c>
      <c r="U68" s="163">
        <f t="shared" si="21"/>
        <v>0</v>
      </c>
      <c r="V68" s="8">
        <f t="shared" si="47"/>
        <v>0.38495869811187566</v>
      </c>
      <c r="X68" s="8">
        <f t="shared" si="48"/>
        <v>87.787470487802452</v>
      </c>
      <c r="Z68" s="2">
        <f t="shared" si="22"/>
        <v>4.3999999999999997E-2</v>
      </c>
      <c r="AA68" s="4">
        <f t="shared" si="23"/>
        <v>300.2</v>
      </c>
      <c r="AB68" s="46">
        <f t="shared" si="24"/>
        <v>4.3999999999999997E-2</v>
      </c>
      <c r="AC68" s="4">
        <f t="shared" si="25"/>
        <v>13.223387990594674</v>
      </c>
      <c r="AD68" s="2">
        <f t="shared" si="26"/>
        <v>7.0970060942855044E-5</v>
      </c>
      <c r="AE68" s="51">
        <f t="shared" si="49"/>
        <v>0.7097006094285504</v>
      </c>
      <c r="AF68" s="10">
        <f t="shared" si="54"/>
        <v>0.40069814897297462</v>
      </c>
      <c r="AG68" s="10">
        <f t="shared" si="55"/>
        <v>0.40069814897297462</v>
      </c>
      <c r="AH68" s="8">
        <f t="shared" si="50"/>
        <v>13.181563534840999</v>
      </c>
      <c r="AI68" s="10">
        <f t="shared" si="56"/>
        <v>0.50840476625672615</v>
      </c>
      <c r="AJ68" s="10">
        <f t="shared" si="35"/>
        <v>0.60449951793531076</v>
      </c>
      <c r="AK68" s="10">
        <f t="shared" si="16"/>
        <v>0.38878931083550894</v>
      </c>
      <c r="AL68" s="162">
        <f t="shared" si="30"/>
        <v>0.49664441438540985</v>
      </c>
      <c r="AM68" s="178">
        <f t="shared" si="31"/>
        <v>9.5946265412435228E-2</v>
      </c>
      <c r="AQ68" s="1">
        <f t="shared" si="51"/>
        <v>0.40069814897297462</v>
      </c>
      <c r="AR68" s="1">
        <f t="shared" si="52"/>
        <v>0</v>
      </c>
      <c r="AS68" s="1">
        <f t="shared" si="53"/>
        <v>0</v>
      </c>
      <c r="AT68" s="1">
        <f t="shared" si="32"/>
        <v>13.423387990594673</v>
      </c>
      <c r="AU68" s="1">
        <f t="shared" si="33"/>
        <v>300.2</v>
      </c>
      <c r="AV68" s="8">
        <f t="shared" si="34"/>
        <v>13.223387990594674</v>
      </c>
    </row>
    <row r="69" spans="1:48" ht="15" customHeight="1">
      <c r="A69" s="168">
        <v>327.71</v>
      </c>
      <c r="B69" s="98">
        <v>13.801825131291373</v>
      </c>
      <c r="C69" s="171">
        <v>1</v>
      </c>
      <c r="D69" s="8">
        <f t="shared" si="36"/>
        <v>13.601825131291374</v>
      </c>
      <c r="E69" s="8">
        <f t="shared" si="37"/>
        <v>11.012322046063447</v>
      </c>
      <c r="F69" s="8">
        <f t="shared" si="38"/>
        <v>2.5895030852279266</v>
      </c>
      <c r="G69" s="8">
        <f t="shared" si="39"/>
        <v>2.5726161083170958</v>
      </c>
      <c r="H69" s="8"/>
      <c r="I69" s="8">
        <f t="shared" si="40"/>
        <v>0</v>
      </c>
      <c r="J69" s="8">
        <f t="shared" si="41"/>
        <v>13.584938154380543</v>
      </c>
      <c r="K69" s="8">
        <f t="shared" si="6"/>
        <v>0</v>
      </c>
      <c r="L69" s="8"/>
      <c r="M69" s="8">
        <f t="shared" si="42"/>
        <v>0</v>
      </c>
      <c r="N69" s="8">
        <f t="shared" si="43"/>
        <v>0</v>
      </c>
      <c r="O69" s="8">
        <f t="shared" si="44"/>
        <v>13.584938154380543</v>
      </c>
      <c r="P69" s="8"/>
      <c r="Q69" s="8">
        <f t="shared" si="45"/>
        <v>0</v>
      </c>
      <c r="R69" s="8"/>
      <c r="S69" s="9">
        <f t="shared" si="46"/>
        <v>0</v>
      </c>
      <c r="T69" s="165">
        <f t="shared" si="20"/>
        <v>1</v>
      </c>
      <c r="U69" s="163">
        <f t="shared" si="21"/>
        <v>0</v>
      </c>
      <c r="V69" s="8">
        <f t="shared" si="47"/>
        <v>0.36735697063761052</v>
      </c>
      <c r="X69" s="8">
        <f t="shared" si="48"/>
        <v>95.832218366281609</v>
      </c>
      <c r="Z69" s="2">
        <f t="shared" si="22"/>
        <v>4.2000000000000003E-2</v>
      </c>
      <c r="AA69" s="4">
        <f t="shared" si="23"/>
        <v>327.71</v>
      </c>
      <c r="AB69" s="46">
        <f t="shared" si="24"/>
        <v>4.2000000000000003E-2</v>
      </c>
      <c r="AC69" s="4">
        <f t="shared" si="25"/>
        <v>13.601825131291374</v>
      </c>
      <c r="AD69" s="2">
        <f t="shared" si="26"/>
        <v>6.5012396005752299E-5</v>
      </c>
      <c r="AE69" s="51">
        <f t="shared" si="49"/>
        <v>0.65012396005752304</v>
      </c>
      <c r="AF69" s="10">
        <f t="shared" si="54"/>
        <v>0.37843714069670042</v>
      </c>
      <c r="AG69" s="10">
        <f t="shared" si="55"/>
        <v>0.37843714069670042</v>
      </c>
      <c r="AH69" s="8">
        <f t="shared" si="50"/>
        <v>13.584938154380543</v>
      </c>
      <c r="AI69" s="10">
        <f t="shared" si="56"/>
        <v>0.40337461953954445</v>
      </c>
      <c r="AJ69" s="10">
        <f t="shared" si="35"/>
        <v>0.55013921573848545</v>
      </c>
      <c r="AK69" s="10">
        <f t="shared" si="16"/>
        <v>0.32331786514390704</v>
      </c>
      <c r="AL69" s="162">
        <f t="shared" si="30"/>
        <v>0.43672854044119624</v>
      </c>
      <c r="AM69" s="178">
        <f t="shared" si="31"/>
        <v>5.829139974449582E-2</v>
      </c>
      <c r="AQ69" s="1">
        <f t="shared" si="51"/>
        <v>0.37843714069670042</v>
      </c>
      <c r="AR69" s="1">
        <f t="shared" si="52"/>
        <v>0</v>
      </c>
      <c r="AS69" s="1">
        <f t="shared" si="53"/>
        <v>0</v>
      </c>
      <c r="AT69" s="1">
        <f t="shared" si="32"/>
        <v>13.801825131291373</v>
      </c>
      <c r="AU69" s="1">
        <f t="shared" si="33"/>
        <v>327.71</v>
      </c>
      <c r="AV69" s="8">
        <f t="shared" si="34"/>
        <v>13.601825131291374</v>
      </c>
    </row>
    <row r="70" spans="1:48" ht="15" customHeight="1">
      <c r="A70" s="168">
        <v>358.1</v>
      </c>
      <c r="B70" s="98">
        <v>14.158001263711794</v>
      </c>
      <c r="C70" s="171">
        <v>1</v>
      </c>
      <c r="D70" s="8">
        <f t="shared" si="36"/>
        <v>13.958001263711795</v>
      </c>
      <c r="E70" s="8">
        <f t="shared" si="37"/>
        <v>11.066170317078178</v>
      </c>
      <c r="F70" s="8">
        <f t="shared" si="38"/>
        <v>2.8918309466336165</v>
      </c>
      <c r="G70" s="8">
        <f t="shared" si="39"/>
        <v>2.861203305200783</v>
      </c>
      <c r="H70" s="8"/>
      <c r="I70" s="8">
        <f t="shared" si="40"/>
        <v>0</v>
      </c>
      <c r="J70" s="8">
        <f t="shared" si="41"/>
        <v>13.927373622278962</v>
      </c>
      <c r="K70" s="8">
        <f t="shared" si="6"/>
        <v>0</v>
      </c>
      <c r="L70" s="8"/>
      <c r="M70" s="8">
        <f t="shared" si="42"/>
        <v>0</v>
      </c>
      <c r="N70" s="8">
        <f t="shared" si="43"/>
        <v>0</v>
      </c>
      <c r="O70" s="8">
        <f t="shared" si="44"/>
        <v>13.927373622278962</v>
      </c>
      <c r="P70" s="8"/>
      <c r="Q70" s="8">
        <f t="shared" si="45"/>
        <v>0</v>
      </c>
      <c r="R70" s="8"/>
      <c r="S70" s="9">
        <f t="shared" si="46"/>
        <v>0</v>
      </c>
      <c r="T70" s="165">
        <f t="shared" si="20"/>
        <v>1</v>
      </c>
      <c r="U70" s="163">
        <f t="shared" si="21"/>
        <v>0</v>
      </c>
      <c r="V70" s="8">
        <f t="shared" si="47"/>
        <v>0.35079063889712581</v>
      </c>
      <c r="X70" s="8">
        <f t="shared" si="48"/>
        <v>104.71916449594291</v>
      </c>
      <c r="Z70" s="2">
        <f t="shared" si="22"/>
        <v>3.9E-2</v>
      </c>
      <c r="AA70" s="4">
        <f t="shared" si="23"/>
        <v>358.1</v>
      </c>
      <c r="AB70" s="46">
        <f t="shared" si="24"/>
        <v>3.9E-2</v>
      </c>
      <c r="AC70" s="4">
        <f t="shared" si="25"/>
        <v>13.958001263711795</v>
      </c>
      <c r="AD70" s="2">
        <f t="shared" si="26"/>
        <v>5.949514743101113E-5</v>
      </c>
      <c r="AE70" s="51">
        <f t="shared" si="49"/>
        <v>0.59495147431011131</v>
      </c>
      <c r="AF70" s="10">
        <f t="shared" si="54"/>
        <v>0.3561761324204209</v>
      </c>
      <c r="AG70" s="10">
        <f t="shared" si="55"/>
        <v>0.3561761324204209</v>
      </c>
      <c r="AH70" s="8">
        <f t="shared" si="50"/>
        <v>13.927373622278962</v>
      </c>
      <c r="AI70" s="10">
        <f t="shared" si="56"/>
        <v>0.34243546789841872</v>
      </c>
      <c r="AJ70" s="10">
        <f t="shared" si="35"/>
        <v>0.46733240300065804</v>
      </c>
      <c r="AK70" s="10">
        <f t="shared" si="16"/>
        <v>0.28115791787274569</v>
      </c>
      <c r="AL70" s="162">
        <f t="shared" si="30"/>
        <v>0.37424516043670186</v>
      </c>
      <c r="AM70" s="178">
        <f t="shared" si="31"/>
        <v>1.8069028016280964E-2</v>
      </c>
      <c r="AQ70" s="1">
        <f t="shared" si="51"/>
        <v>0.3561761324204209</v>
      </c>
      <c r="AR70" s="1">
        <f t="shared" si="52"/>
        <v>0</v>
      </c>
      <c r="AS70" s="1">
        <f t="shared" si="53"/>
        <v>0</v>
      </c>
      <c r="AT70" s="1">
        <f t="shared" si="32"/>
        <v>14.158001263711794</v>
      </c>
      <c r="AU70" s="1">
        <f t="shared" si="33"/>
        <v>358.1</v>
      </c>
      <c r="AV70" s="8">
        <f t="shared" si="34"/>
        <v>13.958001263711795</v>
      </c>
    </row>
    <row r="71" spans="1:48" ht="15" customHeight="1">
      <c r="A71" s="168">
        <v>392.54</v>
      </c>
      <c r="B71" s="98">
        <v>14.491916387855941</v>
      </c>
      <c r="C71" s="171">
        <v>1</v>
      </c>
      <c r="D71" s="8">
        <f t="shared" si="36"/>
        <v>14.291916387855942</v>
      </c>
      <c r="E71" s="8">
        <f t="shared" si="37"/>
        <v>11.120428824894395</v>
      </c>
      <c r="F71" s="8">
        <f t="shared" si="38"/>
        <v>3.1714875629615467</v>
      </c>
      <c r="G71" s="8">
        <f t="shared" si="39"/>
        <v>3.1078871870319129</v>
      </c>
      <c r="H71" s="8"/>
      <c r="I71" s="8">
        <f t="shared" si="40"/>
        <v>-6.3600375929633746E-2</v>
      </c>
      <c r="J71" s="8">
        <f t="shared" si="41"/>
        <v>14.228316011926308</v>
      </c>
      <c r="K71" s="8">
        <f t="shared" si="6"/>
        <v>6.3600375929633302E-2</v>
      </c>
      <c r="L71" s="8"/>
      <c r="M71" s="8">
        <f t="shared" si="42"/>
        <v>0</v>
      </c>
      <c r="N71" s="8">
        <f t="shared" si="43"/>
        <v>-6.3600375929633302E-2</v>
      </c>
      <c r="O71" s="8">
        <f t="shared" si="44"/>
        <v>14.228316011926308</v>
      </c>
      <c r="P71" s="8"/>
      <c r="Q71" s="8">
        <f t="shared" si="45"/>
        <v>6.3600375929633302E-2</v>
      </c>
      <c r="R71" s="8"/>
      <c r="S71" s="9">
        <f t="shared" si="46"/>
        <v>4.0450078183906788E-3</v>
      </c>
      <c r="T71" s="165">
        <f t="shared" si="20"/>
        <v>1</v>
      </c>
      <c r="U71" s="163">
        <f t="shared" si="21"/>
        <v>4.0450078183906788E-3</v>
      </c>
      <c r="V71" s="8">
        <f t="shared" si="47"/>
        <v>0.33525970289042129</v>
      </c>
      <c r="X71" s="8">
        <f t="shared" si="48"/>
        <v>114.79045191632903</v>
      </c>
      <c r="Z71" s="2">
        <f t="shared" si="22"/>
        <v>3.5999999999999997E-2</v>
      </c>
      <c r="AA71" s="4">
        <f t="shared" si="23"/>
        <v>392.54</v>
      </c>
      <c r="AB71" s="46">
        <f t="shared" si="24"/>
        <v>3.5999999999999997E-2</v>
      </c>
      <c r="AC71" s="4">
        <f t="shared" si="25"/>
        <v>14.291916387855942</v>
      </c>
      <c r="AD71" s="2">
        <f t="shared" si="26"/>
        <v>5.4275264419027572E-5</v>
      </c>
      <c r="AE71" s="51">
        <f t="shared" si="49"/>
        <v>0.54275264419027569</v>
      </c>
      <c r="AF71" s="10">
        <f t="shared" si="54"/>
        <v>0.3339151241441467</v>
      </c>
      <c r="AG71" s="10">
        <f t="shared" si="55"/>
        <v>0.3339151241441467</v>
      </c>
      <c r="AH71" s="8">
        <f t="shared" si="50"/>
        <v>14.228316011926308</v>
      </c>
      <c r="AI71" s="10">
        <f t="shared" si="56"/>
        <v>0.30094238964734643</v>
      </c>
      <c r="AJ71" s="10">
        <f t="shared" si="35"/>
        <v>0.38878931083550894</v>
      </c>
      <c r="AK71" s="10">
        <f t="shared" si="16"/>
        <v>0.24091252242731631</v>
      </c>
      <c r="AL71" s="162">
        <f t="shared" si="30"/>
        <v>0.31485091663141263</v>
      </c>
      <c r="AM71" s="178">
        <f t="shared" si="31"/>
        <v>1.9064207512734077E-2</v>
      </c>
      <c r="AQ71" s="1">
        <f t="shared" si="51"/>
        <v>0.3339151241441467</v>
      </c>
      <c r="AR71" s="1">
        <f t="shared" si="52"/>
        <v>0</v>
      </c>
      <c r="AS71" s="1">
        <f t="shared" si="53"/>
        <v>0</v>
      </c>
      <c r="AT71" s="1">
        <f t="shared" si="32"/>
        <v>14.491916387855941</v>
      </c>
      <c r="AU71" s="1">
        <f t="shared" si="33"/>
        <v>392.54</v>
      </c>
      <c r="AV71" s="8">
        <f t="shared" si="34"/>
        <v>14.291916387855942</v>
      </c>
    </row>
    <row r="72" spans="1:48" ht="15" customHeight="1">
      <c r="A72" s="168">
        <v>428.32</v>
      </c>
      <c r="B72" s="98">
        <v>14.803570503723812</v>
      </c>
      <c r="C72" s="171">
        <v>1</v>
      </c>
      <c r="D72" s="8">
        <f t="shared" si="36"/>
        <v>14.603570503723812</v>
      </c>
      <c r="E72" s="8">
        <f t="shared" si="37"/>
        <v>11.170616012958384</v>
      </c>
      <c r="F72" s="8">
        <f t="shared" si="38"/>
        <v>3.4329544907654288</v>
      </c>
      <c r="G72" s="8">
        <f t="shared" si="39"/>
        <v>3.3042189824582437</v>
      </c>
      <c r="H72" s="8"/>
      <c r="I72" s="8">
        <f t="shared" si="40"/>
        <v>-0.12873550830718505</v>
      </c>
      <c r="J72" s="8">
        <f t="shared" si="41"/>
        <v>14.474834995416627</v>
      </c>
      <c r="K72" s="8">
        <f t="shared" si="6"/>
        <v>0.1287355083071855</v>
      </c>
      <c r="L72" s="8"/>
      <c r="M72" s="8">
        <f t="shared" si="42"/>
        <v>0</v>
      </c>
      <c r="N72" s="8">
        <f t="shared" si="43"/>
        <v>-0.1287355083071855</v>
      </c>
      <c r="O72" s="8">
        <f t="shared" si="44"/>
        <v>14.474834995416627</v>
      </c>
      <c r="P72" s="8"/>
      <c r="Q72" s="8">
        <f t="shared" si="45"/>
        <v>0.1287355083071855</v>
      </c>
      <c r="R72" s="8"/>
      <c r="S72" s="9">
        <f t="shared" si="46"/>
        <v>1.6572831099109425E-2</v>
      </c>
      <c r="T72" s="165">
        <f t="shared" si="20"/>
        <v>1</v>
      </c>
      <c r="U72" s="163">
        <f t="shared" si="21"/>
        <v>1.6572831099109425E-2</v>
      </c>
      <c r="V72" s="8">
        <f t="shared" si="47"/>
        <v>0.32076416261749707</v>
      </c>
      <c r="X72" s="8">
        <f t="shared" si="48"/>
        <v>125.2535954674735</v>
      </c>
      <c r="Z72" s="2">
        <f t="shared" si="22"/>
        <v>3.4000000000000002E-2</v>
      </c>
      <c r="AA72" s="4">
        <f t="shared" si="23"/>
        <v>428.32</v>
      </c>
      <c r="AB72" s="46">
        <f t="shared" si="24"/>
        <v>3.4000000000000002E-2</v>
      </c>
      <c r="AC72" s="4">
        <f t="shared" si="25"/>
        <v>14.603570503723812</v>
      </c>
      <c r="AD72" s="2">
        <f t="shared" si="26"/>
        <v>4.9741343610023081E-5</v>
      </c>
      <c r="AE72" s="51">
        <f t="shared" si="49"/>
        <v>0.49741343610023081</v>
      </c>
      <c r="AF72" s="10">
        <f t="shared" si="54"/>
        <v>0.31165411586787073</v>
      </c>
      <c r="AG72" s="10">
        <f t="shared" si="55"/>
        <v>0.31165411586787073</v>
      </c>
      <c r="AH72" s="8">
        <f t="shared" si="50"/>
        <v>14.474834995416627</v>
      </c>
      <c r="AI72" s="10">
        <f t="shared" si="56"/>
        <v>0.24651898349031853</v>
      </c>
      <c r="AJ72" s="10">
        <f t="shared" si="35"/>
        <v>0.32331786514390704</v>
      </c>
      <c r="AK72" s="10">
        <f t="shared" si="16"/>
        <v>0.21111713087908335</v>
      </c>
      <c r="AL72" s="162">
        <f t="shared" si="30"/>
        <v>0.26721749801149519</v>
      </c>
      <c r="AM72" s="178">
        <f t="shared" si="31"/>
        <v>4.4436617856375538E-2</v>
      </c>
      <c r="AQ72" s="1">
        <f t="shared" si="51"/>
        <v>0.31165411586787073</v>
      </c>
      <c r="AR72" s="1">
        <f t="shared" si="52"/>
        <v>0</v>
      </c>
      <c r="AS72" s="1">
        <f t="shared" si="53"/>
        <v>0</v>
      </c>
      <c r="AT72" s="1">
        <f t="shared" si="32"/>
        <v>14.803570503723812</v>
      </c>
      <c r="AU72" s="1">
        <f t="shared" si="33"/>
        <v>428.32</v>
      </c>
      <c r="AV72" s="8">
        <f t="shared" si="34"/>
        <v>14.603570503723812</v>
      </c>
    </row>
    <row r="73" spans="1:48" ht="15" customHeight="1">
      <c r="A73" s="168">
        <v>471.12</v>
      </c>
      <c r="B73" s="98">
        <v>15.070702603039129</v>
      </c>
      <c r="C73" s="171">
        <v>1</v>
      </c>
      <c r="D73" s="8">
        <f t="shared" si="36"/>
        <v>14.870702603039129</v>
      </c>
      <c r="E73" s="8">
        <f t="shared" si="37"/>
        <v>11.223961471038939</v>
      </c>
      <c r="F73" s="8">
        <f t="shared" si="38"/>
        <v>3.6467411320001908</v>
      </c>
      <c r="G73" s="8">
        <f t="shared" si="39"/>
        <v>3.4856083548325874</v>
      </c>
      <c r="H73" s="8"/>
      <c r="I73" s="8">
        <f t="shared" si="40"/>
        <v>-0.16113277716760344</v>
      </c>
      <c r="J73" s="8">
        <f t="shared" si="41"/>
        <v>14.709569825871526</v>
      </c>
      <c r="K73" s="8">
        <f t="shared" si="6"/>
        <v>0.16113277716760344</v>
      </c>
      <c r="L73" s="8"/>
      <c r="M73" s="8">
        <f t="shared" si="42"/>
        <v>0</v>
      </c>
      <c r="N73" s="8">
        <f t="shared" si="43"/>
        <v>-0.16113277716760344</v>
      </c>
      <c r="O73" s="8">
        <f t="shared" si="44"/>
        <v>14.709569825871526</v>
      </c>
      <c r="P73" s="8"/>
      <c r="Q73" s="8">
        <f t="shared" si="45"/>
        <v>0.16113277716760344</v>
      </c>
      <c r="R73" s="8"/>
      <c r="S73" s="9">
        <f t="shared" si="46"/>
        <v>2.5963771877744544E-2</v>
      </c>
      <c r="T73" s="165">
        <f t="shared" si="20"/>
        <v>1</v>
      </c>
      <c r="U73" s="163">
        <f t="shared" si="21"/>
        <v>2.5963771877744544E-2</v>
      </c>
      <c r="V73" s="8">
        <f t="shared" si="47"/>
        <v>0.30833941381213348</v>
      </c>
      <c r="X73" s="8">
        <f t="shared" si="48"/>
        <v>137.7695972558744</v>
      </c>
      <c r="Z73" s="2">
        <f t="shared" si="22"/>
        <v>3.2000000000000001E-2</v>
      </c>
      <c r="AA73" s="4">
        <f t="shared" si="23"/>
        <v>471.12</v>
      </c>
      <c r="AB73" s="46">
        <f t="shared" si="24"/>
        <v>3.2000000000000001E-2</v>
      </c>
      <c r="AC73" s="4">
        <f t="shared" si="25"/>
        <v>14.870702603039129</v>
      </c>
      <c r="AD73" s="2">
        <f t="shared" si="26"/>
        <v>4.5222474730525312E-5</v>
      </c>
      <c r="AE73" s="51">
        <f t="shared" si="49"/>
        <v>0.45222474730525314</v>
      </c>
      <c r="AF73" s="10">
        <f t="shared" si="54"/>
        <v>0.26713209931531701</v>
      </c>
      <c r="AG73" s="10">
        <f t="shared" si="55"/>
        <v>0.26713209931531701</v>
      </c>
      <c r="AH73" s="8">
        <f t="shared" si="50"/>
        <v>14.709569825871526</v>
      </c>
      <c r="AI73" s="10">
        <f t="shared" si="56"/>
        <v>0.23473483045489907</v>
      </c>
      <c r="AJ73" s="10">
        <f t="shared" si="35"/>
        <v>0.28115791787274569</v>
      </c>
      <c r="AK73" s="10">
        <f t="shared" si="16"/>
        <v>0.18910605663546631</v>
      </c>
      <c r="AL73" s="162">
        <f t="shared" si="30"/>
        <v>0.235131987254106</v>
      </c>
      <c r="AM73" s="178">
        <f t="shared" si="31"/>
        <v>3.2000112061211006E-2</v>
      </c>
      <c r="AQ73" s="1">
        <f t="shared" si="51"/>
        <v>0.26713209931531701</v>
      </c>
      <c r="AR73" s="1">
        <f t="shared" si="52"/>
        <v>0</v>
      </c>
      <c r="AS73" s="1">
        <f t="shared" si="53"/>
        <v>0</v>
      </c>
      <c r="AT73" s="1">
        <f t="shared" si="32"/>
        <v>15.070702603039129</v>
      </c>
      <c r="AU73" s="1">
        <f t="shared" si="33"/>
        <v>471.12</v>
      </c>
      <c r="AV73" s="8">
        <f t="shared" si="34"/>
        <v>14.870702603039129</v>
      </c>
    </row>
    <row r="74" spans="1:48" ht="15" customHeight="1">
      <c r="A74" s="168">
        <v>512</v>
      </c>
      <c r="B74" s="98">
        <v>15.31557369407817</v>
      </c>
      <c r="C74" s="171">
        <v>1</v>
      </c>
      <c r="D74" s="8">
        <f t="shared" ref="D74:D105" si="57">IF(B74-$D$4&gt;0.05,B74-$D$4,IF(A74="","",0))</f>
        <v>15.11557369407817</v>
      </c>
      <c r="E74" s="8">
        <f t="shared" ref="E74:E105" si="58">IF(D74="","",IF(A74&lt;$F$4+0.01,0,10^(((-0.434*$E$4)/(LOG(A74)-LOG($F$4)))+LOG($G$4))))</f>
        <v>11.269376269600569</v>
      </c>
      <c r="F74" s="8">
        <f t="shared" ref="F74:F105" si="59">IF(E74="","",IF(ABS(D74-E74)&lt;0.05,0,D74-E74))</f>
        <v>3.8461974244776016</v>
      </c>
      <c r="G74" s="8">
        <f t="shared" ref="G74:G105" si="60">IF(OR(D74="",$I$4=""),"",IF(A74&lt;$J$4,0,10^(((-0.434*$I$4)/(LOG(A74)-LOG($J$4)))+LOG($K$4))))</f>
        <v>3.6216474423876579</v>
      </c>
      <c r="H74" s="8"/>
      <c r="I74" s="8">
        <f t="shared" ref="I74:I105" si="61">IF(G74="","",IF(ABS(G74-F74)&lt;0.05,0,G74-F74))</f>
        <v>-0.2245499820899437</v>
      </c>
      <c r="J74" s="8">
        <f t="shared" ref="J74:J105" si="62">IF(G74="","",E74+G74)</f>
        <v>14.891023711988227</v>
      </c>
      <c r="K74" s="8">
        <f t="shared" ref="K74:K127" si="63">IF(J74="","",IF(ABS(D74-J74)&lt;0.05,0,D74-J74))</f>
        <v>0.22454998208994326</v>
      </c>
      <c r="L74" s="8"/>
      <c r="M74" s="8">
        <f t="shared" ref="M74:M105" si="64">IF(OR(G74="",$M$4=""),"",IF(A74&lt;$N$4,0,10^(((-0.434*$M$4)/(LOG(A74)-LOG($N$4)))+LOG($O$4))))</f>
        <v>0</v>
      </c>
      <c r="N74" s="8">
        <f t="shared" ref="N74:N105" si="65">IF(M74="","",IF(ABS(M74-K74)&lt;0.05,0,M74-K74))</f>
        <v>-0.22454998208994326</v>
      </c>
      <c r="O74" s="8">
        <f t="shared" ref="O74:O105" si="66">IF(N74="","",E74+G74+M74)</f>
        <v>14.891023711988227</v>
      </c>
      <c r="P74" s="8"/>
      <c r="Q74" s="8">
        <f t="shared" ref="Q74:Q105" si="67">IF(O74="","",IF(ABS(D74-O74)&lt;0.05,0,D74-O74))</f>
        <v>0.22454998208994326</v>
      </c>
      <c r="R74" s="8"/>
      <c r="S74" s="9">
        <f t="shared" si="46"/>
        <v>5.0422694456593836E-2</v>
      </c>
      <c r="T74" s="165">
        <f t="shared" si="20"/>
        <v>1</v>
      </c>
      <c r="U74" s="163">
        <f t="shared" si="21"/>
        <v>5.0422694456593836E-2</v>
      </c>
      <c r="V74" s="8">
        <f t="shared" ref="V74:V105" si="68">IF(D74="","",IF(X74=0," ",1-(D74/$Q$4)))</f>
        <v>0.29695006074055019</v>
      </c>
      <c r="X74" s="8">
        <f t="shared" ref="X74:X105" si="69">IF(D74="","",($X$3*COS($Z$3*PI()/180)/($X$4*ABS(COS($Z$4*PI()/180))*0.434*($V$5-$V$6))*A74))</f>
        <v>149.7241335434872</v>
      </c>
      <c r="Z74" s="2">
        <f t="shared" si="22"/>
        <v>0.03</v>
      </c>
      <c r="AA74" s="4">
        <f t="shared" si="23"/>
        <v>512</v>
      </c>
      <c r="AB74" s="46">
        <f t="shared" si="24"/>
        <v>0.03</v>
      </c>
      <c r="AC74" s="4">
        <f t="shared" si="25"/>
        <v>15.11557369407817</v>
      </c>
      <c r="AD74" s="2">
        <f t="shared" si="26"/>
        <v>4.1611742763759934E-5</v>
      </c>
      <c r="AE74" s="51">
        <f t="shared" ref="AE74:AE105" si="70">IF(D74="","",IF(AD74=" "," ",AD74*10000))</f>
        <v>0.41611742763759935</v>
      </c>
      <c r="AF74" s="10">
        <f t="shared" si="54"/>
        <v>0.24487109103904103</v>
      </c>
      <c r="AG74" s="10">
        <f t="shared" si="55"/>
        <v>0.24487109103904103</v>
      </c>
      <c r="AH74" s="8">
        <f t="shared" ref="AH74:AH105" si="71">(IF(O74="",(IF(J74="",E74,J74)),O74 ))</f>
        <v>14.891023711988227</v>
      </c>
      <c r="AI74" s="10">
        <f t="shared" si="56"/>
        <v>0.18145388611670121</v>
      </c>
      <c r="AJ74" s="10">
        <f t="shared" si="35"/>
        <v>0.24091252242731631</v>
      </c>
      <c r="AK74" s="10">
        <f t="shared" ref="AK74:AK127" si="72">AVERAGE(AI74:AI77)</f>
        <v>0.1655392642712834</v>
      </c>
      <c r="AL74" s="162">
        <f t="shared" si="30"/>
        <v>0.20322589334929986</v>
      </c>
      <c r="AM74" s="178">
        <f t="shared" si="31"/>
        <v>4.1645197689741176E-2</v>
      </c>
      <c r="AQ74" s="1">
        <f t="shared" ref="AQ74:AQ105" si="73" xml:space="preserve"> IF(C74=1,AG74,0.005)</f>
        <v>0.24487109103904103</v>
      </c>
      <c r="AR74" s="1">
        <f t="shared" ref="AR74:AR105" si="74">IF(C74=1,0,1)</f>
        <v>0</v>
      </c>
      <c r="AS74" s="1">
        <f t="shared" ref="AS74:AS105" si="75">(AG74*AR74)</f>
        <v>0</v>
      </c>
      <c r="AT74" s="1">
        <f t="shared" si="32"/>
        <v>15.31557369407817</v>
      </c>
      <c r="AU74" s="1">
        <f t="shared" si="33"/>
        <v>512</v>
      </c>
      <c r="AV74" s="8">
        <f t="shared" si="34"/>
        <v>15.11557369407817</v>
      </c>
    </row>
    <row r="75" spans="1:48" ht="15" customHeight="1">
      <c r="A75" s="168">
        <v>561.94000000000005</v>
      </c>
      <c r="B75" s="98">
        <v>15.493661760288379</v>
      </c>
      <c r="C75" s="171">
        <v>1</v>
      </c>
      <c r="D75" s="8">
        <f t="shared" si="57"/>
        <v>15.29366176028838</v>
      </c>
      <c r="E75" s="8">
        <f t="shared" si="58"/>
        <v>11.318904422312581</v>
      </c>
      <c r="F75" s="8">
        <f t="shared" si="59"/>
        <v>3.9747573379757988</v>
      </c>
      <c r="G75" s="8">
        <f t="shared" si="60"/>
        <v>3.7538801131300605</v>
      </c>
      <c r="H75" s="8"/>
      <c r="I75" s="8">
        <f t="shared" si="61"/>
        <v>-0.22087722484573824</v>
      </c>
      <c r="J75" s="8">
        <f t="shared" si="62"/>
        <v>15.072784535442642</v>
      </c>
      <c r="K75" s="8">
        <f t="shared" si="63"/>
        <v>0.22087722484573824</v>
      </c>
      <c r="L75" s="8"/>
      <c r="M75" s="8">
        <f t="shared" si="64"/>
        <v>0</v>
      </c>
      <c r="N75" s="8">
        <f t="shared" si="65"/>
        <v>-0.22087722484573824</v>
      </c>
      <c r="O75" s="8">
        <f t="shared" si="66"/>
        <v>15.072784535442642</v>
      </c>
      <c r="P75" s="8"/>
      <c r="Q75" s="8">
        <f t="shared" si="67"/>
        <v>0.22087722484573824</v>
      </c>
      <c r="R75" s="8"/>
      <c r="S75" s="9">
        <f t="shared" si="46"/>
        <v>4.8786748455554807E-2</v>
      </c>
      <c r="T75" s="165">
        <f t="shared" ref="T75:T138" si="76">C75</f>
        <v>1</v>
      </c>
      <c r="U75" s="163">
        <f t="shared" ref="U75:U127" si="77">S75*T75</f>
        <v>4.8786748455554807E-2</v>
      </c>
      <c r="V75" s="8">
        <f t="shared" si="68"/>
        <v>0.28866689487030794</v>
      </c>
      <c r="X75" s="8">
        <f t="shared" si="69"/>
        <v>164.32808516294375</v>
      </c>
      <c r="Z75" s="2">
        <f t="shared" ref="Z75:Z127" si="78">ROUND($D75/$A75,3)</f>
        <v>2.7E-2</v>
      </c>
      <c r="AA75" s="4">
        <f t="shared" ref="AA75:AA127" si="79">A75</f>
        <v>561.94000000000005</v>
      </c>
      <c r="AB75" s="46">
        <f t="shared" ref="AB75:AB127" si="80">ROUND($D75/$A75,3)</f>
        <v>2.7E-2</v>
      </c>
      <c r="AC75" s="4">
        <f t="shared" ref="AC75:AC127" si="81">D75</f>
        <v>15.29366176028838</v>
      </c>
      <c r="AD75" s="2">
        <f t="shared" ref="AD75:AD127" si="82">IF(D75="","",(-4*$X$4*COS($Z$4*PI()/180))/(A75*69035))</f>
        <v>3.7913678141874721E-5</v>
      </c>
      <c r="AE75" s="51">
        <f t="shared" si="70"/>
        <v>0.37913678141874724</v>
      </c>
      <c r="AF75" s="10">
        <f t="shared" ref="AF75:AF106" si="83">IF(B75-B74&lt;0.0001,0.0001,B75-B74)</f>
        <v>0.17808806621020956</v>
      </c>
      <c r="AG75" s="10">
        <f t="shared" ref="AG75:AG106" si="84">IF(D75-D74&lt;0.0001,0.0001,D75-D74)</f>
        <v>0.17808806621020956</v>
      </c>
      <c r="AH75" s="8">
        <f t="shared" si="71"/>
        <v>15.072784535442642</v>
      </c>
      <c r="AI75" s="10">
        <f t="shared" ref="AI75:AI106" si="85">IF(AH75-AH74&lt;0.0001,0.0001,AH75-AH74)</f>
        <v>0.18176082345441458</v>
      </c>
      <c r="AJ75" s="10">
        <f t="shared" si="35"/>
        <v>0.21111713087908335</v>
      </c>
      <c r="AK75" s="10">
        <f t="shared" si="72"/>
        <v>0.15347493142631841</v>
      </c>
      <c r="AL75" s="162">
        <f t="shared" ref="AL75:AL127" si="86">AVERAGE(AJ75:AK75)</f>
        <v>0.18229603115270088</v>
      </c>
      <c r="AM75" s="178">
        <f t="shared" ref="AM75:AM138" si="87">IF(AQ75=0.0001,0,((AL75-AQ75)^2)^0.5)</f>
        <v>4.2079649424913157E-3</v>
      </c>
      <c r="AQ75" s="1">
        <f t="shared" si="73"/>
        <v>0.17808806621020956</v>
      </c>
      <c r="AR75" s="1">
        <f t="shared" si="74"/>
        <v>0</v>
      </c>
      <c r="AS75" s="1">
        <f t="shared" si="75"/>
        <v>0</v>
      </c>
      <c r="AT75" s="1">
        <f t="shared" ref="AT75:AT138" si="88">B75</f>
        <v>15.493661760288379</v>
      </c>
      <c r="AU75" s="1">
        <f t="shared" ref="AU75:AU138" si="89">A75</f>
        <v>561.94000000000005</v>
      </c>
      <c r="AV75" s="8">
        <f t="shared" ref="AV75:AV138" si="90">IF(C75=1,D75,0.01)</f>
        <v>15.29366176028838</v>
      </c>
    </row>
    <row r="76" spans="1:48" ht="15" customHeight="1">
      <c r="A76" s="168">
        <v>614.97</v>
      </c>
      <c r="B76" s="98">
        <v>15.649488818222318</v>
      </c>
      <c r="C76" s="171">
        <v>1</v>
      </c>
      <c r="D76" s="8">
        <f t="shared" si="57"/>
        <v>15.449488818222319</v>
      </c>
      <c r="E76" s="8">
        <f t="shared" si="58"/>
        <v>11.365664261158402</v>
      </c>
      <c r="F76" s="8">
        <f t="shared" si="59"/>
        <v>4.0838245570639167</v>
      </c>
      <c r="G76" s="8">
        <f t="shared" si="60"/>
        <v>3.8655949608000908</v>
      </c>
      <c r="H76" s="8"/>
      <c r="I76" s="8">
        <f t="shared" si="61"/>
        <v>-0.21822959626382588</v>
      </c>
      <c r="J76" s="8">
        <f t="shared" si="62"/>
        <v>15.231259221958492</v>
      </c>
      <c r="K76" s="8">
        <f t="shared" si="63"/>
        <v>0.21822959626382676</v>
      </c>
      <c r="L76" s="8"/>
      <c r="M76" s="8">
        <f t="shared" si="64"/>
        <v>0</v>
      </c>
      <c r="N76" s="8">
        <f t="shared" si="65"/>
        <v>-0.21822959626382676</v>
      </c>
      <c r="O76" s="8">
        <f t="shared" si="66"/>
        <v>15.231259221958492</v>
      </c>
      <c r="P76" s="8"/>
      <c r="Q76" s="8">
        <f t="shared" si="67"/>
        <v>0.21822959626382676</v>
      </c>
      <c r="R76" s="8"/>
      <c r="S76" s="9">
        <f t="shared" si="46"/>
        <v>4.7624156685472832E-2</v>
      </c>
      <c r="T76" s="165">
        <f t="shared" si="76"/>
        <v>1</v>
      </c>
      <c r="U76" s="163">
        <f t="shared" si="77"/>
        <v>4.7624156685472832E-2</v>
      </c>
      <c r="V76" s="8">
        <f t="shared" si="68"/>
        <v>0.28141912473384567</v>
      </c>
      <c r="X76" s="8">
        <f t="shared" si="69"/>
        <v>179.8356453227311</v>
      </c>
      <c r="Z76" s="2">
        <f t="shared" si="78"/>
        <v>2.5000000000000001E-2</v>
      </c>
      <c r="AA76" s="4">
        <f t="shared" si="79"/>
        <v>614.97</v>
      </c>
      <c r="AB76" s="46">
        <f t="shared" si="80"/>
        <v>2.5000000000000001E-2</v>
      </c>
      <c r="AC76" s="4">
        <f t="shared" si="81"/>
        <v>15.449488818222319</v>
      </c>
      <c r="AD76" s="2">
        <f t="shared" si="82"/>
        <v>3.4644311584378235E-5</v>
      </c>
      <c r="AE76" s="51">
        <f t="shared" si="70"/>
        <v>0.34644311584378235</v>
      </c>
      <c r="AF76" s="10">
        <f t="shared" si="83"/>
        <v>0.15582705793393892</v>
      </c>
      <c r="AG76" s="10">
        <f t="shared" si="84"/>
        <v>0.15582705793393892</v>
      </c>
      <c r="AH76" s="8">
        <f t="shared" si="71"/>
        <v>15.231259221958492</v>
      </c>
      <c r="AI76" s="10">
        <f t="shared" si="85"/>
        <v>0.15847468651585039</v>
      </c>
      <c r="AJ76" s="10">
        <f t="shared" si="35"/>
        <v>0.18910605663546631</v>
      </c>
      <c r="AK76" s="10">
        <f t="shared" si="72"/>
        <v>0.13950016078236738</v>
      </c>
      <c r="AL76" s="162">
        <f t="shared" si="86"/>
        <v>0.16430310870891685</v>
      </c>
      <c r="AM76" s="178">
        <f t="shared" si="87"/>
        <v>8.4760507749779279E-3</v>
      </c>
      <c r="AQ76" s="1">
        <f t="shared" si="73"/>
        <v>0.15582705793393892</v>
      </c>
      <c r="AR76" s="1">
        <f t="shared" si="74"/>
        <v>0</v>
      </c>
      <c r="AS76" s="1">
        <f t="shared" si="75"/>
        <v>0</v>
      </c>
      <c r="AT76" s="1">
        <f t="shared" si="88"/>
        <v>15.649488818222318</v>
      </c>
      <c r="AU76" s="1">
        <f t="shared" si="89"/>
        <v>614.97</v>
      </c>
      <c r="AV76" s="8">
        <f t="shared" si="90"/>
        <v>15.449488818222319</v>
      </c>
    </row>
    <row r="77" spans="1:48" ht="15" customHeight="1">
      <c r="A77" s="168">
        <v>671.44</v>
      </c>
      <c r="B77" s="98">
        <v>15.783054867879976</v>
      </c>
      <c r="C77" s="171">
        <v>0</v>
      </c>
      <c r="D77" s="8">
        <f t="shared" si="57"/>
        <v>15.583054867879977</v>
      </c>
      <c r="E77" s="8">
        <f t="shared" si="58"/>
        <v>11.410097105083274</v>
      </c>
      <c r="F77" s="8">
        <f t="shared" si="59"/>
        <v>4.1729577627967025</v>
      </c>
      <c r="G77" s="8">
        <f t="shared" si="60"/>
        <v>3.9616297778733855</v>
      </c>
      <c r="H77" s="8"/>
      <c r="I77" s="8">
        <f t="shared" si="61"/>
        <v>-0.21132798492331695</v>
      </c>
      <c r="J77" s="8">
        <f t="shared" si="62"/>
        <v>15.37172688295666</v>
      </c>
      <c r="K77" s="8">
        <f t="shared" si="63"/>
        <v>0.21132798492331695</v>
      </c>
      <c r="L77" s="8"/>
      <c r="M77" s="8">
        <f t="shared" si="64"/>
        <v>0</v>
      </c>
      <c r="N77" s="8">
        <f t="shared" si="65"/>
        <v>-0.21132798492331695</v>
      </c>
      <c r="O77" s="8">
        <f t="shared" si="66"/>
        <v>15.37172688295666</v>
      </c>
      <c r="P77" s="8"/>
      <c r="Q77" s="8">
        <f t="shared" si="67"/>
        <v>0.21132798492331695</v>
      </c>
      <c r="R77" s="8"/>
      <c r="S77" s="9">
        <f t="shared" si="46"/>
        <v>4.4659517211749676E-2</v>
      </c>
      <c r="T77" s="165">
        <f t="shared" si="76"/>
        <v>0</v>
      </c>
      <c r="U77" s="163">
        <f t="shared" si="77"/>
        <v>0</v>
      </c>
      <c r="V77" s="8">
        <f t="shared" si="68"/>
        <v>0.27520675033116393</v>
      </c>
      <c r="X77" s="8">
        <f t="shared" si="69"/>
        <v>196.34916450476376</v>
      </c>
      <c r="Z77" s="2">
        <f t="shared" si="78"/>
        <v>2.3E-2</v>
      </c>
      <c r="AA77" s="4">
        <f t="shared" si="79"/>
        <v>671.44</v>
      </c>
      <c r="AB77" s="46">
        <f t="shared" si="80"/>
        <v>2.3E-2</v>
      </c>
      <c r="AC77" s="4">
        <f t="shared" si="81"/>
        <v>15.583054867879977</v>
      </c>
      <c r="AD77" s="2">
        <f t="shared" si="82"/>
        <v>3.1730627152158171E-5</v>
      </c>
      <c r="AE77" s="51">
        <f t="shared" si="70"/>
        <v>0.3173062715215817</v>
      </c>
      <c r="AF77" s="10">
        <f t="shared" si="83"/>
        <v>0.13356604965765762</v>
      </c>
      <c r="AG77" s="10">
        <f t="shared" si="84"/>
        <v>0.13356604965765762</v>
      </c>
      <c r="AH77" s="8">
        <f t="shared" si="71"/>
        <v>15.37172688295666</v>
      </c>
      <c r="AI77" s="10">
        <f t="shared" si="85"/>
        <v>0.14046766099816743</v>
      </c>
      <c r="AJ77" s="10">
        <f t="shared" si="35"/>
        <v>0.1655392642712834</v>
      </c>
      <c r="AK77" s="10">
        <f t="shared" si="72"/>
        <v>0.12840880592380932</v>
      </c>
      <c r="AL77" s="162">
        <f t="shared" si="86"/>
        <v>0.14697403509754636</v>
      </c>
      <c r="AM77" s="178">
        <f t="shared" si="87"/>
        <v>0.14197403509754636</v>
      </c>
      <c r="AQ77" s="1">
        <f t="shared" si="73"/>
        <v>5.0000000000000001E-3</v>
      </c>
      <c r="AR77" s="1">
        <f t="shared" si="74"/>
        <v>1</v>
      </c>
      <c r="AS77" s="1">
        <f t="shared" si="75"/>
        <v>0.13356604965765762</v>
      </c>
      <c r="AT77" s="1">
        <f t="shared" si="88"/>
        <v>15.783054867879976</v>
      </c>
      <c r="AU77" s="1">
        <f t="shared" si="89"/>
        <v>671.44</v>
      </c>
      <c r="AV77" s="8">
        <f t="shared" si="90"/>
        <v>0.01</v>
      </c>
    </row>
    <row r="78" spans="1:48" ht="15" customHeight="1">
      <c r="A78" s="168">
        <v>735.37</v>
      </c>
      <c r="B78" s="98">
        <v>15.916620917537633</v>
      </c>
      <c r="C78" s="171">
        <v>0</v>
      </c>
      <c r="D78" s="8">
        <f t="shared" si="57"/>
        <v>15.716620917537634</v>
      </c>
      <c r="E78" s="8">
        <f t="shared" si="58"/>
        <v>11.454974407189829</v>
      </c>
      <c r="F78" s="8">
        <f t="shared" si="59"/>
        <v>4.2616465103478056</v>
      </c>
      <c r="G78" s="8">
        <f t="shared" si="60"/>
        <v>4.0499490305036723</v>
      </c>
      <c r="H78" s="8"/>
      <c r="I78" s="8">
        <f t="shared" si="61"/>
        <v>-0.21169747984413334</v>
      </c>
      <c r="J78" s="8">
        <f t="shared" si="62"/>
        <v>15.504923437693501</v>
      </c>
      <c r="K78" s="8">
        <f t="shared" si="63"/>
        <v>0.21169747984413334</v>
      </c>
      <c r="L78" s="8"/>
      <c r="M78" s="8">
        <f t="shared" si="64"/>
        <v>0</v>
      </c>
      <c r="N78" s="8">
        <f t="shared" si="65"/>
        <v>-0.21169747984413334</v>
      </c>
      <c r="O78" s="8">
        <f t="shared" si="66"/>
        <v>15.504923437693501</v>
      </c>
      <c r="P78" s="8"/>
      <c r="Q78" s="8">
        <f t="shared" si="67"/>
        <v>0.21169747984413334</v>
      </c>
      <c r="R78" s="8"/>
      <c r="S78" s="9">
        <f t="shared" si="46"/>
        <v>4.4815822972357242E-2</v>
      </c>
      <c r="T78" s="165">
        <f t="shared" si="76"/>
        <v>0</v>
      </c>
      <c r="U78" s="163">
        <f t="shared" si="77"/>
        <v>0</v>
      </c>
      <c r="V78" s="8">
        <f t="shared" si="68"/>
        <v>0.26899437592848219</v>
      </c>
      <c r="X78" s="8">
        <f t="shared" si="69"/>
        <v>215.04421110131676</v>
      </c>
      <c r="Z78" s="2">
        <f t="shared" si="78"/>
        <v>2.1000000000000001E-2</v>
      </c>
      <c r="AA78" s="4">
        <f t="shared" si="79"/>
        <v>735.37</v>
      </c>
      <c r="AB78" s="46">
        <f t="shared" si="80"/>
        <v>2.1000000000000001E-2</v>
      </c>
      <c r="AC78" s="4">
        <f t="shared" si="81"/>
        <v>15.716620917537634</v>
      </c>
      <c r="AD78" s="2">
        <f t="shared" si="82"/>
        <v>2.8972098800665084E-5</v>
      </c>
      <c r="AE78" s="51">
        <f t="shared" si="70"/>
        <v>0.28972098800665086</v>
      </c>
      <c r="AF78" s="10">
        <f t="shared" si="83"/>
        <v>0.13356604965765762</v>
      </c>
      <c r="AG78" s="10">
        <f t="shared" si="84"/>
        <v>0.13356604965765762</v>
      </c>
      <c r="AH78" s="8">
        <f t="shared" si="71"/>
        <v>15.504923437693501</v>
      </c>
      <c r="AI78" s="10">
        <f t="shared" si="85"/>
        <v>0.13319655473684122</v>
      </c>
      <c r="AJ78" s="10">
        <f t="shared" ref="AJ78:AJ127" si="91">AVERAGE(AI75:AI78)</f>
        <v>0.15347493142631841</v>
      </c>
      <c r="AK78" s="10">
        <f t="shared" si="72"/>
        <v>0.15992211186325767</v>
      </c>
      <c r="AL78" s="162">
        <f t="shared" si="86"/>
        <v>0.15669852164478804</v>
      </c>
      <c r="AM78" s="178">
        <f t="shared" si="87"/>
        <v>0.15169852164478803</v>
      </c>
      <c r="AQ78" s="1">
        <f t="shared" si="73"/>
        <v>5.0000000000000001E-3</v>
      </c>
      <c r="AR78" s="1">
        <f t="shared" si="74"/>
        <v>1</v>
      </c>
      <c r="AS78" s="1">
        <f t="shared" si="75"/>
        <v>0.13356604965765762</v>
      </c>
      <c r="AT78" s="1">
        <f t="shared" si="88"/>
        <v>15.916620917537633</v>
      </c>
      <c r="AU78" s="1">
        <f t="shared" si="89"/>
        <v>735.37</v>
      </c>
      <c r="AV78" s="8">
        <f t="shared" si="90"/>
        <v>0.01</v>
      </c>
    </row>
    <row r="79" spans="1:48" ht="15" customHeight="1">
      <c r="A79" s="168">
        <v>807.43</v>
      </c>
      <c r="B79" s="98">
        <v>16.050186967195295</v>
      </c>
      <c r="C79" s="171">
        <v>0</v>
      </c>
      <c r="D79" s="8">
        <f t="shared" si="57"/>
        <v>15.850186967195295</v>
      </c>
      <c r="E79" s="8">
        <f t="shared" si="58"/>
        <v>11.499955123779467</v>
      </c>
      <c r="F79" s="8">
        <f t="shared" si="59"/>
        <v>4.3502318434158287</v>
      </c>
      <c r="G79" s="8">
        <f t="shared" si="60"/>
        <v>4.1308300547926446</v>
      </c>
      <c r="H79" s="8"/>
      <c r="I79" s="8">
        <f t="shared" si="61"/>
        <v>-0.21940178862318405</v>
      </c>
      <c r="J79" s="8">
        <f t="shared" si="62"/>
        <v>15.630785178572111</v>
      </c>
      <c r="K79" s="8">
        <f t="shared" si="63"/>
        <v>0.21940178862318405</v>
      </c>
      <c r="L79" s="8"/>
      <c r="M79" s="8">
        <f t="shared" si="64"/>
        <v>0</v>
      </c>
      <c r="N79" s="8">
        <f t="shared" si="65"/>
        <v>-0.21940178862318405</v>
      </c>
      <c r="O79" s="8">
        <f t="shared" si="66"/>
        <v>15.630785178572111</v>
      </c>
      <c r="P79" s="8"/>
      <c r="Q79" s="8">
        <f t="shared" si="67"/>
        <v>0.21940178862318405</v>
      </c>
      <c r="R79" s="8"/>
      <c r="S79" s="9">
        <f t="shared" si="46"/>
        <v>4.8137144851052333E-2</v>
      </c>
      <c r="T79" s="165">
        <f t="shared" si="76"/>
        <v>0</v>
      </c>
      <c r="U79" s="163">
        <f t="shared" si="77"/>
        <v>0</v>
      </c>
      <c r="V79" s="8">
        <f t="shared" si="68"/>
        <v>0.26278200152580022</v>
      </c>
      <c r="X79" s="8">
        <f t="shared" si="69"/>
        <v>236.11671317776927</v>
      </c>
      <c r="Z79" s="2">
        <f t="shared" si="78"/>
        <v>0.02</v>
      </c>
      <c r="AA79" s="4">
        <f t="shared" si="79"/>
        <v>807.43</v>
      </c>
      <c r="AB79" s="46">
        <f t="shared" si="80"/>
        <v>0.02</v>
      </c>
      <c r="AC79" s="4">
        <f t="shared" si="81"/>
        <v>15.850186967195295</v>
      </c>
      <c r="AD79" s="2">
        <f t="shared" si="82"/>
        <v>2.6386451203256118E-5</v>
      </c>
      <c r="AE79" s="51">
        <f t="shared" si="70"/>
        <v>0.26386451203256117</v>
      </c>
      <c r="AF79" s="10">
        <f t="shared" si="83"/>
        <v>0.13356604965766117</v>
      </c>
      <c r="AG79" s="10">
        <f t="shared" si="84"/>
        <v>0.13356604965766117</v>
      </c>
      <c r="AH79" s="8">
        <f t="shared" si="71"/>
        <v>15.630785178572111</v>
      </c>
      <c r="AI79" s="10">
        <f t="shared" si="85"/>
        <v>0.12586174087861046</v>
      </c>
      <c r="AJ79" s="10">
        <f t="shared" si="91"/>
        <v>0.13950016078236738</v>
      </c>
      <c r="AK79" s="10">
        <f t="shared" si="72"/>
        <v>0.19143865776530022</v>
      </c>
      <c r="AL79" s="162">
        <f t="shared" si="86"/>
        <v>0.1654694092738338</v>
      </c>
      <c r="AM79" s="178">
        <f t="shared" si="87"/>
        <v>0.1604694092738338</v>
      </c>
      <c r="AQ79" s="1">
        <f t="shared" si="73"/>
        <v>5.0000000000000001E-3</v>
      </c>
      <c r="AR79" s="1">
        <f t="shared" si="74"/>
        <v>1</v>
      </c>
      <c r="AS79" s="1">
        <f t="shared" si="75"/>
        <v>0.13356604965766117</v>
      </c>
      <c r="AT79" s="1">
        <f t="shared" si="88"/>
        <v>16.050186967195295</v>
      </c>
      <c r="AU79" s="1">
        <f t="shared" si="89"/>
        <v>807.43</v>
      </c>
      <c r="AV79" s="8">
        <f t="shared" si="90"/>
        <v>0.01</v>
      </c>
    </row>
    <row r="80" spans="1:48" ht="15" customHeight="1">
      <c r="A80" s="168">
        <v>883.16</v>
      </c>
      <c r="B80" s="98">
        <v>16.183753016852954</v>
      </c>
      <c r="C80" s="171">
        <v>0</v>
      </c>
      <c r="D80" s="8">
        <f t="shared" si="57"/>
        <v>15.983753016852955</v>
      </c>
      <c r="E80" s="8">
        <f t="shared" si="58"/>
        <v>11.542039357647219</v>
      </c>
      <c r="F80" s="8">
        <f t="shared" si="59"/>
        <v>4.4417136592057354</v>
      </c>
      <c r="G80" s="8">
        <f t="shared" si="60"/>
        <v>4.2004073699039051</v>
      </c>
      <c r="H80" s="8"/>
      <c r="I80" s="8">
        <f t="shared" si="61"/>
        <v>-0.24130628930183029</v>
      </c>
      <c r="J80" s="8">
        <f t="shared" si="62"/>
        <v>15.742446727551124</v>
      </c>
      <c r="K80" s="8">
        <f t="shared" si="63"/>
        <v>0.24130628930183029</v>
      </c>
      <c r="L80" s="8"/>
      <c r="M80" s="8">
        <f t="shared" si="64"/>
        <v>2.4477181026046463E-3</v>
      </c>
      <c r="N80" s="8">
        <f t="shared" si="65"/>
        <v>-0.23885857119922566</v>
      </c>
      <c r="O80" s="8">
        <f t="shared" si="66"/>
        <v>15.744894445653729</v>
      </c>
      <c r="P80" s="8"/>
      <c r="Q80" s="8">
        <f t="shared" si="67"/>
        <v>0.23885857119922527</v>
      </c>
      <c r="R80" s="8"/>
      <c r="S80" s="9">
        <f t="shared" si="46"/>
        <v>5.7053417035335369E-2</v>
      </c>
      <c r="T80" s="165">
        <f t="shared" si="76"/>
        <v>0</v>
      </c>
      <c r="U80" s="163">
        <f t="shared" si="77"/>
        <v>0</v>
      </c>
      <c r="V80" s="8">
        <f t="shared" si="68"/>
        <v>0.25656962712311837</v>
      </c>
      <c r="X80" s="8">
        <f t="shared" si="69"/>
        <v>258.26243316458232</v>
      </c>
      <c r="Z80" s="2">
        <f t="shared" si="78"/>
        <v>1.7999999999999999E-2</v>
      </c>
      <c r="AA80" s="4">
        <f t="shared" si="79"/>
        <v>883.16</v>
      </c>
      <c r="AB80" s="46">
        <f t="shared" si="80"/>
        <v>1.7999999999999999E-2</v>
      </c>
      <c r="AC80" s="4">
        <f t="shared" si="81"/>
        <v>15.983753016852955</v>
      </c>
      <c r="AD80" s="2">
        <f t="shared" si="82"/>
        <v>2.4123841993574306E-5</v>
      </c>
      <c r="AE80" s="51">
        <f t="shared" si="70"/>
        <v>0.24123841993574305</v>
      </c>
      <c r="AF80" s="10">
        <f t="shared" si="83"/>
        <v>0.13356604965765939</v>
      </c>
      <c r="AG80" s="10">
        <f t="shared" si="84"/>
        <v>0.13356604965765939</v>
      </c>
      <c r="AH80" s="8">
        <f t="shared" si="71"/>
        <v>15.744894445653729</v>
      </c>
      <c r="AI80" s="10">
        <f t="shared" si="85"/>
        <v>0.11410926708161817</v>
      </c>
      <c r="AJ80" s="10">
        <f t="shared" si="91"/>
        <v>0.12840880592380932</v>
      </c>
      <c r="AK80" s="10">
        <f t="shared" si="72"/>
        <v>0.2160582170854104</v>
      </c>
      <c r="AL80" s="162">
        <f t="shared" si="86"/>
        <v>0.17223351150460986</v>
      </c>
      <c r="AM80" s="178">
        <f t="shared" si="87"/>
        <v>0.16723351150460986</v>
      </c>
      <c r="AQ80" s="1">
        <f t="shared" si="73"/>
        <v>5.0000000000000001E-3</v>
      </c>
      <c r="AR80" s="1">
        <f t="shared" si="74"/>
        <v>1</v>
      </c>
      <c r="AS80" s="1">
        <f t="shared" si="75"/>
        <v>0.13356604965765939</v>
      </c>
      <c r="AT80" s="1">
        <f t="shared" si="88"/>
        <v>16.183753016852954</v>
      </c>
      <c r="AU80" s="1">
        <f t="shared" si="89"/>
        <v>883.16</v>
      </c>
      <c r="AV80" s="8">
        <f t="shared" si="90"/>
        <v>0.01</v>
      </c>
    </row>
    <row r="81" spans="1:48" ht="15" customHeight="1">
      <c r="A81" s="168">
        <v>965.85</v>
      </c>
      <c r="B81" s="98">
        <v>16.339580074786888</v>
      </c>
      <c r="C81" s="171">
        <v>1</v>
      </c>
      <c r="D81" s="8">
        <f t="shared" si="57"/>
        <v>16.139580074786888</v>
      </c>
      <c r="E81" s="8">
        <f t="shared" si="58"/>
        <v>11.583062990178076</v>
      </c>
      <c r="F81" s="8">
        <f t="shared" si="59"/>
        <v>4.5565170846088119</v>
      </c>
      <c r="G81" s="8">
        <f t="shared" si="60"/>
        <v>4.2631988391066375</v>
      </c>
      <c r="H81" s="8"/>
      <c r="I81" s="8">
        <f t="shared" si="61"/>
        <v>-0.29331824550217434</v>
      </c>
      <c r="J81" s="8">
        <f t="shared" si="62"/>
        <v>15.846261829284714</v>
      </c>
      <c r="K81" s="8">
        <f t="shared" si="63"/>
        <v>0.29331824550217434</v>
      </c>
      <c r="L81" s="8"/>
      <c r="M81" s="8">
        <f t="shared" si="64"/>
        <v>0.16515350112497545</v>
      </c>
      <c r="N81" s="8">
        <f t="shared" si="65"/>
        <v>-0.12816474437719888</v>
      </c>
      <c r="O81" s="8">
        <f t="shared" si="66"/>
        <v>16.01141533040969</v>
      </c>
      <c r="P81" s="8"/>
      <c r="Q81" s="8">
        <f t="shared" si="67"/>
        <v>0.12816474437719805</v>
      </c>
      <c r="R81" s="8"/>
      <c r="S81" s="9">
        <f t="shared" si="46"/>
        <v>1.6426201701272517E-2</v>
      </c>
      <c r="T81" s="165">
        <f t="shared" si="76"/>
        <v>1</v>
      </c>
      <c r="U81" s="163">
        <f t="shared" si="77"/>
        <v>1.6426201701272517E-2</v>
      </c>
      <c r="V81" s="8">
        <f t="shared" si="68"/>
        <v>0.24932185698665632</v>
      </c>
      <c r="X81" s="8">
        <f t="shared" si="69"/>
        <v>282.44346559175216</v>
      </c>
      <c r="Z81" s="2">
        <f t="shared" si="78"/>
        <v>1.7000000000000001E-2</v>
      </c>
      <c r="AA81" s="4">
        <f t="shared" si="79"/>
        <v>965.85</v>
      </c>
      <c r="AB81" s="46">
        <f t="shared" si="80"/>
        <v>1.7000000000000001E-2</v>
      </c>
      <c r="AC81" s="4">
        <f t="shared" si="81"/>
        <v>16.139580074786888</v>
      </c>
      <c r="AD81" s="2">
        <f t="shared" si="82"/>
        <v>2.2058510426096271E-5</v>
      </c>
      <c r="AE81" s="51">
        <f t="shared" si="70"/>
        <v>0.2205851042609627</v>
      </c>
      <c r="AF81" s="10">
        <f t="shared" si="83"/>
        <v>0.15582705793393359</v>
      </c>
      <c r="AG81" s="10">
        <f t="shared" si="84"/>
        <v>0.15582705793393359</v>
      </c>
      <c r="AH81" s="8">
        <f t="shared" si="71"/>
        <v>16.01141533040969</v>
      </c>
      <c r="AI81" s="10">
        <f t="shared" si="85"/>
        <v>0.26652088475596081</v>
      </c>
      <c r="AJ81" s="10">
        <f t="shared" si="91"/>
        <v>0.15992211186325767</v>
      </c>
      <c r="AK81" s="10">
        <f t="shared" si="72"/>
        <v>0.23433562974593203</v>
      </c>
      <c r="AL81" s="162">
        <f t="shared" si="86"/>
        <v>0.19712887080459485</v>
      </c>
      <c r="AM81" s="178">
        <f t="shared" si="87"/>
        <v>4.1301812870661259E-2</v>
      </c>
      <c r="AQ81" s="1">
        <f t="shared" si="73"/>
        <v>0.15582705793393359</v>
      </c>
      <c r="AR81" s="1">
        <f t="shared" si="74"/>
        <v>0</v>
      </c>
      <c r="AS81" s="1">
        <f t="shared" si="75"/>
        <v>0</v>
      </c>
      <c r="AT81" s="1">
        <f t="shared" si="88"/>
        <v>16.339580074786888</v>
      </c>
      <c r="AU81" s="1">
        <f t="shared" si="89"/>
        <v>965.85</v>
      </c>
      <c r="AV81" s="8">
        <f t="shared" si="90"/>
        <v>16.139580074786888</v>
      </c>
    </row>
    <row r="82" spans="1:48" ht="15" customHeight="1">
      <c r="A82" s="168">
        <v>1048.8800000000001</v>
      </c>
      <c r="B82" s="98">
        <v>16.517668140997099</v>
      </c>
      <c r="C82" s="171">
        <v>1</v>
      </c>
      <c r="D82" s="8">
        <f t="shared" si="57"/>
        <v>16.3176681409971</v>
      </c>
      <c r="E82" s="8">
        <f t="shared" si="58"/>
        <v>11.62001621367112</v>
      </c>
      <c r="F82" s="8">
        <f t="shared" si="59"/>
        <v>4.69765192732598</v>
      </c>
      <c r="G82" s="8">
        <f t="shared" si="60"/>
        <v>4.3159432584953494</v>
      </c>
      <c r="H82" s="8"/>
      <c r="I82" s="8">
        <f t="shared" si="61"/>
        <v>-0.38170866883063059</v>
      </c>
      <c r="J82" s="8">
        <f t="shared" si="62"/>
        <v>15.93595947216647</v>
      </c>
      <c r="K82" s="8">
        <f t="shared" si="63"/>
        <v>0.3817086688306297</v>
      </c>
      <c r="L82" s="8"/>
      <c r="M82" s="8">
        <f t="shared" si="64"/>
        <v>0.33471859658823255</v>
      </c>
      <c r="N82" s="8">
        <f t="shared" si="65"/>
        <v>0</v>
      </c>
      <c r="O82" s="8">
        <f t="shared" si="66"/>
        <v>16.270678068754702</v>
      </c>
      <c r="P82" s="8"/>
      <c r="Q82" s="8">
        <f t="shared" si="67"/>
        <v>0</v>
      </c>
      <c r="R82" s="8"/>
      <c r="S82" s="9">
        <f t="shared" si="46"/>
        <v>0</v>
      </c>
      <c r="T82" s="165">
        <f t="shared" si="76"/>
        <v>1</v>
      </c>
      <c r="U82" s="163">
        <f t="shared" si="77"/>
        <v>0</v>
      </c>
      <c r="V82" s="8">
        <f t="shared" si="68"/>
        <v>0.24103869111641396</v>
      </c>
      <c r="X82" s="8">
        <f t="shared" si="69"/>
        <v>306.72392420135327</v>
      </c>
      <c r="Z82" s="2">
        <f t="shared" si="78"/>
        <v>1.6E-2</v>
      </c>
      <c r="AA82" s="4">
        <f t="shared" si="79"/>
        <v>1048.8800000000001</v>
      </c>
      <c r="AB82" s="46">
        <f t="shared" si="80"/>
        <v>1.6E-2</v>
      </c>
      <c r="AC82" s="4">
        <f t="shared" si="81"/>
        <v>16.3176681409971</v>
      </c>
      <c r="AD82" s="2">
        <f t="shared" si="82"/>
        <v>2.0312344877436008E-5</v>
      </c>
      <c r="AE82" s="51">
        <f t="shared" si="70"/>
        <v>0.20312344877436009</v>
      </c>
      <c r="AF82" s="10">
        <f t="shared" si="83"/>
        <v>0.17808806621021134</v>
      </c>
      <c r="AG82" s="10">
        <f t="shared" si="84"/>
        <v>0.17808806621021134</v>
      </c>
      <c r="AH82" s="8">
        <f t="shared" si="71"/>
        <v>16.270678068754702</v>
      </c>
      <c r="AI82" s="10">
        <f t="shared" si="85"/>
        <v>0.25926273834501146</v>
      </c>
      <c r="AJ82" s="10">
        <f t="shared" si="91"/>
        <v>0.19143865776530022</v>
      </c>
      <c r="AK82" s="10">
        <f t="shared" si="72"/>
        <v>0.2021053761487801</v>
      </c>
      <c r="AL82" s="162">
        <f t="shared" si="86"/>
        <v>0.19677201695704016</v>
      </c>
      <c r="AM82" s="178">
        <f t="shared" si="87"/>
        <v>1.8683950746828826E-2</v>
      </c>
      <c r="AQ82" s="1">
        <f t="shared" si="73"/>
        <v>0.17808806621021134</v>
      </c>
      <c r="AR82" s="1">
        <f t="shared" si="74"/>
        <v>0</v>
      </c>
      <c r="AS82" s="1">
        <f t="shared" si="75"/>
        <v>0</v>
      </c>
      <c r="AT82" s="1">
        <f t="shared" si="88"/>
        <v>16.517668140997099</v>
      </c>
      <c r="AU82" s="1">
        <f t="shared" si="89"/>
        <v>1048.8800000000001</v>
      </c>
      <c r="AV82" s="8">
        <f t="shared" si="90"/>
        <v>16.3176681409971</v>
      </c>
    </row>
    <row r="83" spans="1:48" ht="15" customHeight="1">
      <c r="A83" s="168">
        <v>1148.8499999999999</v>
      </c>
      <c r="B83" s="98">
        <v>16.695756207207307</v>
      </c>
      <c r="C83" s="171">
        <v>1</v>
      </c>
      <c r="D83" s="8">
        <f t="shared" si="57"/>
        <v>16.495756207207307</v>
      </c>
      <c r="E83" s="8">
        <f t="shared" si="58"/>
        <v>11.659897313981732</v>
      </c>
      <c r="F83" s="8">
        <f t="shared" si="59"/>
        <v>4.8358588932255753</v>
      </c>
      <c r="G83" s="8">
        <f t="shared" si="60"/>
        <v>4.3692039887025453</v>
      </c>
      <c r="H83" s="8"/>
      <c r="I83" s="8">
        <f t="shared" si="61"/>
        <v>-0.46665490452302993</v>
      </c>
      <c r="J83" s="8">
        <f t="shared" si="62"/>
        <v>16.029101302684278</v>
      </c>
      <c r="K83" s="8">
        <f t="shared" si="63"/>
        <v>0.46665490452302905</v>
      </c>
      <c r="L83" s="8"/>
      <c r="M83" s="8">
        <f t="shared" si="64"/>
        <v>0.4659167442294756</v>
      </c>
      <c r="N83" s="8">
        <f t="shared" si="65"/>
        <v>0</v>
      </c>
      <c r="O83" s="8">
        <f t="shared" si="66"/>
        <v>16.495018046913753</v>
      </c>
      <c r="P83" s="8"/>
      <c r="Q83" s="8">
        <f t="shared" si="67"/>
        <v>0</v>
      </c>
      <c r="R83" s="8"/>
      <c r="S83" s="9">
        <f t="shared" si="46"/>
        <v>0</v>
      </c>
      <c r="T83" s="165">
        <f t="shared" si="76"/>
        <v>1</v>
      </c>
      <c r="U83" s="163">
        <f t="shared" si="77"/>
        <v>0</v>
      </c>
      <c r="V83" s="8">
        <f t="shared" si="68"/>
        <v>0.23275552524617171</v>
      </c>
      <c r="X83" s="8">
        <f t="shared" si="69"/>
        <v>335.95814613561572</v>
      </c>
      <c r="Z83" s="2">
        <f t="shared" si="78"/>
        <v>1.4E-2</v>
      </c>
      <c r="AA83" s="4">
        <f t="shared" si="79"/>
        <v>1148.8499999999999</v>
      </c>
      <c r="AB83" s="46">
        <f t="shared" si="80"/>
        <v>1.4E-2</v>
      </c>
      <c r="AC83" s="4">
        <f t="shared" si="81"/>
        <v>16.495756207207307</v>
      </c>
      <c r="AD83" s="2">
        <f t="shared" si="82"/>
        <v>1.8544816377286055E-5</v>
      </c>
      <c r="AE83" s="51">
        <f t="shared" si="70"/>
        <v>0.18544816377286055</v>
      </c>
      <c r="AF83" s="10">
        <f t="shared" si="83"/>
        <v>0.17808806621020778</v>
      </c>
      <c r="AG83" s="10">
        <f t="shared" si="84"/>
        <v>0.17808806621020778</v>
      </c>
      <c r="AH83" s="8">
        <f t="shared" si="71"/>
        <v>16.495018046913753</v>
      </c>
      <c r="AI83" s="10">
        <f t="shared" si="85"/>
        <v>0.22433997815905116</v>
      </c>
      <c r="AJ83" s="10">
        <f t="shared" si="91"/>
        <v>0.2160582170854104</v>
      </c>
      <c r="AK83" s="10">
        <f t="shared" si="72"/>
        <v>0.16931888380886306</v>
      </c>
      <c r="AL83" s="162">
        <f t="shared" si="86"/>
        <v>0.19268855044713673</v>
      </c>
      <c r="AM83" s="178">
        <f t="shared" si="87"/>
        <v>1.4600484236928946E-2</v>
      </c>
      <c r="AQ83" s="1">
        <f t="shared" si="73"/>
        <v>0.17808806621020778</v>
      </c>
      <c r="AR83" s="1">
        <f t="shared" si="74"/>
        <v>0</v>
      </c>
      <c r="AS83" s="1">
        <f t="shared" si="75"/>
        <v>0</v>
      </c>
      <c r="AT83" s="1">
        <f t="shared" si="88"/>
        <v>16.695756207207307</v>
      </c>
      <c r="AU83" s="1">
        <f t="shared" si="89"/>
        <v>1148.8499999999999</v>
      </c>
      <c r="AV83" s="8">
        <f t="shared" si="90"/>
        <v>16.495756207207307</v>
      </c>
    </row>
    <row r="84" spans="1:48" ht="15" customHeight="1">
      <c r="A84" s="168">
        <v>1264.97</v>
      </c>
      <c r="B84" s="98">
        <v>16.851583265141244</v>
      </c>
      <c r="C84" s="171">
        <v>1</v>
      </c>
      <c r="D84" s="8">
        <f t="shared" si="57"/>
        <v>16.651583265141245</v>
      </c>
      <c r="E84" s="8">
        <f t="shared" si="58"/>
        <v>11.701072065144617</v>
      </c>
      <c r="F84" s="8">
        <f t="shared" si="59"/>
        <v>4.9505111999966278</v>
      </c>
      <c r="G84" s="8">
        <f t="shared" si="60"/>
        <v>4.420580720958962</v>
      </c>
      <c r="H84" s="8"/>
      <c r="I84" s="8">
        <f t="shared" si="61"/>
        <v>-0.52993047903766577</v>
      </c>
      <c r="J84" s="8">
        <f t="shared" si="62"/>
        <v>16.121652786103578</v>
      </c>
      <c r="K84" s="8">
        <f t="shared" si="63"/>
        <v>0.52993047903766666</v>
      </c>
      <c r="L84" s="8"/>
      <c r="M84" s="8">
        <f t="shared" si="64"/>
        <v>0.56058417853387921</v>
      </c>
      <c r="N84" s="8">
        <f t="shared" si="65"/>
        <v>0</v>
      </c>
      <c r="O84" s="8">
        <f t="shared" si="66"/>
        <v>16.682236964637458</v>
      </c>
      <c r="P84" s="8"/>
      <c r="Q84" s="8">
        <f t="shared" si="67"/>
        <v>0</v>
      </c>
      <c r="R84" s="8"/>
      <c r="S84" s="9">
        <f t="shared" si="46"/>
        <v>0</v>
      </c>
      <c r="T84" s="165">
        <f t="shared" si="76"/>
        <v>1</v>
      </c>
      <c r="U84" s="163">
        <f t="shared" si="77"/>
        <v>0</v>
      </c>
      <c r="V84" s="8">
        <f t="shared" si="68"/>
        <v>0.22550775510970955</v>
      </c>
      <c r="X84" s="8">
        <f t="shared" si="69"/>
        <v>369.91511173536134</v>
      </c>
      <c r="Z84" s="2">
        <f t="shared" si="78"/>
        <v>1.2999999999999999E-2</v>
      </c>
      <c r="AA84" s="4">
        <f t="shared" si="79"/>
        <v>1264.97</v>
      </c>
      <c r="AB84" s="46">
        <f t="shared" si="80"/>
        <v>1.2999999999999999E-2</v>
      </c>
      <c r="AC84" s="4">
        <f t="shared" si="81"/>
        <v>16.651583265141245</v>
      </c>
      <c r="AD84" s="2">
        <f t="shared" si="82"/>
        <v>1.6842464481406742E-5</v>
      </c>
      <c r="AE84" s="51">
        <f t="shared" si="70"/>
        <v>0.16842464481406741</v>
      </c>
      <c r="AF84" s="10">
        <f t="shared" si="83"/>
        <v>0.15582705793393714</v>
      </c>
      <c r="AG84" s="10">
        <f t="shared" si="84"/>
        <v>0.15582705793393714</v>
      </c>
      <c r="AH84" s="8">
        <f t="shared" si="71"/>
        <v>16.682236964637458</v>
      </c>
      <c r="AI84" s="10">
        <f t="shared" si="85"/>
        <v>0.18721891772370469</v>
      </c>
      <c r="AJ84" s="10">
        <f t="shared" si="91"/>
        <v>0.23433562974593203</v>
      </c>
      <c r="AK84" s="10">
        <f t="shared" si="72"/>
        <v>0.14054779491916314</v>
      </c>
      <c r="AL84" s="162">
        <f t="shared" si="86"/>
        <v>0.18744171233254758</v>
      </c>
      <c r="AM84" s="178">
        <f t="shared" si="87"/>
        <v>3.1614654398610442E-2</v>
      </c>
      <c r="AQ84" s="1">
        <f t="shared" si="73"/>
        <v>0.15582705793393714</v>
      </c>
      <c r="AR84" s="1">
        <f t="shared" si="74"/>
        <v>0</v>
      </c>
      <c r="AS84" s="1">
        <f t="shared" si="75"/>
        <v>0</v>
      </c>
      <c r="AT84" s="1">
        <f t="shared" si="88"/>
        <v>16.851583265141244</v>
      </c>
      <c r="AU84" s="1">
        <f t="shared" si="89"/>
        <v>1264.97</v>
      </c>
      <c r="AV84" s="8">
        <f t="shared" si="90"/>
        <v>16.651583265141245</v>
      </c>
    </row>
    <row r="85" spans="1:48" ht="15" customHeight="1">
      <c r="A85" s="168">
        <v>1377.45</v>
      </c>
      <c r="B85" s="98">
        <v>16.985149314798903</v>
      </c>
      <c r="C85" s="171">
        <v>1</v>
      </c>
      <c r="D85" s="8">
        <f t="shared" si="57"/>
        <v>16.785149314798904</v>
      </c>
      <c r="E85" s="8">
        <f t="shared" si="58"/>
        <v>11.736667142423599</v>
      </c>
      <c r="F85" s="8">
        <f t="shared" si="59"/>
        <v>5.0484821723753051</v>
      </c>
      <c r="G85" s="8">
        <f t="shared" si="60"/>
        <v>4.4623076001322959</v>
      </c>
      <c r="H85" s="8"/>
      <c r="I85" s="8">
        <f t="shared" si="61"/>
        <v>-0.58617457224300917</v>
      </c>
      <c r="J85" s="8">
        <f t="shared" si="62"/>
        <v>16.198974742555894</v>
      </c>
      <c r="K85" s="8">
        <f t="shared" si="63"/>
        <v>0.58617457224301006</v>
      </c>
      <c r="L85" s="8"/>
      <c r="M85" s="8">
        <f t="shared" si="64"/>
        <v>0.62086209244891644</v>
      </c>
      <c r="N85" s="8">
        <f t="shared" si="65"/>
        <v>0</v>
      </c>
      <c r="O85" s="8">
        <f t="shared" si="66"/>
        <v>16.819836835004811</v>
      </c>
      <c r="P85" s="8"/>
      <c r="Q85" s="8">
        <f t="shared" si="67"/>
        <v>0</v>
      </c>
      <c r="R85" s="8"/>
      <c r="S85" s="9">
        <f t="shared" si="46"/>
        <v>0</v>
      </c>
      <c r="T85" s="165">
        <f t="shared" si="76"/>
        <v>1</v>
      </c>
      <c r="U85" s="163">
        <f t="shared" si="77"/>
        <v>0</v>
      </c>
      <c r="V85" s="8">
        <f t="shared" si="68"/>
        <v>0.2192953807070277</v>
      </c>
      <c r="X85" s="8">
        <f t="shared" si="69"/>
        <v>402.80763232319617</v>
      </c>
      <c r="Z85" s="2">
        <f t="shared" si="78"/>
        <v>1.2E-2</v>
      </c>
      <c r="AA85" s="4">
        <f t="shared" si="79"/>
        <v>1377.45</v>
      </c>
      <c r="AB85" s="46">
        <f t="shared" si="80"/>
        <v>1.2E-2</v>
      </c>
      <c r="AC85" s="4">
        <f t="shared" si="81"/>
        <v>16.785149314798904</v>
      </c>
      <c r="AD85" s="2">
        <f t="shared" si="82"/>
        <v>1.5467140219278438E-5</v>
      </c>
      <c r="AE85" s="51">
        <f t="shared" si="70"/>
        <v>0.15467140219278439</v>
      </c>
      <c r="AF85" s="10">
        <f t="shared" si="83"/>
        <v>0.13356604965765939</v>
      </c>
      <c r="AG85" s="10">
        <f t="shared" si="84"/>
        <v>0.13356604965765939</v>
      </c>
      <c r="AH85" s="8">
        <f t="shared" si="71"/>
        <v>16.819836835004811</v>
      </c>
      <c r="AI85" s="10">
        <f t="shared" si="85"/>
        <v>0.13759987036735311</v>
      </c>
      <c r="AJ85" s="10">
        <f t="shared" si="91"/>
        <v>0.2021053761487801</v>
      </c>
      <c r="AK85" s="10">
        <f t="shared" si="72"/>
        <v>0.1192403650215148</v>
      </c>
      <c r="AL85" s="162">
        <f t="shared" si="86"/>
        <v>0.16067287058514745</v>
      </c>
      <c r="AM85" s="178">
        <f t="shared" si="87"/>
        <v>2.7106820927488062E-2</v>
      </c>
      <c r="AQ85" s="1">
        <f t="shared" si="73"/>
        <v>0.13356604965765939</v>
      </c>
      <c r="AR85" s="1">
        <f t="shared" si="74"/>
        <v>0</v>
      </c>
      <c r="AS85" s="1">
        <f t="shared" si="75"/>
        <v>0</v>
      </c>
      <c r="AT85" s="1">
        <f t="shared" si="88"/>
        <v>16.985149314798903</v>
      </c>
      <c r="AU85" s="1">
        <f t="shared" si="89"/>
        <v>1377.45</v>
      </c>
      <c r="AV85" s="8">
        <f t="shared" si="90"/>
        <v>16.785149314798904</v>
      </c>
    </row>
    <row r="86" spans="1:48" ht="15" customHeight="1">
      <c r="A86" s="168">
        <v>1509.84</v>
      </c>
      <c r="B86" s="98">
        <v>17.096454356180288</v>
      </c>
      <c r="C86" s="171">
        <v>1</v>
      </c>
      <c r="D86" s="8">
        <f t="shared" si="57"/>
        <v>16.896454356180289</v>
      </c>
      <c r="E86" s="8">
        <f t="shared" si="58"/>
        <v>11.774168541160133</v>
      </c>
      <c r="F86" s="8">
        <f t="shared" si="59"/>
        <v>5.122285815020156</v>
      </c>
      <c r="G86" s="8">
        <f t="shared" si="60"/>
        <v>4.5038071726521736</v>
      </c>
      <c r="H86" s="8"/>
      <c r="I86" s="8">
        <f t="shared" si="61"/>
        <v>-0.61847864236798245</v>
      </c>
      <c r="J86" s="8">
        <f t="shared" si="62"/>
        <v>16.277975713812307</v>
      </c>
      <c r="K86" s="8">
        <f t="shared" si="63"/>
        <v>0.61847864236798245</v>
      </c>
      <c r="L86" s="8"/>
      <c r="M86" s="8">
        <f t="shared" si="64"/>
        <v>0.66997789017784837</v>
      </c>
      <c r="N86" s="8">
        <f t="shared" si="65"/>
        <v>5.1499247809865922E-2</v>
      </c>
      <c r="O86" s="8">
        <f t="shared" si="66"/>
        <v>16.947953603990154</v>
      </c>
      <c r="P86" s="8"/>
      <c r="Q86" s="8">
        <f t="shared" si="67"/>
        <v>-5.1499247809864812E-2</v>
      </c>
      <c r="R86" s="8"/>
      <c r="S86" s="9">
        <f t="shared" si="46"/>
        <v>2.6521725249818657E-3</v>
      </c>
      <c r="T86" s="165">
        <f t="shared" si="76"/>
        <v>1</v>
      </c>
      <c r="U86" s="163">
        <f t="shared" si="77"/>
        <v>2.6521725249818657E-3</v>
      </c>
      <c r="V86" s="8">
        <f t="shared" si="68"/>
        <v>0.21411840203812604</v>
      </c>
      <c r="X86" s="8">
        <f t="shared" si="69"/>
        <v>441.52243318222401</v>
      </c>
      <c r="Z86" s="2">
        <f t="shared" si="78"/>
        <v>1.0999999999999999E-2</v>
      </c>
      <c r="AA86" s="4">
        <f t="shared" si="79"/>
        <v>1509.84</v>
      </c>
      <c r="AB86" s="46">
        <f t="shared" si="80"/>
        <v>1.0999999999999999E-2</v>
      </c>
      <c r="AC86" s="4">
        <f t="shared" si="81"/>
        <v>16.896454356180289</v>
      </c>
      <c r="AD86" s="2">
        <f t="shared" si="82"/>
        <v>1.4110907311400604E-5</v>
      </c>
      <c r="AE86" s="51">
        <f t="shared" si="70"/>
        <v>0.14110907311400603</v>
      </c>
      <c r="AF86" s="10">
        <f t="shared" si="83"/>
        <v>0.11130504138138519</v>
      </c>
      <c r="AG86" s="10">
        <f t="shared" si="84"/>
        <v>0.11130504138138519</v>
      </c>
      <c r="AH86" s="8">
        <f t="shared" si="71"/>
        <v>16.947953603990154</v>
      </c>
      <c r="AI86" s="10">
        <f t="shared" si="85"/>
        <v>0.1281167689853433</v>
      </c>
      <c r="AJ86" s="10">
        <f t="shared" si="91"/>
        <v>0.16931888380886306</v>
      </c>
      <c r="AK86" s="10">
        <f t="shared" si="72"/>
        <v>0.10753503979151802</v>
      </c>
      <c r="AL86" s="162">
        <f t="shared" si="86"/>
        <v>0.13842696180019054</v>
      </c>
      <c r="AM86" s="178">
        <f t="shared" si="87"/>
        <v>2.7121920418805345E-2</v>
      </c>
      <c r="AQ86" s="1">
        <f t="shared" si="73"/>
        <v>0.11130504138138519</v>
      </c>
      <c r="AR86" s="1">
        <f t="shared" si="74"/>
        <v>0</v>
      </c>
      <c r="AS86" s="1">
        <f t="shared" si="75"/>
        <v>0</v>
      </c>
      <c r="AT86" s="1">
        <f t="shared" si="88"/>
        <v>17.096454356180288</v>
      </c>
      <c r="AU86" s="1">
        <f t="shared" si="89"/>
        <v>1509.84</v>
      </c>
      <c r="AV86" s="8">
        <f t="shared" si="90"/>
        <v>16.896454356180289</v>
      </c>
    </row>
    <row r="87" spans="1:48" ht="15" customHeight="1">
      <c r="A87" s="168">
        <v>1649.69</v>
      </c>
      <c r="B87" s="98">
        <v>17.20775939756167</v>
      </c>
      <c r="C87" s="171">
        <v>1</v>
      </c>
      <c r="D87" s="8">
        <f t="shared" si="57"/>
        <v>17.007759397561671</v>
      </c>
      <c r="E87" s="8">
        <f t="shared" si="58"/>
        <v>11.809563776510981</v>
      </c>
      <c r="F87" s="8">
        <f t="shared" si="59"/>
        <v>5.1981956210506901</v>
      </c>
      <c r="G87" s="8">
        <f t="shared" si="60"/>
        <v>4.5408449019616999</v>
      </c>
      <c r="H87" s="8"/>
      <c r="I87" s="8">
        <f t="shared" si="61"/>
        <v>-0.65735071908899023</v>
      </c>
      <c r="J87" s="8">
        <f t="shared" si="62"/>
        <v>16.350408678472682</v>
      </c>
      <c r="K87" s="8">
        <f t="shared" si="63"/>
        <v>0.65735071908898846</v>
      </c>
      <c r="L87" s="8"/>
      <c r="M87" s="8">
        <f t="shared" si="64"/>
        <v>0.70680054811772286</v>
      </c>
      <c r="N87" s="8">
        <f t="shared" si="65"/>
        <v>0</v>
      </c>
      <c r="O87" s="8">
        <f t="shared" si="66"/>
        <v>17.057209226590405</v>
      </c>
      <c r="P87" s="8"/>
      <c r="Q87" s="8">
        <f t="shared" si="67"/>
        <v>0</v>
      </c>
      <c r="R87" s="8"/>
      <c r="S87" s="9">
        <f t="shared" si="46"/>
        <v>0</v>
      </c>
      <c r="T87" s="165">
        <f t="shared" si="76"/>
        <v>1</v>
      </c>
      <c r="U87" s="163">
        <f t="shared" si="77"/>
        <v>0</v>
      </c>
      <c r="V87" s="8">
        <f t="shared" si="68"/>
        <v>0.20894142336922461</v>
      </c>
      <c r="X87" s="8">
        <f t="shared" si="69"/>
        <v>482.41876145577226</v>
      </c>
      <c r="Z87" s="2">
        <f t="shared" si="78"/>
        <v>0.01</v>
      </c>
      <c r="AA87" s="4">
        <f t="shared" si="79"/>
        <v>1649.69</v>
      </c>
      <c r="AB87" s="46">
        <f t="shared" si="80"/>
        <v>0.01</v>
      </c>
      <c r="AC87" s="4">
        <f t="shared" si="81"/>
        <v>17.007759397561671</v>
      </c>
      <c r="AD87" s="2">
        <f t="shared" si="82"/>
        <v>1.2914676269508262E-5</v>
      </c>
      <c r="AE87" s="51">
        <f t="shared" si="70"/>
        <v>0.12914676269508263</v>
      </c>
      <c r="AF87" s="10">
        <f t="shared" si="83"/>
        <v>0.11130504138138164</v>
      </c>
      <c r="AG87" s="10">
        <f t="shared" si="84"/>
        <v>0.11130504138138164</v>
      </c>
      <c r="AH87" s="8">
        <f t="shared" si="71"/>
        <v>17.057209226590405</v>
      </c>
      <c r="AI87" s="10">
        <f t="shared" si="85"/>
        <v>0.10925562260025146</v>
      </c>
      <c r="AJ87" s="10">
        <f t="shared" si="91"/>
        <v>0.14054779491916314</v>
      </c>
      <c r="AK87" s="10">
        <f t="shared" si="72"/>
        <v>9.6303722646012169E-2</v>
      </c>
      <c r="AL87" s="162">
        <f t="shared" si="86"/>
        <v>0.11842575878258765</v>
      </c>
      <c r="AM87" s="178">
        <f t="shared" si="87"/>
        <v>7.1207174012060115E-3</v>
      </c>
      <c r="AQ87" s="1">
        <f t="shared" si="73"/>
        <v>0.11130504138138164</v>
      </c>
      <c r="AR87" s="1">
        <f t="shared" si="74"/>
        <v>0</v>
      </c>
      <c r="AS87" s="1">
        <f t="shared" si="75"/>
        <v>0</v>
      </c>
      <c r="AT87" s="1">
        <f t="shared" si="88"/>
        <v>17.20775939756167</v>
      </c>
      <c r="AU87" s="1">
        <f t="shared" si="89"/>
        <v>1649.69</v>
      </c>
      <c r="AV87" s="8">
        <f t="shared" si="90"/>
        <v>17.007759397561671</v>
      </c>
    </row>
    <row r="88" spans="1:48" ht="15" customHeight="1">
      <c r="A88" s="168">
        <v>1808.4</v>
      </c>
      <c r="B88" s="98">
        <v>17.296803430666774</v>
      </c>
      <c r="C88" s="171">
        <v>1</v>
      </c>
      <c r="D88" s="8">
        <f t="shared" si="57"/>
        <v>17.096803430666775</v>
      </c>
      <c r="E88" s="8">
        <f t="shared" si="58"/>
        <v>11.84545934298604</v>
      </c>
      <c r="F88" s="8">
        <f t="shared" si="59"/>
        <v>5.2513440876807351</v>
      </c>
      <c r="G88" s="8">
        <f t="shared" si="60"/>
        <v>4.5764586403396805</v>
      </c>
      <c r="H88" s="8"/>
      <c r="I88" s="8">
        <f t="shared" si="61"/>
        <v>-0.6748854473410546</v>
      </c>
      <c r="J88" s="8">
        <f t="shared" si="62"/>
        <v>16.42191798332572</v>
      </c>
      <c r="K88" s="8">
        <f t="shared" si="63"/>
        <v>0.6748854473410546</v>
      </c>
      <c r="L88" s="8"/>
      <c r="M88" s="8">
        <f t="shared" si="64"/>
        <v>0.73728044139779803</v>
      </c>
      <c r="N88" s="8">
        <f t="shared" si="65"/>
        <v>6.2394994056743425E-2</v>
      </c>
      <c r="O88" s="8">
        <f t="shared" si="66"/>
        <v>17.159198424723517</v>
      </c>
      <c r="P88" s="8"/>
      <c r="Q88" s="8">
        <f t="shared" si="67"/>
        <v>-6.2394994056742092E-2</v>
      </c>
      <c r="R88" s="8"/>
      <c r="S88" s="9">
        <f t="shared" si="46"/>
        <v>3.893135283340881E-3</v>
      </c>
      <c r="T88" s="165">
        <f t="shared" si="76"/>
        <v>1</v>
      </c>
      <c r="U88" s="163">
        <f t="shared" si="77"/>
        <v>3.893135283340881E-3</v>
      </c>
      <c r="V88" s="8">
        <f t="shared" si="68"/>
        <v>0.20479984043410349</v>
      </c>
      <c r="X88" s="8">
        <f t="shared" si="69"/>
        <v>528.83031855477009</v>
      </c>
      <c r="Z88" s="2">
        <f t="shared" si="78"/>
        <v>8.9999999999999993E-3</v>
      </c>
      <c r="AA88" s="4">
        <f t="shared" si="79"/>
        <v>1808.4</v>
      </c>
      <c r="AB88" s="46">
        <f t="shared" si="80"/>
        <v>8.9999999999999993E-3</v>
      </c>
      <c r="AC88" s="4">
        <f t="shared" si="81"/>
        <v>17.096803430666775</v>
      </c>
      <c r="AD88" s="2">
        <f t="shared" si="82"/>
        <v>1.1781249886665055E-5</v>
      </c>
      <c r="AE88" s="51">
        <f t="shared" si="70"/>
        <v>0.11781249886665056</v>
      </c>
      <c r="AF88" s="10">
        <f t="shared" si="83"/>
        <v>8.9044033105103892E-2</v>
      </c>
      <c r="AG88" s="10">
        <f t="shared" si="84"/>
        <v>8.9044033105103892E-2</v>
      </c>
      <c r="AH88" s="8">
        <f t="shared" si="71"/>
        <v>17.159198424723517</v>
      </c>
      <c r="AI88" s="10">
        <f t="shared" si="85"/>
        <v>0.10198919813311136</v>
      </c>
      <c r="AJ88" s="10">
        <f t="shared" si="91"/>
        <v>0.1192403650215148</v>
      </c>
      <c r="AK88" s="10">
        <f t="shared" si="72"/>
        <v>8.9054792753190171E-2</v>
      </c>
      <c r="AL88" s="162">
        <f t="shared" si="86"/>
        <v>0.10414757888735249</v>
      </c>
      <c r="AM88" s="178">
        <f t="shared" si="87"/>
        <v>1.5103545782248595E-2</v>
      </c>
      <c r="AQ88" s="1">
        <f t="shared" si="73"/>
        <v>8.9044033105103892E-2</v>
      </c>
      <c r="AR88" s="1">
        <f t="shared" si="74"/>
        <v>0</v>
      </c>
      <c r="AS88" s="1">
        <f t="shared" si="75"/>
        <v>0</v>
      </c>
      <c r="AT88" s="1">
        <f t="shared" si="88"/>
        <v>17.296803430666774</v>
      </c>
      <c r="AU88" s="1">
        <f t="shared" si="89"/>
        <v>1808.4</v>
      </c>
      <c r="AV88" s="8">
        <f t="shared" si="90"/>
        <v>17.096803430666775</v>
      </c>
    </row>
    <row r="89" spans="1:48" ht="15" customHeight="1">
      <c r="A89" s="168">
        <v>1977.94</v>
      </c>
      <c r="B89" s="98">
        <v>17.385847463771881</v>
      </c>
      <c r="C89" s="171">
        <v>1</v>
      </c>
      <c r="D89" s="8">
        <f t="shared" si="57"/>
        <v>17.185847463771882</v>
      </c>
      <c r="E89" s="8">
        <f t="shared" si="58"/>
        <v>11.879712903448645</v>
      </c>
      <c r="F89" s="8">
        <f t="shared" si="59"/>
        <v>5.3061345603232368</v>
      </c>
      <c r="G89" s="8">
        <f t="shared" si="60"/>
        <v>4.6087507529201668</v>
      </c>
      <c r="H89" s="8"/>
      <c r="I89" s="8">
        <f t="shared" si="61"/>
        <v>-0.69738380740307004</v>
      </c>
      <c r="J89" s="8">
        <f t="shared" si="62"/>
        <v>16.488463656368811</v>
      </c>
      <c r="K89" s="8">
        <f t="shared" si="63"/>
        <v>0.69738380740307093</v>
      </c>
      <c r="L89" s="8"/>
      <c r="M89" s="8">
        <f t="shared" si="64"/>
        <v>0.76151333780207076</v>
      </c>
      <c r="N89" s="8">
        <f t="shared" si="65"/>
        <v>6.4129530398999823E-2</v>
      </c>
      <c r="O89" s="8">
        <f t="shared" si="66"/>
        <v>17.249976994170883</v>
      </c>
      <c r="P89" s="8"/>
      <c r="Q89" s="8">
        <f t="shared" si="67"/>
        <v>-6.41295303990006E-2</v>
      </c>
      <c r="R89" s="8"/>
      <c r="S89" s="9">
        <f t="shared" si="46"/>
        <v>4.1125966691963421E-3</v>
      </c>
      <c r="T89" s="165">
        <f t="shared" si="76"/>
        <v>1</v>
      </c>
      <c r="U89" s="163">
        <f t="shared" si="77"/>
        <v>4.1125966691963421E-3</v>
      </c>
      <c r="V89" s="8">
        <f t="shared" si="68"/>
        <v>0.20065825749898225</v>
      </c>
      <c r="X89" s="8">
        <f t="shared" si="69"/>
        <v>578.40889199415051</v>
      </c>
      <c r="Z89" s="2">
        <f t="shared" si="78"/>
        <v>8.9999999999999993E-3</v>
      </c>
      <c r="AA89" s="4">
        <f t="shared" si="79"/>
        <v>1977.94</v>
      </c>
      <c r="AB89" s="46">
        <f t="shared" si="80"/>
        <v>8.9999999999999993E-3</v>
      </c>
      <c r="AC89" s="4">
        <f t="shared" si="81"/>
        <v>17.185847463771882</v>
      </c>
      <c r="AD89" s="2">
        <f t="shared" si="82"/>
        <v>1.0771414853355049E-5</v>
      </c>
      <c r="AE89" s="51">
        <f t="shared" si="70"/>
        <v>0.10771414853355049</v>
      </c>
      <c r="AF89" s="10">
        <f t="shared" si="83"/>
        <v>8.9044033105107445E-2</v>
      </c>
      <c r="AG89" s="10">
        <f t="shared" si="84"/>
        <v>8.9044033105107445E-2</v>
      </c>
      <c r="AH89" s="8">
        <f t="shared" si="71"/>
        <v>17.249976994170883</v>
      </c>
      <c r="AI89" s="10">
        <f t="shared" si="85"/>
        <v>9.0778569447365953E-2</v>
      </c>
      <c r="AJ89" s="10">
        <f t="shared" si="91"/>
        <v>0.10753503979151802</v>
      </c>
      <c r="AK89" s="10">
        <f t="shared" si="72"/>
        <v>8.1414919178854461E-2</v>
      </c>
      <c r="AL89" s="162">
        <f t="shared" si="86"/>
        <v>9.4474979485186239E-2</v>
      </c>
      <c r="AM89" s="178">
        <f t="shared" si="87"/>
        <v>5.4309463800787938E-3</v>
      </c>
      <c r="AQ89" s="1">
        <f t="shared" si="73"/>
        <v>8.9044033105107445E-2</v>
      </c>
      <c r="AR89" s="1">
        <f t="shared" si="74"/>
        <v>0</v>
      </c>
      <c r="AS89" s="1">
        <f t="shared" si="75"/>
        <v>0</v>
      </c>
      <c r="AT89" s="1">
        <f t="shared" si="88"/>
        <v>17.385847463771881</v>
      </c>
      <c r="AU89" s="1">
        <f t="shared" si="89"/>
        <v>1977.94</v>
      </c>
      <c r="AV89" s="8">
        <f t="shared" si="90"/>
        <v>17.185847463771882</v>
      </c>
    </row>
    <row r="90" spans="1:48" ht="15" customHeight="1">
      <c r="A90" s="168">
        <v>2161.91</v>
      </c>
      <c r="B90" s="98">
        <v>17.452630488600708</v>
      </c>
      <c r="C90" s="171">
        <v>1</v>
      </c>
      <c r="D90" s="8">
        <f t="shared" si="57"/>
        <v>17.252630488600708</v>
      </c>
      <c r="E90" s="8">
        <f t="shared" si="58"/>
        <v>11.912983602298354</v>
      </c>
      <c r="F90" s="8">
        <f t="shared" si="59"/>
        <v>5.3396468863023543</v>
      </c>
      <c r="G90" s="8">
        <f t="shared" si="60"/>
        <v>4.6386467591632448</v>
      </c>
      <c r="H90" s="8"/>
      <c r="I90" s="8">
        <f t="shared" si="61"/>
        <v>-0.70100012713910953</v>
      </c>
      <c r="J90" s="8">
        <f t="shared" si="62"/>
        <v>16.551630361461598</v>
      </c>
      <c r="K90" s="8">
        <f t="shared" si="63"/>
        <v>0.70100012713911042</v>
      </c>
      <c r="L90" s="8"/>
      <c r="M90" s="8">
        <f t="shared" si="64"/>
        <v>0.781538133112605</v>
      </c>
      <c r="N90" s="8">
        <f t="shared" si="65"/>
        <v>8.0538005973494586E-2</v>
      </c>
      <c r="O90" s="8">
        <f t="shared" si="66"/>
        <v>17.333168494574203</v>
      </c>
      <c r="P90" s="8"/>
      <c r="Q90" s="8">
        <f t="shared" si="67"/>
        <v>-8.0538005973494364E-2</v>
      </c>
      <c r="R90" s="8"/>
      <c r="S90" s="9">
        <f t="shared" si="46"/>
        <v>6.4863704061866138E-3</v>
      </c>
      <c r="T90" s="165">
        <f t="shared" si="76"/>
        <v>1</v>
      </c>
      <c r="U90" s="163">
        <f t="shared" si="77"/>
        <v>6.4863704061866138E-3</v>
      </c>
      <c r="V90" s="8">
        <f t="shared" si="68"/>
        <v>0.19755207029764144</v>
      </c>
      <c r="X90" s="8">
        <f t="shared" si="69"/>
        <v>632.20722958789133</v>
      </c>
      <c r="Z90" s="2">
        <f t="shared" si="78"/>
        <v>8.0000000000000002E-3</v>
      </c>
      <c r="AA90" s="4">
        <f t="shared" si="79"/>
        <v>2161.91</v>
      </c>
      <c r="AB90" s="46">
        <f t="shared" si="80"/>
        <v>8.0000000000000002E-3</v>
      </c>
      <c r="AC90" s="4">
        <f t="shared" si="81"/>
        <v>17.252630488600708</v>
      </c>
      <c r="AD90" s="2">
        <f t="shared" si="82"/>
        <v>9.8548100036750302E-6</v>
      </c>
      <c r="AE90" s="51">
        <f t="shared" si="70"/>
        <v>9.8548100036750297E-2</v>
      </c>
      <c r="AF90" s="10">
        <f t="shared" si="83"/>
        <v>6.6783024828826143E-2</v>
      </c>
      <c r="AG90" s="10">
        <f t="shared" si="84"/>
        <v>6.6783024828826143E-2</v>
      </c>
      <c r="AH90" s="8">
        <f t="shared" si="71"/>
        <v>17.333168494574203</v>
      </c>
      <c r="AI90" s="10">
        <f t="shared" si="85"/>
        <v>8.3191500403319907E-2</v>
      </c>
      <c r="AJ90" s="10">
        <f t="shared" si="91"/>
        <v>9.6303722646012169E-2</v>
      </c>
      <c r="AK90" s="10">
        <f t="shared" si="72"/>
        <v>7.5853702276686974E-2</v>
      </c>
      <c r="AL90" s="162">
        <f t="shared" si="86"/>
        <v>8.6078712461349571E-2</v>
      </c>
      <c r="AM90" s="178">
        <f t="shared" si="87"/>
        <v>1.9295687632523428E-2</v>
      </c>
      <c r="AQ90" s="1">
        <f t="shared" si="73"/>
        <v>6.6783024828826143E-2</v>
      </c>
      <c r="AR90" s="1">
        <f t="shared" si="74"/>
        <v>0</v>
      </c>
      <c r="AS90" s="1">
        <f t="shared" si="75"/>
        <v>0</v>
      </c>
      <c r="AT90" s="1">
        <f t="shared" si="88"/>
        <v>17.452630488600708</v>
      </c>
      <c r="AU90" s="1">
        <f t="shared" si="89"/>
        <v>2161.91</v>
      </c>
      <c r="AV90" s="8">
        <f t="shared" si="90"/>
        <v>17.252630488600708</v>
      </c>
    </row>
    <row r="91" spans="1:48" ht="15" customHeight="1">
      <c r="A91" s="168">
        <v>2370.84</v>
      </c>
      <c r="B91" s="98">
        <v>17.541674521705815</v>
      </c>
      <c r="C91" s="171">
        <v>1</v>
      </c>
      <c r="D91" s="8">
        <f t="shared" si="57"/>
        <v>17.341674521705816</v>
      </c>
      <c r="E91" s="8">
        <f t="shared" si="58"/>
        <v>11.946756940940723</v>
      </c>
      <c r="F91" s="8">
        <f t="shared" si="59"/>
        <v>5.3949175807650924</v>
      </c>
      <c r="G91" s="8">
        <f t="shared" si="60"/>
        <v>4.6676145279137531</v>
      </c>
      <c r="H91" s="8"/>
      <c r="I91" s="8">
        <f t="shared" si="61"/>
        <v>-0.72730305285133934</v>
      </c>
      <c r="J91" s="8">
        <f t="shared" si="62"/>
        <v>16.614371468854475</v>
      </c>
      <c r="K91" s="8">
        <f t="shared" si="63"/>
        <v>0.72730305285134023</v>
      </c>
      <c r="L91" s="8"/>
      <c r="M91" s="8">
        <f t="shared" si="64"/>
        <v>0.79905692874868994</v>
      </c>
      <c r="N91" s="8">
        <f t="shared" si="65"/>
        <v>7.1753875897349717E-2</v>
      </c>
      <c r="O91" s="8">
        <f t="shared" si="66"/>
        <v>17.413428397603166</v>
      </c>
      <c r="P91" s="8"/>
      <c r="Q91" s="8">
        <f t="shared" si="67"/>
        <v>-7.1753875897350383E-2</v>
      </c>
      <c r="R91" s="8"/>
      <c r="S91" s="9">
        <f t="shared" si="46"/>
        <v>5.1486187062923603E-3</v>
      </c>
      <c r="T91" s="165">
        <f t="shared" si="76"/>
        <v>1</v>
      </c>
      <c r="U91" s="163">
        <f t="shared" si="77"/>
        <v>5.1486187062923603E-3</v>
      </c>
      <c r="V91" s="8">
        <f t="shared" si="68"/>
        <v>0.1934104873625202</v>
      </c>
      <c r="X91" s="8">
        <f t="shared" si="69"/>
        <v>693.30461869187741</v>
      </c>
      <c r="Z91" s="2">
        <f t="shared" si="78"/>
        <v>7.0000000000000001E-3</v>
      </c>
      <c r="AA91" s="4">
        <f t="shared" si="79"/>
        <v>2370.84</v>
      </c>
      <c r="AB91" s="46">
        <f t="shared" si="80"/>
        <v>7.0000000000000001E-3</v>
      </c>
      <c r="AC91" s="4">
        <f t="shared" si="81"/>
        <v>17.341674521705816</v>
      </c>
      <c r="AD91" s="2">
        <f t="shared" si="82"/>
        <v>8.9863560151866355E-6</v>
      </c>
      <c r="AE91" s="51">
        <f t="shared" si="70"/>
        <v>8.9863560151866362E-2</v>
      </c>
      <c r="AF91" s="10">
        <f t="shared" si="83"/>
        <v>8.9044033105107445E-2</v>
      </c>
      <c r="AG91" s="10">
        <f t="shared" si="84"/>
        <v>8.9044033105107445E-2</v>
      </c>
      <c r="AH91" s="8">
        <f t="shared" si="71"/>
        <v>17.413428397603166</v>
      </c>
      <c r="AI91" s="10">
        <f t="shared" si="85"/>
        <v>8.0259903028963464E-2</v>
      </c>
      <c r="AJ91" s="10">
        <f t="shared" si="91"/>
        <v>8.9054792753190171E-2</v>
      </c>
      <c r="AK91" s="10">
        <f t="shared" si="72"/>
        <v>7.1641918625261702E-2</v>
      </c>
      <c r="AL91" s="162">
        <f t="shared" si="86"/>
        <v>8.0348355689225937E-2</v>
      </c>
      <c r="AM91" s="178">
        <f t="shared" si="87"/>
        <v>8.6956774158815087E-3</v>
      </c>
      <c r="AQ91" s="1">
        <f t="shared" si="73"/>
        <v>8.9044033105107445E-2</v>
      </c>
      <c r="AR91" s="1">
        <f t="shared" si="74"/>
        <v>0</v>
      </c>
      <c r="AS91" s="1">
        <f t="shared" si="75"/>
        <v>0</v>
      </c>
      <c r="AT91" s="1">
        <f t="shared" si="88"/>
        <v>17.541674521705815</v>
      </c>
      <c r="AU91" s="1">
        <f t="shared" si="89"/>
        <v>2370.84</v>
      </c>
      <c r="AV91" s="8">
        <f t="shared" si="90"/>
        <v>17.341674521705816</v>
      </c>
    </row>
    <row r="92" spans="1:48" ht="15" customHeight="1">
      <c r="A92" s="168">
        <v>2588.0300000000002</v>
      </c>
      <c r="B92" s="98">
        <v>17.608457546534638</v>
      </c>
      <c r="C92" s="171">
        <v>1</v>
      </c>
      <c r="D92" s="8">
        <f t="shared" si="57"/>
        <v>17.408457546534638</v>
      </c>
      <c r="E92" s="8">
        <f t="shared" si="58"/>
        <v>11.978171998142342</v>
      </c>
      <c r="F92" s="8">
        <f t="shared" si="59"/>
        <v>5.4302855483922965</v>
      </c>
      <c r="G92" s="8">
        <f t="shared" si="60"/>
        <v>4.6933927907726813</v>
      </c>
      <c r="H92" s="8"/>
      <c r="I92" s="8">
        <f t="shared" si="61"/>
        <v>-0.73689275761961515</v>
      </c>
      <c r="J92" s="8">
        <f t="shared" si="62"/>
        <v>16.671564788915024</v>
      </c>
      <c r="K92" s="8">
        <f t="shared" si="63"/>
        <v>0.73689275761961426</v>
      </c>
      <c r="L92" s="8"/>
      <c r="M92" s="8">
        <f t="shared" si="64"/>
        <v>0.81329331252390968</v>
      </c>
      <c r="N92" s="8">
        <f t="shared" si="65"/>
        <v>7.6400554904295426E-2</v>
      </c>
      <c r="O92" s="8">
        <f t="shared" si="66"/>
        <v>17.484858101438935</v>
      </c>
      <c r="P92" s="8"/>
      <c r="Q92" s="8">
        <f t="shared" si="67"/>
        <v>-7.6400554904296314E-2</v>
      </c>
      <c r="R92" s="8"/>
      <c r="S92" s="9">
        <f t="shared" si="46"/>
        <v>5.8370447896843956E-3</v>
      </c>
      <c r="T92" s="165">
        <f t="shared" si="76"/>
        <v>1</v>
      </c>
      <c r="U92" s="163">
        <f t="shared" si="77"/>
        <v>5.8370447896843956E-3</v>
      </c>
      <c r="V92" s="8">
        <f t="shared" si="68"/>
        <v>0.19030430016117961</v>
      </c>
      <c r="X92" s="8">
        <f t="shared" si="69"/>
        <v>756.81747916904533</v>
      </c>
      <c r="Z92" s="2">
        <f t="shared" si="78"/>
        <v>7.0000000000000001E-3</v>
      </c>
      <c r="AA92" s="4">
        <f t="shared" si="79"/>
        <v>2588.0300000000002</v>
      </c>
      <c r="AB92" s="46">
        <f t="shared" si="80"/>
        <v>7.0000000000000001E-3</v>
      </c>
      <c r="AC92" s="4">
        <f t="shared" si="81"/>
        <v>17.408457546534638</v>
      </c>
      <c r="AD92" s="2">
        <f t="shared" si="82"/>
        <v>8.232212259921672E-6</v>
      </c>
      <c r="AE92" s="51">
        <f t="shared" si="70"/>
        <v>8.2322122599216715E-2</v>
      </c>
      <c r="AF92" s="10">
        <f t="shared" si="83"/>
        <v>6.678302482882259E-2</v>
      </c>
      <c r="AG92" s="10">
        <f t="shared" si="84"/>
        <v>6.678302482882259E-2</v>
      </c>
      <c r="AH92" s="8">
        <f t="shared" si="71"/>
        <v>17.484858101438935</v>
      </c>
      <c r="AI92" s="10">
        <f t="shared" si="85"/>
        <v>7.1429703835768521E-2</v>
      </c>
      <c r="AJ92" s="10">
        <f t="shared" si="91"/>
        <v>8.1414919178854461E-2</v>
      </c>
      <c r="AK92" s="10">
        <f t="shared" si="72"/>
        <v>6.6945920241902712E-2</v>
      </c>
      <c r="AL92" s="162">
        <f t="shared" si="86"/>
        <v>7.4180419710378587E-2</v>
      </c>
      <c r="AM92" s="178">
        <f t="shared" si="87"/>
        <v>7.3973948815559964E-3</v>
      </c>
      <c r="AQ92" s="1">
        <f t="shared" si="73"/>
        <v>6.678302482882259E-2</v>
      </c>
      <c r="AR92" s="1">
        <f t="shared" si="74"/>
        <v>0</v>
      </c>
      <c r="AS92" s="1">
        <f t="shared" si="75"/>
        <v>0</v>
      </c>
      <c r="AT92" s="1">
        <f t="shared" si="88"/>
        <v>17.608457546534638</v>
      </c>
      <c r="AU92" s="1">
        <f t="shared" si="89"/>
        <v>2588.0300000000002</v>
      </c>
      <c r="AV92" s="8">
        <f t="shared" si="90"/>
        <v>17.408457546534638</v>
      </c>
    </row>
    <row r="93" spans="1:48" ht="15" customHeight="1">
      <c r="A93" s="168">
        <v>2829.52</v>
      </c>
      <c r="B93" s="98">
        <v>17.675240571363467</v>
      </c>
      <c r="C93" s="171">
        <v>1</v>
      </c>
      <c r="D93" s="8">
        <f t="shared" si="57"/>
        <v>17.475240571363468</v>
      </c>
      <c r="E93" s="8">
        <f t="shared" si="58"/>
        <v>12.009491382853534</v>
      </c>
      <c r="F93" s="8">
        <f t="shared" si="59"/>
        <v>5.4657491885099336</v>
      </c>
      <c r="G93" s="8">
        <f t="shared" si="60"/>
        <v>4.7180431183845126</v>
      </c>
      <c r="H93" s="8"/>
      <c r="I93" s="8">
        <f t="shared" si="61"/>
        <v>-0.74770607012542101</v>
      </c>
      <c r="J93" s="8">
        <f t="shared" si="62"/>
        <v>16.727534501238047</v>
      </c>
      <c r="K93" s="8">
        <f t="shared" si="63"/>
        <v>0.74770607012542101</v>
      </c>
      <c r="L93" s="8"/>
      <c r="M93" s="8">
        <f t="shared" si="64"/>
        <v>0.82585730203958529</v>
      </c>
      <c r="N93" s="8">
        <f t="shared" si="65"/>
        <v>7.8151231914164287E-2</v>
      </c>
      <c r="O93" s="8">
        <f t="shared" si="66"/>
        <v>17.553391803277631</v>
      </c>
      <c r="P93" s="8"/>
      <c r="Q93" s="8">
        <f t="shared" si="67"/>
        <v>-7.8151231914162622E-2</v>
      </c>
      <c r="R93" s="8"/>
      <c r="S93" s="9">
        <f t="shared" si="46"/>
        <v>6.1076150497012304E-3</v>
      </c>
      <c r="T93" s="165">
        <f t="shared" si="76"/>
        <v>1</v>
      </c>
      <c r="U93" s="163">
        <f t="shared" si="77"/>
        <v>6.1076150497012304E-3</v>
      </c>
      <c r="V93" s="8">
        <f t="shared" si="68"/>
        <v>0.18719811295983868</v>
      </c>
      <c r="X93" s="8">
        <f t="shared" si="69"/>
        <v>827.43638739056234</v>
      </c>
      <c r="Z93" s="2">
        <f t="shared" si="78"/>
        <v>6.0000000000000001E-3</v>
      </c>
      <c r="AA93" s="4">
        <f t="shared" si="79"/>
        <v>2829.52</v>
      </c>
      <c r="AB93" s="46">
        <f t="shared" si="80"/>
        <v>6.0000000000000001E-3</v>
      </c>
      <c r="AC93" s="4">
        <f t="shared" si="81"/>
        <v>17.475240571363468</v>
      </c>
      <c r="AD93" s="2">
        <f t="shared" si="82"/>
        <v>7.5296206759609712E-6</v>
      </c>
      <c r="AE93" s="51">
        <f t="shared" si="70"/>
        <v>7.5296206759609713E-2</v>
      </c>
      <c r="AF93" s="10">
        <f t="shared" si="83"/>
        <v>6.6783024828829696E-2</v>
      </c>
      <c r="AG93" s="10">
        <f t="shared" si="84"/>
        <v>6.6783024828829696E-2</v>
      </c>
      <c r="AH93" s="8">
        <f t="shared" si="71"/>
        <v>17.553391803277631</v>
      </c>
      <c r="AI93" s="10">
        <f t="shared" si="85"/>
        <v>6.8533701838696004E-2</v>
      </c>
      <c r="AJ93" s="10">
        <f t="shared" si="91"/>
        <v>7.5853702276686974E-2</v>
      </c>
      <c r="AK93" s="10">
        <f t="shared" si="72"/>
        <v>6.3862892074459943E-2</v>
      </c>
      <c r="AL93" s="162">
        <f t="shared" si="86"/>
        <v>6.9858297175573458E-2</v>
      </c>
      <c r="AM93" s="178">
        <f t="shared" si="87"/>
        <v>3.0752723467437626E-3</v>
      </c>
      <c r="AQ93" s="1">
        <f t="shared" si="73"/>
        <v>6.6783024828829696E-2</v>
      </c>
      <c r="AR93" s="1">
        <f t="shared" si="74"/>
        <v>0</v>
      </c>
      <c r="AS93" s="1">
        <f t="shared" si="75"/>
        <v>0</v>
      </c>
      <c r="AT93" s="1">
        <f t="shared" si="88"/>
        <v>17.675240571363467</v>
      </c>
      <c r="AU93" s="1">
        <f t="shared" si="89"/>
        <v>2829.52</v>
      </c>
      <c r="AV93" s="8">
        <f t="shared" si="90"/>
        <v>17.475240571363468</v>
      </c>
    </row>
    <row r="94" spans="1:48" ht="15" customHeight="1">
      <c r="A94" s="168">
        <v>3100.06</v>
      </c>
      <c r="B94" s="98">
        <v>17.742023596192293</v>
      </c>
      <c r="C94" s="171">
        <v>1</v>
      </c>
      <c r="D94" s="8">
        <f t="shared" si="57"/>
        <v>17.542023596192294</v>
      </c>
      <c r="E94" s="8">
        <f t="shared" si="58"/>
        <v>12.040887218838714</v>
      </c>
      <c r="F94" s="8">
        <f t="shared" si="59"/>
        <v>5.5011363773535802</v>
      </c>
      <c r="G94" s="8">
        <f t="shared" si="60"/>
        <v>4.741764853833371</v>
      </c>
      <c r="H94" s="8"/>
      <c r="I94" s="8">
        <f t="shared" si="61"/>
        <v>-0.7593715235202092</v>
      </c>
      <c r="J94" s="8">
        <f t="shared" si="62"/>
        <v>16.782652072672086</v>
      </c>
      <c r="K94" s="8">
        <f t="shared" si="63"/>
        <v>0.75937152352020831</v>
      </c>
      <c r="L94" s="8"/>
      <c r="M94" s="8">
        <f t="shared" si="64"/>
        <v>0.83708409640316195</v>
      </c>
      <c r="N94" s="8">
        <f t="shared" si="65"/>
        <v>7.7712572882953634E-2</v>
      </c>
      <c r="O94" s="8">
        <f t="shared" si="66"/>
        <v>17.619736169075249</v>
      </c>
      <c r="P94" s="8"/>
      <c r="Q94" s="8">
        <f t="shared" si="67"/>
        <v>-7.77125728829553E-2</v>
      </c>
      <c r="R94" s="8"/>
      <c r="S94" s="9">
        <f t="shared" ref="S94:S105" si="92">IF($I$4="",IF(A94="","",F94^2),IF(Q94="","",Q94^2))</f>
        <v>6.0392439840886393E-3</v>
      </c>
      <c r="T94" s="165">
        <f t="shared" si="76"/>
        <v>1</v>
      </c>
      <c r="U94" s="163">
        <f t="shared" si="77"/>
        <v>6.0392439840886393E-3</v>
      </c>
      <c r="V94" s="8">
        <f t="shared" si="68"/>
        <v>0.18409192575849798</v>
      </c>
      <c r="X94" s="8">
        <f t="shared" si="69"/>
        <v>906.55038561098229</v>
      </c>
      <c r="Z94" s="2">
        <f t="shared" si="78"/>
        <v>6.0000000000000001E-3</v>
      </c>
      <c r="AA94" s="4">
        <f t="shared" si="79"/>
        <v>3100.06</v>
      </c>
      <c r="AB94" s="46">
        <f t="shared" si="80"/>
        <v>6.0000000000000001E-3</v>
      </c>
      <c r="AC94" s="4">
        <f t="shared" si="81"/>
        <v>17.542023596192294</v>
      </c>
      <c r="AD94" s="2">
        <f t="shared" si="82"/>
        <v>6.8725161109930403E-6</v>
      </c>
      <c r="AE94" s="51">
        <f t="shared" si="70"/>
        <v>6.8725161109930405E-2</v>
      </c>
      <c r="AF94" s="10">
        <f t="shared" si="83"/>
        <v>6.6783024828826143E-2</v>
      </c>
      <c r="AG94" s="10">
        <f t="shared" si="84"/>
        <v>6.6783024828826143E-2</v>
      </c>
      <c r="AH94" s="8">
        <f t="shared" si="71"/>
        <v>17.619736169075249</v>
      </c>
      <c r="AI94" s="10">
        <f t="shared" si="85"/>
        <v>6.6344365797618821E-2</v>
      </c>
      <c r="AJ94" s="10">
        <f t="shared" si="91"/>
        <v>7.1641918625261702E-2</v>
      </c>
      <c r="AK94" s="10">
        <f t="shared" si="72"/>
        <v>6.0894878095812288E-2</v>
      </c>
      <c r="AL94" s="162">
        <f t="shared" si="86"/>
        <v>6.6268398360536995E-2</v>
      </c>
      <c r="AM94" s="178">
        <f t="shared" si="87"/>
        <v>5.1462646828914771E-4</v>
      </c>
      <c r="AQ94" s="1">
        <f t="shared" si="73"/>
        <v>6.6783024828826143E-2</v>
      </c>
      <c r="AR94" s="1">
        <f t="shared" si="74"/>
        <v>0</v>
      </c>
      <c r="AS94" s="1">
        <f t="shared" si="75"/>
        <v>0</v>
      </c>
      <c r="AT94" s="1">
        <f t="shared" si="88"/>
        <v>17.742023596192293</v>
      </c>
      <c r="AU94" s="1">
        <f t="shared" si="89"/>
        <v>3100.06</v>
      </c>
      <c r="AV94" s="8">
        <f t="shared" si="90"/>
        <v>17.542023596192294</v>
      </c>
    </row>
    <row r="95" spans="1:48" ht="15" customHeight="1">
      <c r="A95" s="168">
        <v>3389.06</v>
      </c>
      <c r="B95" s="98">
        <v>17.808806621021127</v>
      </c>
      <c r="C95" s="171">
        <v>1</v>
      </c>
      <c r="D95" s="8">
        <f t="shared" si="57"/>
        <v>17.608806621021127</v>
      </c>
      <c r="E95" s="8">
        <f t="shared" si="58"/>
        <v>12.070905864575012</v>
      </c>
      <c r="F95" s="8">
        <f t="shared" si="59"/>
        <v>5.5379007564461151</v>
      </c>
      <c r="G95" s="8">
        <f t="shared" si="60"/>
        <v>4.7635737992186638</v>
      </c>
      <c r="H95" s="8"/>
      <c r="I95" s="8">
        <f t="shared" si="61"/>
        <v>-0.77432695722745137</v>
      </c>
      <c r="J95" s="8">
        <f t="shared" si="62"/>
        <v>16.834479663793676</v>
      </c>
      <c r="K95" s="8">
        <f t="shared" si="63"/>
        <v>0.77432695722745137</v>
      </c>
      <c r="L95" s="8"/>
      <c r="M95" s="8">
        <f t="shared" si="64"/>
        <v>0.84673241477709948</v>
      </c>
      <c r="N95" s="8">
        <f t="shared" si="65"/>
        <v>7.2405457549648111E-2</v>
      </c>
      <c r="O95" s="8">
        <f t="shared" si="66"/>
        <v>17.681212078570777</v>
      </c>
      <c r="P95" s="8"/>
      <c r="Q95" s="8">
        <f t="shared" si="67"/>
        <v>-7.2405457549649554E-2</v>
      </c>
      <c r="R95" s="8"/>
      <c r="S95" s="9">
        <f t="shared" si="92"/>
        <v>5.2425502829741037E-3</v>
      </c>
      <c r="T95" s="165">
        <f t="shared" si="76"/>
        <v>1</v>
      </c>
      <c r="U95" s="163">
        <f t="shared" si="77"/>
        <v>5.2425502829741037E-3</v>
      </c>
      <c r="V95" s="8">
        <f t="shared" si="68"/>
        <v>0.18098573855715683</v>
      </c>
      <c r="X95" s="8">
        <f t="shared" si="69"/>
        <v>991.0626406775209</v>
      </c>
      <c r="Z95" s="2">
        <f t="shared" si="78"/>
        <v>5.0000000000000001E-3</v>
      </c>
      <c r="AA95" s="18">
        <f t="shared" si="79"/>
        <v>3389.06</v>
      </c>
      <c r="AB95" s="46">
        <f t="shared" si="80"/>
        <v>5.0000000000000001E-3</v>
      </c>
      <c r="AC95" s="18">
        <f t="shared" si="81"/>
        <v>17.608806621021127</v>
      </c>
      <c r="AD95" s="2">
        <f t="shared" si="82"/>
        <v>6.2864665408830429E-6</v>
      </c>
      <c r="AE95" s="51">
        <f t="shared" si="70"/>
        <v>6.2864665408830428E-2</v>
      </c>
      <c r="AF95" s="10">
        <f t="shared" si="83"/>
        <v>6.6783024828833248E-2</v>
      </c>
      <c r="AG95" s="10">
        <f t="shared" si="84"/>
        <v>6.6783024828833248E-2</v>
      </c>
      <c r="AH95" s="8">
        <f t="shared" si="71"/>
        <v>17.681212078570777</v>
      </c>
      <c r="AI95" s="10">
        <f t="shared" si="85"/>
        <v>6.1475909495527503E-2</v>
      </c>
      <c r="AJ95" s="10">
        <f t="shared" si="91"/>
        <v>6.6945920241902712E-2</v>
      </c>
      <c r="AK95" s="10">
        <f t="shared" si="72"/>
        <v>5.7769474569462353E-2</v>
      </c>
      <c r="AL95" s="162">
        <f t="shared" si="86"/>
        <v>6.2357697405682533E-2</v>
      </c>
      <c r="AM95" s="178">
        <f t="shared" si="87"/>
        <v>4.4253274231507156E-3</v>
      </c>
      <c r="AQ95" s="1">
        <f t="shared" si="73"/>
        <v>6.6783024828833248E-2</v>
      </c>
      <c r="AR95" s="1">
        <f t="shared" si="74"/>
        <v>0</v>
      </c>
      <c r="AS95" s="1">
        <f t="shared" si="75"/>
        <v>0</v>
      </c>
      <c r="AT95" s="1">
        <f t="shared" si="88"/>
        <v>17.808806621021127</v>
      </c>
      <c r="AU95" s="1">
        <f t="shared" si="89"/>
        <v>3389.06</v>
      </c>
      <c r="AV95" s="8">
        <f t="shared" si="90"/>
        <v>17.608806621021127</v>
      </c>
    </row>
    <row r="96" spans="1:48" ht="15" customHeight="1">
      <c r="A96" s="168">
        <v>3707.98</v>
      </c>
      <c r="B96" s="98">
        <v>17.853328637573679</v>
      </c>
      <c r="C96" s="171">
        <v>1</v>
      </c>
      <c r="D96" s="8">
        <f t="shared" si="57"/>
        <v>17.653328637573679</v>
      </c>
      <c r="E96" s="8">
        <f t="shared" si="58"/>
        <v>12.100586707284142</v>
      </c>
      <c r="F96" s="8">
        <f t="shared" si="59"/>
        <v>5.5527419302895371</v>
      </c>
      <c r="G96" s="8">
        <f t="shared" si="60"/>
        <v>4.7843457911212912</v>
      </c>
      <c r="H96" s="8"/>
      <c r="I96" s="8">
        <f t="shared" si="61"/>
        <v>-0.7683961391682459</v>
      </c>
      <c r="J96" s="8">
        <f t="shared" si="62"/>
        <v>16.884932498405433</v>
      </c>
      <c r="K96" s="8">
        <f t="shared" si="63"/>
        <v>0.7683961391682459</v>
      </c>
      <c r="L96" s="8"/>
      <c r="M96" s="8">
        <f t="shared" si="64"/>
        <v>0.85537717133134217</v>
      </c>
      <c r="N96" s="8">
        <f t="shared" si="65"/>
        <v>8.6981032163096272E-2</v>
      </c>
      <c r="O96" s="8">
        <f t="shared" si="66"/>
        <v>17.740309669736774</v>
      </c>
      <c r="P96" s="8"/>
      <c r="Q96" s="8">
        <f t="shared" si="67"/>
        <v>-8.6981032163095051E-2</v>
      </c>
      <c r="R96" s="8"/>
      <c r="S96" s="9">
        <f t="shared" si="92"/>
        <v>7.5656999561573759E-3</v>
      </c>
      <c r="T96" s="165">
        <f t="shared" si="76"/>
        <v>1</v>
      </c>
      <c r="U96" s="163">
        <f t="shared" si="77"/>
        <v>7.5656999561573759E-3</v>
      </c>
      <c r="V96" s="8">
        <f t="shared" si="68"/>
        <v>0.17891494708959632</v>
      </c>
      <c r="X96" s="8">
        <f t="shared" si="69"/>
        <v>1084.3243997980071</v>
      </c>
      <c r="Z96" s="2">
        <f t="shared" si="78"/>
        <v>5.0000000000000001E-3</v>
      </c>
      <c r="AA96" s="4">
        <f t="shared" si="79"/>
        <v>3707.98</v>
      </c>
      <c r="AB96" s="46">
        <f t="shared" si="80"/>
        <v>5.0000000000000001E-3</v>
      </c>
      <c r="AC96" s="4">
        <f t="shared" si="81"/>
        <v>17.653328637573679</v>
      </c>
      <c r="AD96" s="2">
        <f t="shared" si="82"/>
        <v>5.745773249867875E-6</v>
      </c>
      <c r="AE96" s="51">
        <f t="shared" si="70"/>
        <v>5.7457732498678749E-2</v>
      </c>
      <c r="AF96" s="10">
        <f t="shared" si="83"/>
        <v>4.4522016552551946E-2</v>
      </c>
      <c r="AG96" s="10">
        <f t="shared" si="84"/>
        <v>4.4522016552551946E-2</v>
      </c>
      <c r="AH96" s="8">
        <f t="shared" si="71"/>
        <v>17.740309669736774</v>
      </c>
      <c r="AI96" s="10">
        <f t="shared" si="85"/>
        <v>5.9097591165997443E-2</v>
      </c>
      <c r="AJ96" s="10">
        <f t="shared" si="91"/>
        <v>6.3862892074459943E-2</v>
      </c>
      <c r="AK96" s="10">
        <f t="shared" si="72"/>
        <v>5.507272826700671E-2</v>
      </c>
      <c r="AL96" s="162">
        <f t="shared" si="86"/>
        <v>5.9467810170733326E-2</v>
      </c>
      <c r="AM96" s="178">
        <f t="shared" si="87"/>
        <v>1.494579361818138E-2</v>
      </c>
      <c r="AQ96" s="1">
        <f t="shared" si="73"/>
        <v>4.4522016552551946E-2</v>
      </c>
      <c r="AR96" s="1">
        <f t="shared" si="74"/>
        <v>0</v>
      </c>
      <c r="AS96" s="1">
        <f t="shared" si="75"/>
        <v>0</v>
      </c>
      <c r="AT96" s="1">
        <f t="shared" si="88"/>
        <v>17.853328637573679</v>
      </c>
      <c r="AU96" s="1">
        <f t="shared" si="89"/>
        <v>3707.98</v>
      </c>
      <c r="AV96" s="8">
        <f t="shared" si="90"/>
        <v>17.653328637573679</v>
      </c>
    </row>
    <row r="97" spans="1:48" ht="15" customHeight="1">
      <c r="A97" s="168">
        <v>4058.34</v>
      </c>
      <c r="B97" s="98">
        <v>17.897850654126231</v>
      </c>
      <c r="C97" s="171">
        <v>1</v>
      </c>
      <c r="D97" s="8">
        <f t="shared" si="57"/>
        <v>17.697850654126231</v>
      </c>
      <c r="E97" s="8">
        <f t="shared" si="58"/>
        <v>12.129787309344401</v>
      </c>
      <c r="F97" s="8">
        <f t="shared" si="59"/>
        <v>5.5680633447818302</v>
      </c>
      <c r="G97" s="8">
        <f t="shared" si="60"/>
        <v>4.8040547504825311</v>
      </c>
      <c r="H97" s="8"/>
      <c r="I97" s="8">
        <f t="shared" si="61"/>
        <v>-0.76400859429929913</v>
      </c>
      <c r="J97" s="8">
        <f t="shared" si="62"/>
        <v>16.933842059826933</v>
      </c>
      <c r="K97" s="8">
        <f t="shared" si="63"/>
        <v>0.76400859429929824</v>
      </c>
      <c r="L97" s="8"/>
      <c r="M97" s="8">
        <f t="shared" si="64"/>
        <v>0.86312925583394684</v>
      </c>
      <c r="N97" s="8">
        <f t="shared" si="65"/>
        <v>9.9120661534648602E-2</v>
      </c>
      <c r="O97" s="8">
        <f t="shared" si="66"/>
        <v>17.79697131566088</v>
      </c>
      <c r="P97" s="8"/>
      <c r="Q97" s="8">
        <f t="shared" si="67"/>
        <v>-9.9120661534648491E-2</v>
      </c>
      <c r="R97" s="8"/>
      <c r="S97" s="9">
        <f t="shared" si="92"/>
        <v>9.8249055430663455E-3</v>
      </c>
      <c r="T97" s="165">
        <f t="shared" si="76"/>
        <v>1</v>
      </c>
      <c r="U97" s="163">
        <f t="shared" si="77"/>
        <v>9.8249055430663455E-3</v>
      </c>
      <c r="V97" s="8">
        <f t="shared" si="68"/>
        <v>0.1768441556220357</v>
      </c>
      <c r="X97" s="8">
        <f t="shared" si="69"/>
        <v>1186.7801564938982</v>
      </c>
      <c r="Z97" s="2">
        <f t="shared" si="78"/>
        <v>4.0000000000000001E-3</v>
      </c>
      <c r="AA97" s="4">
        <f t="shared" si="79"/>
        <v>4058.34</v>
      </c>
      <c r="AB97" s="46">
        <f t="shared" si="80"/>
        <v>4.0000000000000001E-3</v>
      </c>
      <c r="AC97" s="4">
        <f t="shared" si="81"/>
        <v>17.697850654126231</v>
      </c>
      <c r="AD97" s="2">
        <f t="shared" si="82"/>
        <v>5.2497356788847369E-6</v>
      </c>
      <c r="AE97" s="51">
        <f t="shared" si="70"/>
        <v>5.2497356788847371E-2</v>
      </c>
      <c r="AF97" s="10">
        <f t="shared" si="83"/>
        <v>4.4522016552551946E-2</v>
      </c>
      <c r="AG97" s="10">
        <f t="shared" si="84"/>
        <v>4.4522016552551946E-2</v>
      </c>
      <c r="AH97" s="8">
        <f t="shared" si="71"/>
        <v>17.79697131566088</v>
      </c>
      <c r="AI97" s="10">
        <f t="shared" si="85"/>
        <v>5.6661645924105386E-2</v>
      </c>
      <c r="AJ97" s="10">
        <f t="shared" si="91"/>
        <v>6.0894878095812288E-2</v>
      </c>
      <c r="AK97" s="10">
        <f t="shared" si="72"/>
        <v>5.282383405026092E-2</v>
      </c>
      <c r="AL97" s="162">
        <f t="shared" si="86"/>
        <v>5.6859356073036604E-2</v>
      </c>
      <c r="AM97" s="178">
        <f t="shared" si="87"/>
        <v>1.2337339520484658E-2</v>
      </c>
      <c r="AQ97" s="1">
        <f t="shared" si="73"/>
        <v>4.4522016552551946E-2</v>
      </c>
      <c r="AR97" s="1">
        <f t="shared" si="74"/>
        <v>0</v>
      </c>
      <c r="AS97" s="1">
        <f t="shared" si="75"/>
        <v>0</v>
      </c>
      <c r="AT97" s="1">
        <f t="shared" si="88"/>
        <v>17.897850654126231</v>
      </c>
      <c r="AU97" s="1">
        <f t="shared" si="89"/>
        <v>4058.34</v>
      </c>
      <c r="AV97" s="8">
        <f t="shared" si="90"/>
        <v>17.697850654126231</v>
      </c>
    </row>
    <row r="98" spans="1:48" ht="15" customHeight="1">
      <c r="A98" s="168">
        <v>4438.8100000000004</v>
      </c>
      <c r="B98" s="98">
        <v>17.942372670678786</v>
      </c>
      <c r="C98" s="171">
        <v>1</v>
      </c>
      <c r="D98" s="8">
        <f t="shared" si="57"/>
        <v>17.742372670678787</v>
      </c>
      <c r="E98" s="8">
        <f t="shared" si="58"/>
        <v>12.158196296224745</v>
      </c>
      <c r="F98" s="8">
        <f t="shared" si="59"/>
        <v>5.5841763744540422</v>
      </c>
      <c r="G98" s="8">
        <f t="shared" si="60"/>
        <v>4.8225732282217457</v>
      </c>
      <c r="H98" s="8"/>
      <c r="I98" s="8">
        <f t="shared" si="61"/>
        <v>-0.76160314623229652</v>
      </c>
      <c r="J98" s="8">
        <f t="shared" si="62"/>
        <v>16.98076952444649</v>
      </c>
      <c r="K98" s="8">
        <f t="shared" si="63"/>
        <v>0.76160314623229652</v>
      </c>
      <c r="L98" s="8"/>
      <c r="M98" s="8">
        <f t="shared" si="64"/>
        <v>0.87004454290660704</v>
      </c>
      <c r="N98" s="8">
        <f t="shared" si="65"/>
        <v>0.10844139667431052</v>
      </c>
      <c r="O98" s="8">
        <f t="shared" si="66"/>
        <v>17.850814067353099</v>
      </c>
      <c r="P98" s="8"/>
      <c r="Q98" s="8">
        <f t="shared" si="67"/>
        <v>-0.10844139667431207</v>
      </c>
      <c r="R98" s="8"/>
      <c r="S98" s="9">
        <f t="shared" si="92"/>
        <v>1.1759536512675502E-2</v>
      </c>
      <c r="T98" s="165">
        <f t="shared" si="76"/>
        <v>1</v>
      </c>
      <c r="U98" s="163">
        <f t="shared" si="77"/>
        <v>1.1759536512675502E-2</v>
      </c>
      <c r="V98" s="8">
        <f t="shared" si="68"/>
        <v>0.17477336415447509</v>
      </c>
      <c r="X98" s="8">
        <f t="shared" si="69"/>
        <v>1298.040978933919</v>
      </c>
      <c r="Z98" s="2">
        <f t="shared" si="78"/>
        <v>4.0000000000000001E-3</v>
      </c>
      <c r="AA98" s="4">
        <f t="shared" si="79"/>
        <v>4438.8100000000004</v>
      </c>
      <c r="AB98" s="46">
        <f t="shared" si="80"/>
        <v>4.0000000000000001E-3</v>
      </c>
      <c r="AC98" s="4">
        <f t="shared" si="81"/>
        <v>17.742372670678787</v>
      </c>
      <c r="AD98" s="2">
        <f t="shared" si="82"/>
        <v>4.7997576591575405E-6</v>
      </c>
      <c r="AE98" s="51">
        <f t="shared" si="70"/>
        <v>4.7997576591575407E-2</v>
      </c>
      <c r="AF98" s="10">
        <f t="shared" si="83"/>
        <v>4.4522016552555499E-2</v>
      </c>
      <c r="AG98" s="10">
        <f t="shared" si="84"/>
        <v>4.4522016552555499E-2</v>
      </c>
      <c r="AH98" s="8">
        <f t="shared" si="71"/>
        <v>17.850814067353099</v>
      </c>
      <c r="AI98" s="10">
        <f t="shared" si="85"/>
        <v>5.3842751692219082E-2</v>
      </c>
      <c r="AJ98" s="10">
        <f t="shared" si="91"/>
        <v>5.7769474569462353E-2</v>
      </c>
      <c r="AK98" s="10">
        <f t="shared" si="72"/>
        <v>5.0710649436818578E-2</v>
      </c>
      <c r="AL98" s="162">
        <f t="shared" si="86"/>
        <v>5.4240062003140466E-2</v>
      </c>
      <c r="AM98" s="178">
        <f t="shared" si="87"/>
        <v>9.7180454505849667E-3</v>
      </c>
      <c r="AQ98" s="1">
        <f t="shared" si="73"/>
        <v>4.4522016552555499E-2</v>
      </c>
      <c r="AR98" s="1">
        <f t="shared" si="74"/>
        <v>0</v>
      </c>
      <c r="AS98" s="1">
        <f t="shared" si="75"/>
        <v>0</v>
      </c>
      <c r="AT98" s="1">
        <f t="shared" si="88"/>
        <v>17.942372670678786</v>
      </c>
      <c r="AU98" s="1">
        <f t="shared" si="89"/>
        <v>4438.8100000000004</v>
      </c>
      <c r="AV98" s="8">
        <f t="shared" si="90"/>
        <v>17.742372670678787</v>
      </c>
    </row>
    <row r="99" spans="1:48" ht="15" customHeight="1">
      <c r="A99" s="168">
        <v>4846.57</v>
      </c>
      <c r="B99" s="98">
        <v>17.986894687231338</v>
      </c>
      <c r="C99" s="171">
        <v>1</v>
      </c>
      <c r="D99" s="8">
        <f t="shared" si="57"/>
        <v>17.786894687231339</v>
      </c>
      <c r="E99" s="8">
        <f t="shared" si="58"/>
        <v>12.185518866307428</v>
      </c>
      <c r="F99" s="8">
        <f t="shared" si="59"/>
        <v>5.6013758209239111</v>
      </c>
      <c r="G99" s="8">
        <f t="shared" si="60"/>
        <v>4.8398032399817854</v>
      </c>
      <c r="H99" s="8"/>
      <c r="I99" s="8">
        <f t="shared" si="61"/>
        <v>-0.76157258094212565</v>
      </c>
      <c r="J99" s="8">
        <f t="shared" si="62"/>
        <v>17.025322106289213</v>
      </c>
      <c r="K99" s="8">
        <f t="shared" si="63"/>
        <v>0.76157258094212565</v>
      </c>
      <c r="L99" s="8"/>
      <c r="M99" s="8">
        <f t="shared" si="64"/>
        <v>0.87618088534959127</v>
      </c>
      <c r="N99" s="8">
        <f t="shared" si="65"/>
        <v>0.11460830440746561</v>
      </c>
      <c r="O99" s="8">
        <f t="shared" si="66"/>
        <v>17.901502991638804</v>
      </c>
      <c r="P99" s="8"/>
      <c r="Q99" s="8">
        <f t="shared" si="67"/>
        <v>-0.11460830440746506</v>
      </c>
      <c r="R99" s="8"/>
      <c r="S99" s="9">
        <f t="shared" si="92"/>
        <v>1.3135063439154174E-2</v>
      </c>
      <c r="T99" s="165">
        <f t="shared" si="76"/>
        <v>1</v>
      </c>
      <c r="U99" s="163">
        <f t="shared" si="77"/>
        <v>1.3135063439154174E-2</v>
      </c>
      <c r="V99" s="8">
        <f t="shared" si="68"/>
        <v>0.17270257268691447</v>
      </c>
      <c r="X99" s="8">
        <f t="shared" si="69"/>
        <v>1417.2822146637866</v>
      </c>
      <c r="Z99" s="2">
        <f t="shared" si="78"/>
        <v>4.0000000000000001E-3</v>
      </c>
      <c r="AA99" s="4">
        <f t="shared" si="79"/>
        <v>4846.57</v>
      </c>
      <c r="AB99" s="46">
        <f t="shared" si="80"/>
        <v>4.0000000000000001E-3</v>
      </c>
      <c r="AC99" s="4">
        <f t="shared" si="81"/>
        <v>17.786894687231339</v>
      </c>
      <c r="AD99" s="2">
        <f t="shared" si="82"/>
        <v>4.3959361558886152E-6</v>
      </c>
      <c r="AE99" s="51">
        <f t="shared" si="70"/>
        <v>4.3959361558886155E-2</v>
      </c>
      <c r="AF99" s="10">
        <f t="shared" si="83"/>
        <v>4.4522016552551946E-2</v>
      </c>
      <c r="AG99" s="10">
        <f t="shared" si="84"/>
        <v>4.4522016552551946E-2</v>
      </c>
      <c r="AH99" s="8">
        <f t="shared" si="71"/>
        <v>17.901502991638804</v>
      </c>
      <c r="AI99" s="10">
        <f t="shared" si="85"/>
        <v>5.0688924285704928E-2</v>
      </c>
      <c r="AJ99" s="10">
        <f t="shared" si="91"/>
        <v>5.507272826700671E-2</v>
      </c>
      <c r="AK99" s="10">
        <f t="shared" si="72"/>
        <v>4.8901913887845261E-2</v>
      </c>
      <c r="AL99" s="162">
        <f t="shared" si="86"/>
        <v>5.1987321077425985E-2</v>
      </c>
      <c r="AM99" s="178">
        <f t="shared" si="87"/>
        <v>7.4653045248740391E-3</v>
      </c>
      <c r="AQ99" s="1">
        <f t="shared" si="73"/>
        <v>4.4522016552551946E-2</v>
      </c>
      <c r="AR99" s="1">
        <f t="shared" si="74"/>
        <v>0</v>
      </c>
      <c r="AS99" s="1">
        <f t="shared" si="75"/>
        <v>0</v>
      </c>
      <c r="AT99" s="1">
        <f t="shared" si="88"/>
        <v>17.986894687231338</v>
      </c>
      <c r="AU99" s="1">
        <f t="shared" si="89"/>
        <v>4846.57</v>
      </c>
      <c r="AV99" s="8">
        <f t="shared" si="90"/>
        <v>17.786894687231339</v>
      </c>
    </row>
    <row r="100" spans="1:48" ht="15" customHeight="1">
      <c r="A100" s="168">
        <v>5304.81</v>
      </c>
      <c r="B100" s="98">
        <v>18.009155695507619</v>
      </c>
      <c r="C100" s="171">
        <v>1</v>
      </c>
      <c r="D100" s="8">
        <f t="shared" si="57"/>
        <v>17.80915569550762</v>
      </c>
      <c r="E100" s="8">
        <f t="shared" si="58"/>
        <v>12.213065396424659</v>
      </c>
      <c r="F100" s="8">
        <f t="shared" si="59"/>
        <v>5.5960902990829613</v>
      </c>
      <c r="G100" s="8">
        <f t="shared" si="60"/>
        <v>4.8566260317192542</v>
      </c>
      <c r="H100" s="8"/>
      <c r="I100" s="8">
        <f t="shared" si="61"/>
        <v>-0.73946426736370707</v>
      </c>
      <c r="J100" s="8">
        <f t="shared" si="62"/>
        <v>17.069691428143912</v>
      </c>
      <c r="K100" s="8">
        <f t="shared" si="63"/>
        <v>0.73946426736370796</v>
      </c>
      <c r="L100" s="8"/>
      <c r="M100" s="8">
        <f t="shared" si="64"/>
        <v>0.88191357779390589</v>
      </c>
      <c r="N100" s="8">
        <f t="shared" si="65"/>
        <v>0.14244931043019793</v>
      </c>
      <c r="O100" s="8">
        <f t="shared" si="66"/>
        <v>17.951605005937818</v>
      </c>
      <c r="P100" s="8"/>
      <c r="Q100" s="8">
        <f t="shared" si="67"/>
        <v>-0.14244931043019804</v>
      </c>
      <c r="R100" s="8"/>
      <c r="S100" s="9">
        <f t="shared" si="92"/>
        <v>2.0291806042038927E-2</v>
      </c>
      <c r="T100" s="165">
        <f t="shared" si="76"/>
        <v>1</v>
      </c>
      <c r="U100" s="163">
        <f t="shared" si="77"/>
        <v>2.0291806042038927E-2</v>
      </c>
      <c r="V100" s="8">
        <f t="shared" si="68"/>
        <v>0.17166717695313394</v>
      </c>
      <c r="X100" s="8">
        <f t="shared" si="69"/>
        <v>1551.2853141852079</v>
      </c>
      <c r="Z100" s="2">
        <f t="shared" si="78"/>
        <v>3.0000000000000001E-3</v>
      </c>
      <c r="AA100" s="4">
        <f t="shared" si="79"/>
        <v>5304.81</v>
      </c>
      <c r="AB100" s="46">
        <f t="shared" si="80"/>
        <v>3.0000000000000001E-3</v>
      </c>
      <c r="AC100" s="4">
        <f t="shared" si="81"/>
        <v>17.80915569550762</v>
      </c>
      <c r="AD100" s="2">
        <f t="shared" si="82"/>
        <v>4.0162064795996621E-6</v>
      </c>
      <c r="AE100" s="51">
        <f t="shared" si="70"/>
        <v>4.016206479599662E-2</v>
      </c>
      <c r="AF100" s="10">
        <f t="shared" si="83"/>
        <v>2.2261008276281302E-2</v>
      </c>
      <c r="AG100" s="10">
        <f t="shared" si="84"/>
        <v>2.2261008276281302E-2</v>
      </c>
      <c r="AH100" s="8">
        <f t="shared" si="71"/>
        <v>17.951605005937818</v>
      </c>
      <c r="AI100" s="10">
        <f t="shared" si="85"/>
        <v>5.0102014299014286E-2</v>
      </c>
      <c r="AJ100" s="10">
        <f t="shared" si="91"/>
        <v>5.282383405026092E-2</v>
      </c>
      <c r="AK100" s="10">
        <f t="shared" si="72"/>
        <v>4.727939903952727E-2</v>
      </c>
      <c r="AL100" s="162">
        <f t="shared" si="86"/>
        <v>5.0051616544894095E-2</v>
      </c>
      <c r="AM100" s="178">
        <f t="shared" si="87"/>
        <v>2.7790608268612793E-2</v>
      </c>
      <c r="AQ100" s="1">
        <f t="shared" si="73"/>
        <v>2.2261008276281302E-2</v>
      </c>
      <c r="AR100" s="1">
        <f t="shared" si="74"/>
        <v>0</v>
      </c>
      <c r="AS100" s="1">
        <f t="shared" si="75"/>
        <v>0</v>
      </c>
      <c r="AT100" s="1">
        <f t="shared" si="88"/>
        <v>18.009155695507619</v>
      </c>
      <c r="AU100" s="1">
        <f t="shared" si="89"/>
        <v>5304.81</v>
      </c>
      <c r="AV100" s="8">
        <f t="shared" si="90"/>
        <v>17.80915569550762</v>
      </c>
    </row>
    <row r="101" spans="1:48" ht="15" customHeight="1">
      <c r="A101" s="168">
        <v>5806.16</v>
      </c>
      <c r="B101" s="98">
        <v>18.031416703783893</v>
      </c>
      <c r="C101" s="171">
        <v>1</v>
      </c>
      <c r="D101" s="8">
        <f t="shared" si="57"/>
        <v>17.831416703783894</v>
      </c>
      <c r="E101" s="8">
        <f t="shared" si="58"/>
        <v>12.240068947864302</v>
      </c>
      <c r="F101" s="8">
        <f t="shared" si="59"/>
        <v>5.5913477559195925</v>
      </c>
      <c r="G101" s="8">
        <f t="shared" si="60"/>
        <v>4.872607450525579</v>
      </c>
      <c r="H101" s="8"/>
      <c r="I101" s="8">
        <f t="shared" si="61"/>
        <v>-0.71874030539401357</v>
      </c>
      <c r="J101" s="8">
        <f t="shared" si="62"/>
        <v>17.11267639838988</v>
      </c>
      <c r="K101" s="8">
        <f t="shared" si="63"/>
        <v>0.71874030539401446</v>
      </c>
      <c r="L101" s="8"/>
      <c r="M101" s="8">
        <f t="shared" si="64"/>
        <v>0.88713751501827531</v>
      </c>
      <c r="N101" s="8">
        <f t="shared" si="65"/>
        <v>0.16839720962426086</v>
      </c>
      <c r="O101" s="8">
        <f t="shared" si="66"/>
        <v>17.999813913408154</v>
      </c>
      <c r="P101" s="8"/>
      <c r="Q101" s="8">
        <f t="shared" si="67"/>
        <v>-0.16839720962425986</v>
      </c>
      <c r="R101" s="8"/>
      <c r="S101" s="9">
        <f t="shared" si="92"/>
        <v>2.8357620209236916E-2</v>
      </c>
      <c r="T101" s="165">
        <f t="shared" si="76"/>
        <v>1</v>
      </c>
      <c r="U101" s="163">
        <f t="shared" si="77"/>
        <v>2.8357620209236916E-2</v>
      </c>
      <c r="V101" s="8">
        <f t="shared" si="68"/>
        <v>0.17063178121935374</v>
      </c>
      <c r="X101" s="8">
        <f t="shared" si="69"/>
        <v>1697.8950687790109</v>
      </c>
      <c r="Z101" s="2">
        <f t="shared" si="78"/>
        <v>3.0000000000000001E-3</v>
      </c>
      <c r="AA101" s="4">
        <f t="shared" si="79"/>
        <v>5806.16</v>
      </c>
      <c r="AB101" s="46">
        <f t="shared" si="80"/>
        <v>3.0000000000000001E-3</v>
      </c>
      <c r="AC101" s="4">
        <f t="shared" si="81"/>
        <v>17.831416703783894</v>
      </c>
      <c r="AD101" s="2">
        <f t="shared" si="82"/>
        <v>3.6694152925591247E-6</v>
      </c>
      <c r="AE101" s="51">
        <f t="shared" si="70"/>
        <v>3.669415292559125E-2</v>
      </c>
      <c r="AF101" s="10">
        <f t="shared" si="83"/>
        <v>2.2261008276274197E-2</v>
      </c>
      <c r="AG101" s="10">
        <f t="shared" si="84"/>
        <v>2.2261008276274197E-2</v>
      </c>
      <c r="AH101" s="8">
        <f t="shared" si="71"/>
        <v>17.999813913408154</v>
      </c>
      <c r="AI101" s="10">
        <f t="shared" si="85"/>
        <v>4.8208907470336015E-2</v>
      </c>
      <c r="AJ101" s="10">
        <f t="shared" si="91"/>
        <v>5.0710649436818578E-2</v>
      </c>
      <c r="AK101" s="10">
        <f t="shared" si="72"/>
        <v>4.5661800057011703E-2</v>
      </c>
      <c r="AL101" s="162">
        <f t="shared" si="86"/>
        <v>4.8186224746915141E-2</v>
      </c>
      <c r="AM101" s="178">
        <f t="shared" si="87"/>
        <v>2.5925216470640944E-2</v>
      </c>
      <c r="AQ101" s="1">
        <f t="shared" si="73"/>
        <v>2.2261008276274197E-2</v>
      </c>
      <c r="AR101" s="1">
        <f t="shared" si="74"/>
        <v>0</v>
      </c>
      <c r="AS101" s="1">
        <f t="shared" si="75"/>
        <v>0</v>
      </c>
      <c r="AT101" s="1">
        <f t="shared" si="88"/>
        <v>18.031416703783893</v>
      </c>
      <c r="AU101" s="1">
        <f t="shared" si="89"/>
        <v>5806.16</v>
      </c>
      <c r="AV101" s="8">
        <f t="shared" si="90"/>
        <v>17.831416703783894</v>
      </c>
    </row>
    <row r="102" spans="1:48" ht="15" customHeight="1">
      <c r="A102" s="168">
        <v>6356.54</v>
      </c>
      <c r="B102" s="98">
        <v>18.031416703783893</v>
      </c>
      <c r="C102" s="171">
        <v>1</v>
      </c>
      <c r="D102" s="8">
        <f t="shared" si="57"/>
        <v>17.831416703783894</v>
      </c>
      <c r="E102" s="8">
        <f t="shared" si="58"/>
        <v>12.266631498589259</v>
      </c>
      <c r="F102" s="8">
        <f t="shared" si="59"/>
        <v>5.5647852051946352</v>
      </c>
      <c r="G102" s="8">
        <f t="shared" si="60"/>
        <v>4.8878577233972722</v>
      </c>
      <c r="H102" s="8"/>
      <c r="I102" s="8">
        <f t="shared" si="61"/>
        <v>-0.67692748179736295</v>
      </c>
      <c r="J102" s="8">
        <f t="shared" si="62"/>
        <v>17.15448922198653</v>
      </c>
      <c r="K102" s="8">
        <f t="shared" si="63"/>
        <v>0.67692748179736384</v>
      </c>
      <c r="L102" s="8"/>
      <c r="M102" s="8">
        <f t="shared" si="64"/>
        <v>0.89193250091794962</v>
      </c>
      <c r="N102" s="8">
        <f t="shared" si="65"/>
        <v>0.21500501912058578</v>
      </c>
      <c r="O102" s="8">
        <f t="shared" si="66"/>
        <v>18.04642172290448</v>
      </c>
      <c r="P102" s="8"/>
      <c r="Q102" s="8">
        <f t="shared" si="67"/>
        <v>-0.21500501912058567</v>
      </c>
      <c r="R102" s="8"/>
      <c r="S102" s="9">
        <f t="shared" si="92"/>
        <v>4.6227158247043411E-2</v>
      </c>
      <c r="T102" s="165">
        <f t="shared" si="76"/>
        <v>1</v>
      </c>
      <c r="U102" s="163">
        <f t="shared" si="77"/>
        <v>4.6227158247043411E-2</v>
      </c>
      <c r="V102" s="8">
        <f t="shared" si="68"/>
        <v>0.17063178121935374</v>
      </c>
      <c r="X102" s="8">
        <f t="shared" si="69"/>
        <v>1858.8426637392931</v>
      </c>
      <c r="Z102" s="2">
        <f t="shared" si="78"/>
        <v>3.0000000000000001E-3</v>
      </c>
      <c r="AA102" s="4">
        <f t="shared" si="79"/>
        <v>6356.54</v>
      </c>
      <c r="AB102" s="46">
        <f t="shared" si="80"/>
        <v>3.0000000000000001E-3</v>
      </c>
      <c r="AC102" s="4">
        <f t="shared" si="81"/>
        <v>17.831416703783894</v>
      </c>
      <c r="AD102" s="2">
        <f t="shared" si="82"/>
        <v>3.3516995558975616E-6</v>
      </c>
      <c r="AE102" s="51">
        <f t="shared" si="70"/>
        <v>3.3516995558975617E-2</v>
      </c>
      <c r="AF102" s="10">
        <f t="shared" si="83"/>
        <v>1E-4</v>
      </c>
      <c r="AG102" s="10">
        <f t="shared" si="84"/>
        <v>1E-4</v>
      </c>
      <c r="AH102" s="8">
        <f t="shared" si="71"/>
        <v>18.04642172290448</v>
      </c>
      <c r="AI102" s="10">
        <f t="shared" si="85"/>
        <v>4.6607809496325814E-2</v>
      </c>
      <c r="AJ102" s="10">
        <f t="shared" si="91"/>
        <v>4.8901913887845261E-2</v>
      </c>
      <c r="AK102" s="10">
        <f t="shared" si="72"/>
        <v>4.3946876415994929E-2</v>
      </c>
      <c r="AL102" s="162">
        <f t="shared" si="86"/>
        <v>4.6424395151920095E-2</v>
      </c>
      <c r="AM102" s="178">
        <f t="shared" si="87"/>
        <v>0</v>
      </c>
      <c r="AQ102" s="1">
        <f t="shared" si="73"/>
        <v>1E-4</v>
      </c>
      <c r="AR102" s="1">
        <f t="shared" si="74"/>
        <v>0</v>
      </c>
      <c r="AS102" s="1">
        <f t="shared" si="75"/>
        <v>0</v>
      </c>
      <c r="AT102" s="1">
        <f t="shared" si="88"/>
        <v>18.031416703783893</v>
      </c>
      <c r="AU102" s="1">
        <f t="shared" si="89"/>
        <v>6356.54</v>
      </c>
      <c r="AV102" s="8">
        <f t="shared" si="90"/>
        <v>17.831416703783894</v>
      </c>
    </row>
    <row r="103" spans="1:48" ht="15" customHeight="1">
      <c r="A103" s="168">
        <v>6947.83</v>
      </c>
      <c r="B103" s="98">
        <v>18.053677712060171</v>
      </c>
      <c r="C103" s="171">
        <v>1</v>
      </c>
      <c r="D103" s="8">
        <f t="shared" si="57"/>
        <v>17.853677712060172</v>
      </c>
      <c r="E103" s="8">
        <f t="shared" si="58"/>
        <v>12.292227826265304</v>
      </c>
      <c r="F103" s="8">
        <f t="shared" si="59"/>
        <v>5.5614498857948682</v>
      </c>
      <c r="G103" s="8">
        <f t="shared" si="60"/>
        <v>4.9021313036644099</v>
      </c>
      <c r="H103" s="8"/>
      <c r="I103" s="8">
        <f t="shared" si="61"/>
        <v>-0.65931858213045835</v>
      </c>
      <c r="J103" s="8">
        <f t="shared" si="62"/>
        <v>17.194359129929715</v>
      </c>
      <c r="K103" s="8">
        <f t="shared" si="63"/>
        <v>0.65931858213045658</v>
      </c>
      <c r="L103" s="8"/>
      <c r="M103" s="8">
        <f t="shared" si="64"/>
        <v>0.89626145786719569</v>
      </c>
      <c r="N103" s="8">
        <f t="shared" si="65"/>
        <v>0.23694287573673911</v>
      </c>
      <c r="O103" s="8">
        <f t="shared" si="66"/>
        <v>18.090620587796913</v>
      </c>
      <c r="P103" s="8"/>
      <c r="Q103" s="8">
        <f t="shared" si="67"/>
        <v>-0.23694287573674089</v>
      </c>
      <c r="R103" s="8"/>
      <c r="S103" s="9">
        <f t="shared" si="92"/>
        <v>5.6141926362396635E-2</v>
      </c>
      <c r="T103" s="165">
        <f t="shared" si="76"/>
        <v>1</v>
      </c>
      <c r="U103" s="163">
        <f t="shared" si="77"/>
        <v>5.6141926362396635E-2</v>
      </c>
      <c r="V103" s="8">
        <f t="shared" si="68"/>
        <v>0.16959638548557343</v>
      </c>
      <c r="X103" s="8">
        <f t="shared" si="69"/>
        <v>2031.7535678856379</v>
      </c>
      <c r="Z103" s="2">
        <f t="shared" si="78"/>
        <v>3.0000000000000001E-3</v>
      </c>
      <c r="AA103" s="4">
        <f t="shared" si="79"/>
        <v>6947.83</v>
      </c>
      <c r="AB103" s="46">
        <f t="shared" si="80"/>
        <v>3.0000000000000001E-3</v>
      </c>
      <c r="AC103" s="4">
        <f t="shared" si="81"/>
        <v>17.853677712060172</v>
      </c>
      <c r="AD103" s="2">
        <f t="shared" si="82"/>
        <v>3.0664556120465073E-6</v>
      </c>
      <c r="AE103" s="51">
        <f t="shared" si="70"/>
        <v>3.0664556120465074E-2</v>
      </c>
      <c r="AF103" s="10">
        <f t="shared" si="83"/>
        <v>2.2261008276277749E-2</v>
      </c>
      <c r="AG103" s="10">
        <f t="shared" si="84"/>
        <v>2.2261008276277749E-2</v>
      </c>
      <c r="AH103" s="8">
        <f t="shared" si="71"/>
        <v>18.090620587796913</v>
      </c>
      <c r="AI103" s="10">
        <f t="shared" si="85"/>
        <v>4.4198864892432965E-2</v>
      </c>
      <c r="AJ103" s="10">
        <f t="shared" si="91"/>
        <v>4.727939903952727E-2</v>
      </c>
      <c r="AK103" s="10">
        <f t="shared" si="72"/>
        <v>4.2417854473282723E-2</v>
      </c>
      <c r="AL103" s="162">
        <f t="shared" si="86"/>
        <v>4.4848626756404997E-2</v>
      </c>
      <c r="AM103" s="178">
        <f t="shared" si="87"/>
        <v>2.2587618480127247E-2</v>
      </c>
      <c r="AQ103" s="1">
        <f t="shared" si="73"/>
        <v>2.2261008276277749E-2</v>
      </c>
      <c r="AR103" s="1">
        <f t="shared" si="74"/>
        <v>0</v>
      </c>
      <c r="AS103" s="1">
        <f t="shared" si="75"/>
        <v>0</v>
      </c>
      <c r="AT103" s="1">
        <f t="shared" si="88"/>
        <v>18.053677712060171</v>
      </c>
      <c r="AU103" s="1">
        <f t="shared" si="89"/>
        <v>6947.83</v>
      </c>
      <c r="AV103" s="8">
        <f t="shared" si="90"/>
        <v>17.853677712060172</v>
      </c>
    </row>
    <row r="104" spans="1:48" ht="15" customHeight="1">
      <c r="A104" s="168">
        <v>7608.42</v>
      </c>
      <c r="B104" s="98">
        <v>18.053677712060171</v>
      </c>
      <c r="C104" s="171">
        <v>1</v>
      </c>
      <c r="D104" s="8">
        <f t="shared" si="57"/>
        <v>17.853677712060172</v>
      </c>
      <c r="E104" s="8">
        <f t="shared" si="58"/>
        <v>12.317877193062563</v>
      </c>
      <c r="F104" s="8">
        <f t="shared" si="59"/>
        <v>5.5358005189976094</v>
      </c>
      <c r="G104" s="8">
        <f t="shared" si="60"/>
        <v>4.9160365486803137</v>
      </c>
      <c r="H104" s="8"/>
      <c r="I104" s="8">
        <f t="shared" si="61"/>
        <v>-0.61976397031729569</v>
      </c>
      <c r="J104" s="8">
        <f t="shared" si="62"/>
        <v>17.233913741742874</v>
      </c>
      <c r="K104" s="8">
        <f t="shared" si="63"/>
        <v>0.61976397031729746</v>
      </c>
      <c r="L104" s="8"/>
      <c r="M104" s="8">
        <f t="shared" si="64"/>
        <v>0.9003384644229897</v>
      </c>
      <c r="N104" s="8">
        <f t="shared" si="65"/>
        <v>0.28057449410569224</v>
      </c>
      <c r="O104" s="8">
        <f t="shared" si="66"/>
        <v>18.134252206165865</v>
      </c>
      <c r="P104" s="8"/>
      <c r="Q104" s="8">
        <f t="shared" si="67"/>
        <v>-0.28057449410569291</v>
      </c>
      <c r="R104" s="8"/>
      <c r="S104" s="9">
        <f t="shared" si="92"/>
        <v>7.8722046742665502E-2</v>
      </c>
      <c r="T104" s="165">
        <f t="shared" si="76"/>
        <v>1</v>
      </c>
      <c r="U104" s="163">
        <f t="shared" si="77"/>
        <v>7.8722046742665502E-2</v>
      </c>
      <c r="V104" s="8">
        <f t="shared" si="68"/>
        <v>0.16959638548557343</v>
      </c>
      <c r="X104" s="8">
        <f t="shared" si="69"/>
        <v>2224.9298674510524</v>
      </c>
      <c r="Z104" s="2">
        <f t="shared" si="78"/>
        <v>2E-3</v>
      </c>
      <c r="AA104" s="4">
        <f t="shared" si="79"/>
        <v>7608.42</v>
      </c>
      <c r="AB104" s="46">
        <f t="shared" si="80"/>
        <v>2E-3</v>
      </c>
      <c r="AC104" s="4">
        <f t="shared" si="81"/>
        <v>17.853677712060172</v>
      </c>
      <c r="AD104" s="2">
        <f t="shared" si="82"/>
        <v>2.8002150637116623E-6</v>
      </c>
      <c r="AE104" s="51">
        <f t="shared" si="70"/>
        <v>2.8002150637116623E-2</v>
      </c>
      <c r="AF104" s="10">
        <f t="shared" si="83"/>
        <v>1E-4</v>
      </c>
      <c r="AG104" s="10">
        <f t="shared" si="84"/>
        <v>1E-4</v>
      </c>
      <c r="AH104" s="8">
        <f t="shared" si="71"/>
        <v>18.134252206165865</v>
      </c>
      <c r="AI104" s="10">
        <f t="shared" si="85"/>
        <v>4.3631618368952019E-2</v>
      </c>
      <c r="AJ104" s="10">
        <f t="shared" si="91"/>
        <v>4.5661800057011703E-2</v>
      </c>
      <c r="AK104" s="10">
        <f t="shared" si="72"/>
        <v>4.1215740614236829E-2</v>
      </c>
      <c r="AL104" s="162">
        <f t="shared" si="86"/>
        <v>4.3438770335624266E-2</v>
      </c>
      <c r="AM104" s="178">
        <f t="shared" si="87"/>
        <v>0</v>
      </c>
      <c r="AQ104" s="1">
        <f t="shared" si="73"/>
        <v>1E-4</v>
      </c>
      <c r="AR104" s="1">
        <f t="shared" si="74"/>
        <v>0</v>
      </c>
      <c r="AS104" s="1">
        <f t="shared" si="75"/>
        <v>0</v>
      </c>
      <c r="AT104" s="1">
        <f t="shared" si="88"/>
        <v>18.053677712060171</v>
      </c>
      <c r="AU104" s="1">
        <f t="shared" si="89"/>
        <v>7608.42</v>
      </c>
      <c r="AV104" s="8">
        <f t="shared" si="90"/>
        <v>17.853677712060172</v>
      </c>
    </row>
    <row r="105" spans="1:48" ht="15" customHeight="1">
      <c r="A105" s="168">
        <v>8316.11</v>
      </c>
      <c r="B105" s="98">
        <v>18.053677712060171</v>
      </c>
      <c r="C105" s="171">
        <v>1</v>
      </c>
      <c r="D105" s="8">
        <f t="shared" si="57"/>
        <v>17.853677712060172</v>
      </c>
      <c r="E105" s="8">
        <f t="shared" si="58"/>
        <v>12.342528723335853</v>
      </c>
      <c r="F105" s="8">
        <f t="shared" si="59"/>
        <v>5.5111489887243188</v>
      </c>
      <c r="G105" s="8">
        <f t="shared" si="60"/>
        <v>4.9290406965461688</v>
      </c>
      <c r="H105" s="8"/>
      <c r="I105" s="8">
        <f t="shared" si="61"/>
        <v>-0.58210829217814997</v>
      </c>
      <c r="J105" s="8">
        <f t="shared" si="62"/>
        <v>17.27156941988202</v>
      </c>
      <c r="K105" s="8">
        <f t="shared" si="63"/>
        <v>0.58210829217815174</v>
      </c>
      <c r="L105" s="8"/>
      <c r="M105" s="8">
        <f t="shared" si="64"/>
        <v>0.90403199919011235</v>
      </c>
      <c r="N105" s="8">
        <f t="shared" si="65"/>
        <v>0.3219237070119606</v>
      </c>
      <c r="O105" s="8">
        <f t="shared" si="66"/>
        <v>18.175601419072134</v>
      </c>
      <c r="P105" s="8"/>
      <c r="Q105" s="8">
        <f t="shared" si="67"/>
        <v>-0.32192370701196182</v>
      </c>
      <c r="R105" s="8"/>
      <c r="S105" s="9">
        <f t="shared" si="92"/>
        <v>0.10363487313632344</v>
      </c>
      <c r="T105" s="165">
        <f t="shared" si="76"/>
        <v>1</v>
      </c>
      <c r="U105" s="163">
        <f t="shared" si="77"/>
        <v>0.10363487313632344</v>
      </c>
      <c r="V105" s="8">
        <f t="shared" si="68"/>
        <v>0.16959638548557343</v>
      </c>
      <c r="X105" s="8">
        <f t="shared" si="69"/>
        <v>2431.8796175826747</v>
      </c>
      <c r="Z105" s="2">
        <f t="shared" si="78"/>
        <v>2E-3</v>
      </c>
      <c r="AA105" s="4">
        <f t="shared" si="79"/>
        <v>8316.11</v>
      </c>
      <c r="AB105" s="46">
        <f t="shared" si="80"/>
        <v>2E-3</v>
      </c>
      <c r="AC105" s="4">
        <f t="shared" si="81"/>
        <v>17.853677712060172</v>
      </c>
      <c r="AD105" s="2">
        <f t="shared" si="82"/>
        <v>2.5619204525968373E-6</v>
      </c>
      <c r="AE105" s="51">
        <f t="shared" si="70"/>
        <v>2.5619204525968373E-2</v>
      </c>
      <c r="AF105" s="10">
        <f t="shared" si="83"/>
        <v>1E-4</v>
      </c>
      <c r="AG105" s="10">
        <f t="shared" si="84"/>
        <v>1E-4</v>
      </c>
      <c r="AH105" s="8">
        <f t="shared" si="71"/>
        <v>18.175601419072134</v>
      </c>
      <c r="AI105" s="10">
        <f t="shared" si="85"/>
        <v>4.1349212906268917E-2</v>
      </c>
      <c r="AJ105" s="10">
        <f t="shared" si="91"/>
        <v>4.3946876415994929E-2</v>
      </c>
      <c r="AK105" s="10">
        <f t="shared" si="72"/>
        <v>3.987045700998415E-2</v>
      </c>
      <c r="AL105" s="162">
        <f t="shared" si="86"/>
        <v>4.190866671298954E-2</v>
      </c>
      <c r="AM105" s="178">
        <f t="shared" si="87"/>
        <v>0</v>
      </c>
      <c r="AQ105" s="1">
        <f t="shared" si="73"/>
        <v>1E-4</v>
      </c>
      <c r="AR105" s="1">
        <f t="shared" si="74"/>
        <v>0</v>
      </c>
      <c r="AS105" s="1">
        <f t="shared" si="75"/>
        <v>0</v>
      </c>
      <c r="AT105" s="1">
        <f t="shared" si="88"/>
        <v>18.053677712060171</v>
      </c>
      <c r="AU105" s="1">
        <f t="shared" si="89"/>
        <v>8316.11</v>
      </c>
      <c r="AV105" s="8">
        <f t="shared" si="90"/>
        <v>17.853677712060172</v>
      </c>
    </row>
    <row r="106" spans="1:48" ht="15" customHeight="1">
      <c r="A106" s="168">
        <v>9098.23</v>
      </c>
      <c r="B106" s="98">
        <v>18.075938720336449</v>
      </c>
      <c r="C106" s="171">
        <v>1</v>
      </c>
      <c r="D106" s="8">
        <f t="shared" ref="D106:D127" si="93">IF(B106-$D$4&gt;0.05,B106-$D$4,IF(A106="","",0))</f>
        <v>17.87593872033645</v>
      </c>
      <c r="E106" s="8">
        <f t="shared" ref="E106:E127" si="94">IF(D106="","",IF(A106&lt;$F$4+0.01,0,10^(((-0.434*$E$4)/(LOG(A106)-LOG($F$4)))+LOG($G$4))))</f>
        <v>12.366987920294042</v>
      </c>
      <c r="F106" s="8">
        <f t="shared" ref="F106:F127" si="95">IF(E106="","",IF(ABS(D106-E106)&lt;0.05,0,D106-E106))</f>
        <v>5.5089508000424079</v>
      </c>
      <c r="G106" s="8">
        <f t="shared" ref="G106:G127" si="96">IF(OR(D106="",$I$4=""),"",IF(A106&lt;$J$4,0,10^(((-0.434*$I$4)/(LOG(A106)-LOG($J$4)))+LOG($K$4))))</f>
        <v>4.9416082815598399</v>
      </c>
      <c r="H106" s="8"/>
      <c r="I106" s="8">
        <f t="shared" ref="I106:I127" si="97">IF(G106="","",IF(ABS(G106-F106)&lt;0.05,0,G106-F106))</f>
        <v>-0.567342518482568</v>
      </c>
      <c r="J106" s="8">
        <f t="shared" ref="J106:J127" si="98">IF(G106="","",E106+G106)</f>
        <v>17.308596201853881</v>
      </c>
      <c r="K106" s="8">
        <f t="shared" si="63"/>
        <v>0.56734251848256889</v>
      </c>
      <c r="L106" s="8"/>
      <c r="M106" s="8">
        <f t="shared" ref="M106:M127" si="99">IF(OR(G106="",$M$4=""),"",IF(A106&lt;$N$4,0,10^(((-0.434*$M$4)/(LOG(A106)-LOG($N$4)))+LOG($O$4))))</f>
        <v>0.90749693894372985</v>
      </c>
      <c r="N106" s="8">
        <f t="shared" ref="N106:N127" si="100">IF(M106="","",IF(ABS(M106-K106)&lt;0.05,0,M106-K106))</f>
        <v>0.34015442046116096</v>
      </c>
      <c r="O106" s="8">
        <f t="shared" ref="O106:O127" si="101">IF(N106="","",E106+G106+M106)</f>
        <v>18.216093140797611</v>
      </c>
      <c r="P106" s="8"/>
      <c r="Q106" s="8">
        <f t="shared" ref="Q106:Q127" si="102">IF(O106="","",IF(ABS(D106-O106)&lt;0.05,0,D106-O106))</f>
        <v>-0.34015442046116107</v>
      </c>
      <c r="R106" s="8"/>
      <c r="S106" s="9">
        <f t="shared" ref="S106:S127" si="103">IF($I$4="",IF(A106="","",F106^2),IF(Q106="","",Q106^2))</f>
        <v>0.11570502975926836</v>
      </c>
      <c r="T106" s="165">
        <f t="shared" si="76"/>
        <v>1</v>
      </c>
      <c r="U106" s="163">
        <f t="shared" si="77"/>
        <v>0.11570502975926836</v>
      </c>
      <c r="V106" s="8">
        <f t="shared" ref="V106:V127" si="104">IF(D106="","",IF(X106=0," ",1-(D106/$Q$4)))</f>
        <v>0.16856098975179301</v>
      </c>
      <c r="X106" s="8">
        <f t="shared" ref="X106:X127" si="105">IF(D106="","",($X$3*COS($Z$3*PI()/180)/($X$4*ABS(COS($Z$4*PI()/180))*0.434*($V$5-$V$6))*A106))</f>
        <v>2660.5949287682843</v>
      </c>
      <c r="Z106" s="2">
        <f t="shared" si="78"/>
        <v>2E-3</v>
      </c>
      <c r="AA106" s="4">
        <f t="shared" si="79"/>
        <v>9098.23</v>
      </c>
      <c r="AB106" s="46">
        <f t="shared" si="80"/>
        <v>2E-3</v>
      </c>
      <c r="AC106" s="4">
        <f t="shared" si="81"/>
        <v>17.87593872033645</v>
      </c>
      <c r="AD106" s="2">
        <f t="shared" si="82"/>
        <v>2.341687591437575E-6</v>
      </c>
      <c r="AE106" s="51">
        <f t="shared" ref="AE106:AE127" si="106">IF(D106="","",IF(AD106=" "," ",AD106*10000))</f>
        <v>2.3416875914375749E-2</v>
      </c>
      <c r="AF106" s="10">
        <f t="shared" si="83"/>
        <v>2.2261008276277749E-2</v>
      </c>
      <c r="AG106" s="10">
        <f t="shared" si="84"/>
        <v>2.2261008276277749E-2</v>
      </c>
      <c r="AH106" s="8">
        <f t="shared" ref="AH106:AH127" si="107">(IF(O106="",(IF(J106="",E106,J106)),O106 ))</f>
        <v>18.216093140797611</v>
      </c>
      <c r="AI106" s="10">
        <f t="shared" si="85"/>
        <v>4.0491721725476992E-2</v>
      </c>
      <c r="AJ106" s="10">
        <f t="shared" si="91"/>
        <v>4.2417854473282723E-2</v>
      </c>
      <c r="AK106" s="10">
        <f t="shared" si="72"/>
        <v>3.8567574890496559E-2</v>
      </c>
      <c r="AL106" s="162">
        <f t="shared" si="86"/>
        <v>4.0492714681889641E-2</v>
      </c>
      <c r="AM106" s="178">
        <f t="shared" si="87"/>
        <v>1.8231706405611892E-2</v>
      </c>
      <c r="AQ106" s="1">
        <f t="shared" ref="AQ106:AQ137" si="108" xml:space="preserve"> IF(C106=1,AG106,0.005)</f>
        <v>2.2261008276277749E-2</v>
      </c>
      <c r="AR106" s="1">
        <f t="shared" ref="AR106:AR137" si="109">IF(C106=1,0,1)</f>
        <v>0</v>
      </c>
      <c r="AS106" s="1">
        <f t="shared" ref="AS106:AS137" si="110">(AG106*AR106)</f>
        <v>0</v>
      </c>
      <c r="AT106" s="1">
        <f t="shared" si="88"/>
        <v>18.075938720336449</v>
      </c>
      <c r="AU106" s="1">
        <f t="shared" si="89"/>
        <v>9098.23</v>
      </c>
      <c r="AV106" s="8">
        <f t="shared" si="90"/>
        <v>17.87593872033645</v>
      </c>
    </row>
    <row r="107" spans="1:48" ht="15" customHeight="1">
      <c r="A107" s="168">
        <v>9956.81</v>
      </c>
      <c r="B107" s="98">
        <v>18.075938720336449</v>
      </c>
      <c r="C107" s="171">
        <v>1</v>
      </c>
      <c r="D107" s="8">
        <f t="shared" si="93"/>
        <v>17.87593872033645</v>
      </c>
      <c r="E107" s="8">
        <f t="shared" si="94"/>
        <v>12.39107966595302</v>
      </c>
      <c r="F107" s="8">
        <f t="shared" si="95"/>
        <v>5.4848590543834295</v>
      </c>
      <c r="G107" s="8">
        <f t="shared" si="96"/>
        <v>4.9536732144706397</v>
      </c>
      <c r="H107" s="8"/>
      <c r="I107" s="8">
        <f t="shared" si="97"/>
        <v>-0.53118583991278978</v>
      </c>
      <c r="J107" s="8">
        <f t="shared" si="98"/>
        <v>17.344752880423659</v>
      </c>
      <c r="K107" s="8">
        <f t="shared" si="63"/>
        <v>0.53118583991279067</v>
      </c>
      <c r="L107" s="8"/>
      <c r="M107" s="8">
        <f t="shared" si="99"/>
        <v>0.91073066983020257</v>
      </c>
      <c r="N107" s="8">
        <f t="shared" si="100"/>
        <v>0.3795448299174119</v>
      </c>
      <c r="O107" s="8">
        <f t="shared" si="101"/>
        <v>18.25548355025386</v>
      </c>
      <c r="P107" s="8"/>
      <c r="Q107" s="8">
        <f t="shared" si="102"/>
        <v>-0.37954482991741045</v>
      </c>
      <c r="R107" s="8"/>
      <c r="S107" s="9">
        <f t="shared" si="103"/>
        <v>0.14405427791703604</v>
      </c>
      <c r="T107" s="165">
        <f t="shared" si="76"/>
        <v>1</v>
      </c>
      <c r="U107" s="163">
        <f t="shared" si="77"/>
        <v>0.14405427791703604</v>
      </c>
      <c r="V107" s="8">
        <f t="shared" si="104"/>
        <v>0.16856098975179301</v>
      </c>
      <c r="X107" s="8">
        <f t="shared" si="105"/>
        <v>2911.6694338029856</v>
      </c>
      <c r="Z107" s="2">
        <f t="shared" si="78"/>
        <v>2E-3</v>
      </c>
      <c r="AA107" s="4">
        <f t="shared" si="79"/>
        <v>9956.81</v>
      </c>
      <c r="AB107" s="46">
        <f t="shared" si="80"/>
        <v>2E-3</v>
      </c>
      <c r="AC107" s="4">
        <f t="shared" si="81"/>
        <v>17.87593872033645</v>
      </c>
      <c r="AD107" s="2">
        <f t="shared" si="82"/>
        <v>2.1397628653198249E-6</v>
      </c>
      <c r="AE107" s="51">
        <f t="shared" si="106"/>
        <v>2.1397628653198251E-2</v>
      </c>
      <c r="AF107" s="10">
        <f t="shared" ref="AF107:AF127" si="111">IF(B107-B106&lt;0.0001,0.0001,B107-B106)</f>
        <v>1E-4</v>
      </c>
      <c r="AG107" s="10">
        <f t="shared" ref="AG107:AG127" si="112">IF(D107-D106&lt;0.0001,0.0001,D107-D106)</f>
        <v>1E-4</v>
      </c>
      <c r="AH107" s="8">
        <f t="shared" si="107"/>
        <v>18.25548355025386</v>
      </c>
      <c r="AI107" s="10">
        <f t="shared" ref="AI107:AI127" si="113">IF(AH107-AH106&lt;0.0001,0.0001,AH107-AH106)</f>
        <v>3.9390409456249387E-2</v>
      </c>
      <c r="AJ107" s="10">
        <f t="shared" si="91"/>
        <v>4.1215740614236829E-2</v>
      </c>
      <c r="AK107" s="10">
        <f t="shared" si="72"/>
        <v>3.7306956624285625E-2</v>
      </c>
      <c r="AL107" s="162">
        <f t="shared" si="86"/>
        <v>3.9261348619261227E-2</v>
      </c>
      <c r="AM107" s="178">
        <f t="shared" si="87"/>
        <v>0</v>
      </c>
      <c r="AQ107" s="1">
        <f t="shared" si="108"/>
        <v>1E-4</v>
      </c>
      <c r="AR107" s="1">
        <f t="shared" si="109"/>
        <v>0</v>
      </c>
      <c r="AS107" s="1">
        <f t="shared" si="110"/>
        <v>0</v>
      </c>
      <c r="AT107" s="1">
        <f t="shared" si="88"/>
        <v>18.075938720336449</v>
      </c>
      <c r="AU107" s="1">
        <f t="shared" si="89"/>
        <v>9956.81</v>
      </c>
      <c r="AV107" s="8">
        <f t="shared" si="90"/>
        <v>17.87593872033645</v>
      </c>
    </row>
    <row r="108" spans="1:48" ht="15" customHeight="1">
      <c r="A108" s="168">
        <v>10897.03</v>
      </c>
      <c r="B108" s="98">
        <v>18.075938720336449</v>
      </c>
      <c r="C108" s="171">
        <v>1</v>
      </c>
      <c r="D108" s="8">
        <f t="shared" si="93"/>
        <v>17.87593872033645</v>
      </c>
      <c r="E108" s="8">
        <f t="shared" si="94"/>
        <v>12.414750709266317</v>
      </c>
      <c r="F108" s="8">
        <f t="shared" si="95"/>
        <v>5.4611880110701332</v>
      </c>
      <c r="G108" s="8">
        <f t="shared" si="96"/>
        <v>4.9652353903779343</v>
      </c>
      <c r="H108" s="8"/>
      <c r="I108" s="8">
        <f t="shared" si="97"/>
        <v>-0.49595262069219892</v>
      </c>
      <c r="J108" s="8">
        <f t="shared" si="98"/>
        <v>17.379986099644249</v>
      </c>
      <c r="K108" s="8">
        <f t="shared" si="63"/>
        <v>0.4959526206922007</v>
      </c>
      <c r="L108" s="8"/>
      <c r="M108" s="8">
        <f t="shared" si="99"/>
        <v>0.9137479345615509</v>
      </c>
      <c r="N108" s="8">
        <f t="shared" si="100"/>
        <v>0.4177953138693502</v>
      </c>
      <c r="O108" s="8">
        <f t="shared" si="101"/>
        <v>18.293734034205801</v>
      </c>
      <c r="P108" s="8"/>
      <c r="Q108" s="8">
        <f t="shared" si="102"/>
        <v>-0.41779531386935176</v>
      </c>
      <c r="R108" s="8"/>
      <c r="S108" s="9">
        <f t="shared" si="103"/>
        <v>0.17455292429119015</v>
      </c>
      <c r="T108" s="165">
        <f t="shared" si="76"/>
        <v>1</v>
      </c>
      <c r="U108" s="163">
        <f t="shared" si="77"/>
        <v>0.17455292429119015</v>
      </c>
      <c r="V108" s="8">
        <f t="shared" si="104"/>
        <v>0.16856098975179301</v>
      </c>
      <c r="X108" s="8">
        <f t="shared" si="105"/>
        <v>3186.6179198191139</v>
      </c>
      <c r="Z108" s="2">
        <f t="shared" si="78"/>
        <v>2E-3</v>
      </c>
      <c r="AA108" s="4">
        <f t="shared" si="79"/>
        <v>10897.03</v>
      </c>
      <c r="AB108" s="46">
        <f t="shared" si="80"/>
        <v>2E-3</v>
      </c>
      <c r="AC108" s="4">
        <f t="shared" si="81"/>
        <v>17.87593872033645</v>
      </c>
      <c r="AD108" s="2">
        <f t="shared" si="82"/>
        <v>1.9551393632067712E-6</v>
      </c>
      <c r="AE108" s="51">
        <f t="shared" si="106"/>
        <v>1.9551393632067711E-2</v>
      </c>
      <c r="AF108" s="10">
        <f t="shared" si="111"/>
        <v>1E-4</v>
      </c>
      <c r="AG108" s="10">
        <f t="shared" si="112"/>
        <v>1E-4</v>
      </c>
      <c r="AH108" s="8">
        <f t="shared" si="107"/>
        <v>18.293734034205801</v>
      </c>
      <c r="AI108" s="10">
        <f t="shared" si="113"/>
        <v>3.8250483951941305E-2</v>
      </c>
      <c r="AJ108" s="10">
        <f t="shared" si="91"/>
        <v>3.987045700998415E-2</v>
      </c>
      <c r="AK108" s="10">
        <f t="shared" si="72"/>
        <v>3.6740567817728831E-2</v>
      </c>
      <c r="AL108" s="162">
        <f t="shared" si="86"/>
        <v>3.8305512413856491E-2</v>
      </c>
      <c r="AM108" s="178">
        <f t="shared" si="87"/>
        <v>0</v>
      </c>
      <c r="AQ108" s="1">
        <f t="shared" si="108"/>
        <v>1E-4</v>
      </c>
      <c r="AR108" s="1">
        <f t="shared" si="109"/>
        <v>0</v>
      </c>
      <c r="AS108" s="1">
        <f t="shared" si="110"/>
        <v>0</v>
      </c>
      <c r="AT108" s="1">
        <f t="shared" si="88"/>
        <v>18.075938720336449</v>
      </c>
      <c r="AU108" s="1">
        <f t="shared" si="89"/>
        <v>10897.03</v>
      </c>
      <c r="AV108" s="8">
        <f t="shared" si="90"/>
        <v>17.87593872033645</v>
      </c>
    </row>
    <row r="109" spans="1:48" ht="15" customHeight="1">
      <c r="A109" s="168">
        <v>11896.33</v>
      </c>
      <c r="B109" s="98">
        <v>18.075938720336449</v>
      </c>
      <c r="C109" s="171">
        <v>1</v>
      </c>
      <c r="D109" s="8">
        <f t="shared" si="93"/>
        <v>17.87593872033645</v>
      </c>
      <c r="E109" s="8">
        <f t="shared" si="94"/>
        <v>12.437360556995019</v>
      </c>
      <c r="F109" s="8">
        <f t="shared" si="95"/>
        <v>5.4385781633414307</v>
      </c>
      <c r="G109" s="8">
        <f t="shared" si="96"/>
        <v>4.9760185903021377</v>
      </c>
      <c r="H109" s="8"/>
      <c r="I109" s="8">
        <f t="shared" si="97"/>
        <v>-0.46255957303929307</v>
      </c>
      <c r="J109" s="8">
        <f t="shared" si="98"/>
        <v>17.413379147297157</v>
      </c>
      <c r="K109" s="8">
        <f t="shared" si="63"/>
        <v>0.46255957303929307</v>
      </c>
      <c r="L109" s="8"/>
      <c r="M109" s="8">
        <f t="shared" si="99"/>
        <v>0.91649257133696382</v>
      </c>
      <c r="N109" s="8">
        <f t="shared" si="100"/>
        <v>0.45393299829767075</v>
      </c>
      <c r="O109" s="8">
        <f t="shared" si="101"/>
        <v>18.32987171863412</v>
      </c>
      <c r="P109" s="8"/>
      <c r="Q109" s="8">
        <f t="shared" si="102"/>
        <v>-0.45393299829767031</v>
      </c>
      <c r="R109" s="8"/>
      <c r="S109" s="9">
        <f t="shared" si="103"/>
        <v>0.20605516694351275</v>
      </c>
      <c r="T109" s="165">
        <f t="shared" si="76"/>
        <v>1</v>
      </c>
      <c r="U109" s="163">
        <f t="shared" si="77"/>
        <v>0.20605516694351275</v>
      </c>
      <c r="V109" s="8">
        <f t="shared" si="104"/>
        <v>0.16856098975179301</v>
      </c>
      <c r="X109" s="8">
        <f t="shared" si="105"/>
        <v>3478.8431671824083</v>
      </c>
      <c r="Z109" s="2">
        <f t="shared" si="78"/>
        <v>2E-3</v>
      </c>
      <c r="AA109" s="4">
        <f t="shared" si="79"/>
        <v>11896.33</v>
      </c>
      <c r="AB109" s="46">
        <f t="shared" si="80"/>
        <v>2E-3</v>
      </c>
      <c r="AC109" s="4">
        <f t="shared" si="81"/>
        <v>17.87593872033645</v>
      </c>
      <c r="AD109" s="2">
        <f t="shared" si="82"/>
        <v>1.7909062958950438E-6</v>
      </c>
      <c r="AE109" s="51">
        <f t="shared" si="106"/>
        <v>1.7909062958950436E-2</v>
      </c>
      <c r="AF109" s="10">
        <f t="shared" si="111"/>
        <v>1E-4</v>
      </c>
      <c r="AG109" s="10">
        <f t="shared" si="112"/>
        <v>1E-4</v>
      </c>
      <c r="AH109" s="8">
        <f t="shared" si="107"/>
        <v>18.32987171863412</v>
      </c>
      <c r="AI109" s="10">
        <f t="shared" si="113"/>
        <v>3.6137684428318551E-2</v>
      </c>
      <c r="AJ109" s="10">
        <f t="shared" si="91"/>
        <v>3.8567574890496559E-2</v>
      </c>
      <c r="AK109" s="10">
        <f t="shared" si="72"/>
        <v>3.5418805796198605E-2</v>
      </c>
      <c r="AL109" s="162">
        <f t="shared" si="86"/>
        <v>3.6993190343347582E-2</v>
      </c>
      <c r="AM109" s="178">
        <f t="shared" si="87"/>
        <v>0</v>
      </c>
      <c r="AQ109" s="1">
        <f t="shared" si="108"/>
        <v>1E-4</v>
      </c>
      <c r="AR109" s="1">
        <f t="shared" si="109"/>
        <v>0</v>
      </c>
      <c r="AS109" s="1">
        <f t="shared" si="110"/>
        <v>0</v>
      </c>
      <c r="AT109" s="1">
        <f t="shared" si="88"/>
        <v>18.075938720336449</v>
      </c>
      <c r="AU109" s="1">
        <f t="shared" si="89"/>
        <v>11896.33</v>
      </c>
      <c r="AV109" s="8">
        <f t="shared" si="90"/>
        <v>17.87593872033645</v>
      </c>
    </row>
    <row r="110" spans="1:48" ht="15" customHeight="1">
      <c r="A110" s="168">
        <v>12997.05</v>
      </c>
      <c r="B110" s="98">
        <v>18.075938720336449</v>
      </c>
      <c r="C110" s="171">
        <v>1</v>
      </c>
      <c r="D110" s="8">
        <f t="shared" si="93"/>
        <v>17.87593872033645</v>
      </c>
      <c r="E110" s="8">
        <f t="shared" si="94"/>
        <v>12.459768566059342</v>
      </c>
      <c r="F110" s="8">
        <f t="shared" si="95"/>
        <v>5.4161701542771077</v>
      </c>
      <c r="G110" s="8">
        <f t="shared" si="96"/>
        <v>4.9864629656580313</v>
      </c>
      <c r="H110" s="8"/>
      <c r="I110" s="8">
        <f t="shared" si="97"/>
        <v>-0.42970718861907642</v>
      </c>
      <c r="J110" s="8">
        <f t="shared" si="98"/>
        <v>17.446231531717373</v>
      </c>
      <c r="K110" s="8">
        <f t="shared" si="63"/>
        <v>0.42970718861907642</v>
      </c>
      <c r="L110" s="8"/>
      <c r="M110" s="8">
        <f t="shared" si="99"/>
        <v>0.91908943557737877</v>
      </c>
      <c r="N110" s="8">
        <f t="shared" si="100"/>
        <v>0.48938224695830235</v>
      </c>
      <c r="O110" s="8">
        <f t="shared" si="101"/>
        <v>18.365320967294753</v>
      </c>
      <c r="P110" s="8"/>
      <c r="Q110" s="8">
        <f t="shared" si="102"/>
        <v>-0.48938224695830357</v>
      </c>
      <c r="R110" s="8"/>
      <c r="S110" s="9">
        <f t="shared" si="103"/>
        <v>0.23949498363795801</v>
      </c>
      <c r="T110" s="165">
        <f t="shared" si="76"/>
        <v>1</v>
      </c>
      <c r="U110" s="163">
        <f t="shared" si="77"/>
        <v>0.23949498363795801</v>
      </c>
      <c r="V110" s="8">
        <f t="shared" si="104"/>
        <v>0.16856098975179301</v>
      </c>
      <c r="X110" s="8">
        <f t="shared" si="105"/>
        <v>3800.7266599050395</v>
      </c>
      <c r="Z110" s="2">
        <f t="shared" si="78"/>
        <v>1E-3</v>
      </c>
      <c r="AA110" s="4">
        <f t="shared" si="79"/>
        <v>12997.05</v>
      </c>
      <c r="AB110" s="46">
        <f t="shared" si="80"/>
        <v>1E-3</v>
      </c>
      <c r="AC110" s="4">
        <f t="shared" si="81"/>
        <v>17.87593872033645</v>
      </c>
      <c r="AD110" s="2">
        <f t="shared" si="82"/>
        <v>1.6392344643626889E-6</v>
      </c>
      <c r="AE110" s="51">
        <f t="shared" si="106"/>
        <v>1.6392344643626888E-2</v>
      </c>
      <c r="AF110" s="10">
        <f t="shared" si="111"/>
        <v>1E-4</v>
      </c>
      <c r="AG110" s="10">
        <f t="shared" si="112"/>
        <v>1E-4</v>
      </c>
      <c r="AH110" s="8">
        <f t="shared" si="107"/>
        <v>18.365320967294753</v>
      </c>
      <c r="AI110" s="10">
        <f t="shared" si="113"/>
        <v>3.5449248660633259E-2</v>
      </c>
      <c r="AJ110" s="10">
        <f t="shared" si="91"/>
        <v>3.7306956624285625E-2</v>
      </c>
      <c r="AK110" s="10">
        <f t="shared" si="72"/>
        <v>3.4856567697265639E-2</v>
      </c>
      <c r="AL110" s="162">
        <f t="shared" si="86"/>
        <v>3.6081762160775632E-2</v>
      </c>
      <c r="AM110" s="178">
        <f t="shared" si="87"/>
        <v>0</v>
      </c>
      <c r="AQ110" s="1">
        <f t="shared" si="108"/>
        <v>1E-4</v>
      </c>
      <c r="AR110" s="1">
        <f t="shared" si="109"/>
        <v>0</v>
      </c>
      <c r="AS110" s="1">
        <f t="shared" si="110"/>
        <v>0</v>
      </c>
      <c r="AT110" s="1">
        <f t="shared" si="88"/>
        <v>18.075938720336449</v>
      </c>
      <c r="AU110" s="1">
        <f t="shared" si="89"/>
        <v>12997.05</v>
      </c>
      <c r="AV110" s="8">
        <f t="shared" si="90"/>
        <v>17.87593872033645</v>
      </c>
    </row>
    <row r="111" spans="1:48" ht="15" customHeight="1">
      <c r="A111" s="168">
        <v>14297.04</v>
      </c>
      <c r="B111" s="98">
        <v>18.075938720336449</v>
      </c>
      <c r="C111" s="171">
        <v>1</v>
      </c>
      <c r="D111" s="8">
        <f t="shared" si="93"/>
        <v>17.87593872033645</v>
      </c>
      <c r="E111" s="8">
        <f t="shared" si="94"/>
        <v>12.483474971333393</v>
      </c>
      <c r="F111" s="8">
        <f t="shared" si="95"/>
        <v>5.3924637490030563</v>
      </c>
      <c r="G111" s="8">
        <f t="shared" si="96"/>
        <v>4.997258649450754</v>
      </c>
      <c r="H111" s="8"/>
      <c r="I111" s="8">
        <f t="shared" si="97"/>
        <v>-0.39520509955230221</v>
      </c>
      <c r="J111" s="8">
        <f t="shared" si="98"/>
        <v>17.480733620784147</v>
      </c>
      <c r="K111" s="8">
        <f t="shared" si="63"/>
        <v>0.3952050995523031</v>
      </c>
      <c r="L111" s="8"/>
      <c r="M111" s="8">
        <f t="shared" si="99"/>
        <v>0.92171220074062887</v>
      </c>
      <c r="N111" s="8">
        <f t="shared" si="100"/>
        <v>0.52650710118832578</v>
      </c>
      <c r="O111" s="8">
        <f t="shared" si="101"/>
        <v>18.402445821524775</v>
      </c>
      <c r="P111" s="8"/>
      <c r="Q111" s="8">
        <f t="shared" si="102"/>
        <v>-0.52650710118832578</v>
      </c>
      <c r="R111" s="8"/>
      <c r="S111" s="9">
        <f t="shared" si="103"/>
        <v>0.2772097276017339</v>
      </c>
      <c r="T111" s="165">
        <f t="shared" si="76"/>
        <v>1</v>
      </c>
      <c r="U111" s="163">
        <f t="shared" si="77"/>
        <v>0.2772097276017339</v>
      </c>
      <c r="V111" s="8">
        <f t="shared" si="104"/>
        <v>0.16856098975179301</v>
      </c>
      <c r="X111" s="8">
        <f t="shared" si="105"/>
        <v>4180.8826684308169</v>
      </c>
      <c r="Z111" s="2">
        <f t="shared" si="78"/>
        <v>1E-3</v>
      </c>
      <c r="AA111" s="4">
        <f t="shared" si="79"/>
        <v>14297.04</v>
      </c>
      <c r="AB111" s="46">
        <f t="shared" si="80"/>
        <v>1E-3</v>
      </c>
      <c r="AC111" s="4">
        <f t="shared" si="81"/>
        <v>17.87593872033645</v>
      </c>
      <c r="AD111" s="2">
        <f t="shared" si="82"/>
        <v>1.4901834432193715E-6</v>
      </c>
      <c r="AE111" s="51">
        <f t="shared" si="106"/>
        <v>1.4901834432193714E-2</v>
      </c>
      <c r="AF111" s="10">
        <f t="shared" si="111"/>
        <v>1E-4</v>
      </c>
      <c r="AG111" s="10">
        <f t="shared" si="112"/>
        <v>1E-4</v>
      </c>
      <c r="AH111" s="8">
        <f t="shared" si="107"/>
        <v>18.402445821524775</v>
      </c>
      <c r="AI111" s="10">
        <f t="shared" si="113"/>
        <v>3.7124854230022208E-2</v>
      </c>
      <c r="AJ111" s="10">
        <f t="shared" si="91"/>
        <v>3.6740567817728831E-2</v>
      </c>
      <c r="AK111" s="10">
        <f t="shared" si="72"/>
        <v>3.4038804817808632E-2</v>
      </c>
      <c r="AL111" s="162">
        <f t="shared" si="86"/>
        <v>3.5389686317768732E-2</v>
      </c>
      <c r="AM111" s="178">
        <f t="shared" si="87"/>
        <v>0</v>
      </c>
      <c r="AQ111" s="1">
        <f t="shared" si="108"/>
        <v>1E-4</v>
      </c>
      <c r="AR111" s="1">
        <f t="shared" si="109"/>
        <v>0</v>
      </c>
      <c r="AS111" s="1">
        <f t="shared" si="110"/>
        <v>0</v>
      </c>
      <c r="AT111" s="1">
        <f t="shared" si="88"/>
        <v>18.075938720336449</v>
      </c>
      <c r="AU111" s="1">
        <f t="shared" si="89"/>
        <v>14297.04</v>
      </c>
      <c r="AV111" s="8">
        <f t="shared" si="90"/>
        <v>17.87593872033645</v>
      </c>
    </row>
    <row r="112" spans="1:48" ht="15" customHeight="1">
      <c r="A112" s="168">
        <v>15596.46</v>
      </c>
      <c r="B112" s="98">
        <v>18.075938720336449</v>
      </c>
      <c r="C112" s="171">
        <v>1</v>
      </c>
      <c r="D112" s="8">
        <f t="shared" si="93"/>
        <v>17.87593872033645</v>
      </c>
      <c r="E112" s="8">
        <f t="shared" si="94"/>
        <v>12.504726050814794</v>
      </c>
      <c r="F112" s="8">
        <f t="shared" si="95"/>
        <v>5.3712126695216558</v>
      </c>
      <c r="G112" s="8">
        <f t="shared" si="96"/>
        <v>5.0067216940347334</v>
      </c>
      <c r="H112" s="8"/>
      <c r="I112" s="8">
        <f t="shared" si="97"/>
        <v>-0.36449097548692233</v>
      </c>
      <c r="J112" s="8">
        <f t="shared" si="98"/>
        <v>17.511447744849526</v>
      </c>
      <c r="K112" s="8">
        <f t="shared" si="63"/>
        <v>0.36449097548692322</v>
      </c>
      <c r="L112" s="8"/>
      <c r="M112" s="8">
        <f t="shared" si="99"/>
        <v>0.92396151254106873</v>
      </c>
      <c r="N112" s="8">
        <f t="shared" si="100"/>
        <v>0.55947053705414551</v>
      </c>
      <c r="O112" s="8">
        <f t="shared" si="101"/>
        <v>18.435409257390596</v>
      </c>
      <c r="P112" s="8"/>
      <c r="Q112" s="8">
        <f t="shared" si="102"/>
        <v>-0.55947053705414618</v>
      </c>
      <c r="R112" s="8"/>
      <c r="S112" s="9">
        <f t="shared" si="103"/>
        <v>0.31300728183165477</v>
      </c>
      <c r="T112" s="165">
        <f t="shared" si="76"/>
        <v>1</v>
      </c>
      <c r="U112" s="163">
        <f t="shared" si="77"/>
        <v>0.31300728183165477</v>
      </c>
      <c r="V112" s="8">
        <f t="shared" si="104"/>
        <v>0.16856098975179301</v>
      </c>
      <c r="X112" s="8">
        <f t="shared" si="105"/>
        <v>4560.871991886047</v>
      </c>
      <c r="Z112" s="2">
        <f t="shared" si="78"/>
        <v>1E-3</v>
      </c>
      <c r="AA112" s="4">
        <f t="shared" si="79"/>
        <v>15596.46</v>
      </c>
      <c r="AB112" s="46">
        <f t="shared" si="80"/>
        <v>1E-3</v>
      </c>
      <c r="AC112" s="4">
        <f t="shared" si="81"/>
        <v>17.87593872033645</v>
      </c>
      <c r="AD112" s="2">
        <f t="shared" si="82"/>
        <v>1.3660287203022408E-6</v>
      </c>
      <c r="AE112" s="51">
        <f t="shared" si="106"/>
        <v>1.3660287203022408E-2</v>
      </c>
      <c r="AF112" s="10">
        <f t="shared" si="111"/>
        <v>1E-4</v>
      </c>
      <c r="AG112" s="10">
        <f t="shared" si="112"/>
        <v>1E-4</v>
      </c>
      <c r="AH112" s="8">
        <f t="shared" si="107"/>
        <v>18.435409257390596</v>
      </c>
      <c r="AI112" s="10">
        <f t="shared" si="113"/>
        <v>3.2963435865820401E-2</v>
      </c>
      <c r="AJ112" s="10">
        <f t="shared" si="91"/>
        <v>3.5418805796198605E-2</v>
      </c>
      <c r="AK112" s="10">
        <f t="shared" si="72"/>
        <v>3.2393138252100329E-2</v>
      </c>
      <c r="AL112" s="162">
        <f t="shared" si="86"/>
        <v>3.3905972024149467E-2</v>
      </c>
      <c r="AM112" s="178">
        <f t="shared" si="87"/>
        <v>0</v>
      </c>
      <c r="AQ112" s="1">
        <f t="shared" si="108"/>
        <v>1E-4</v>
      </c>
      <c r="AR112" s="1">
        <f t="shared" si="109"/>
        <v>0</v>
      </c>
      <c r="AS112" s="1">
        <f t="shared" si="110"/>
        <v>0</v>
      </c>
      <c r="AT112" s="1">
        <f t="shared" si="88"/>
        <v>18.075938720336449</v>
      </c>
      <c r="AU112" s="1">
        <f t="shared" si="89"/>
        <v>15596.46</v>
      </c>
      <c r="AV112" s="8">
        <f t="shared" si="90"/>
        <v>17.87593872033645</v>
      </c>
    </row>
    <row r="113" spans="1:48" ht="15" customHeight="1">
      <c r="A113" s="168">
        <v>17096.099999999999</v>
      </c>
      <c r="B113" s="98">
        <v>18.075938720336449</v>
      </c>
      <c r="C113" s="171">
        <v>1</v>
      </c>
      <c r="D113" s="8">
        <f t="shared" si="93"/>
        <v>17.87593872033645</v>
      </c>
      <c r="E113" s="8">
        <f t="shared" si="94"/>
        <v>12.526768695221012</v>
      </c>
      <c r="F113" s="8">
        <f t="shared" si="95"/>
        <v>5.3491700251154377</v>
      </c>
      <c r="G113" s="8">
        <f t="shared" si="96"/>
        <v>5.0163299564202219</v>
      </c>
      <c r="H113" s="8"/>
      <c r="I113" s="8">
        <f t="shared" si="97"/>
        <v>-0.33284006869521576</v>
      </c>
      <c r="J113" s="8">
        <f t="shared" si="98"/>
        <v>17.543098651641234</v>
      </c>
      <c r="K113" s="8">
        <f t="shared" si="63"/>
        <v>0.33284006869521576</v>
      </c>
      <c r="L113" s="8"/>
      <c r="M113" s="8">
        <f t="shared" si="99"/>
        <v>0.92619933778194763</v>
      </c>
      <c r="N113" s="8">
        <f t="shared" si="100"/>
        <v>0.59335926908673187</v>
      </c>
      <c r="O113" s="8">
        <f t="shared" si="101"/>
        <v>18.469297989423183</v>
      </c>
      <c r="P113" s="8"/>
      <c r="Q113" s="8">
        <f t="shared" si="102"/>
        <v>-0.59335926908673287</v>
      </c>
      <c r="R113" s="8"/>
      <c r="S113" s="9">
        <f t="shared" si="103"/>
        <v>0.35207522221114185</v>
      </c>
      <c r="T113" s="165">
        <f t="shared" si="76"/>
        <v>1</v>
      </c>
      <c r="U113" s="163">
        <f t="shared" si="77"/>
        <v>0.35207522221114185</v>
      </c>
      <c r="V113" s="8">
        <f t="shared" si="104"/>
        <v>0.16856098975179301</v>
      </c>
      <c r="X113" s="8">
        <f t="shared" si="105"/>
        <v>4999.4116395953342</v>
      </c>
      <c r="Z113" s="2">
        <f t="shared" si="78"/>
        <v>1E-3</v>
      </c>
      <c r="AA113" s="4">
        <f t="shared" si="79"/>
        <v>17096.099999999999</v>
      </c>
      <c r="AB113" s="46">
        <f t="shared" si="80"/>
        <v>1E-3</v>
      </c>
      <c r="AC113" s="4">
        <f t="shared" si="81"/>
        <v>17.87593872033645</v>
      </c>
      <c r="AD113" s="2">
        <f t="shared" si="82"/>
        <v>1.2462030694161291E-6</v>
      </c>
      <c r="AE113" s="51">
        <f t="shared" si="106"/>
        <v>1.2462030694161292E-2</v>
      </c>
      <c r="AF113" s="10">
        <f t="shared" si="111"/>
        <v>1E-4</v>
      </c>
      <c r="AG113" s="10">
        <f t="shared" si="112"/>
        <v>1E-4</v>
      </c>
      <c r="AH113" s="8">
        <f t="shared" si="107"/>
        <v>18.469297989423183</v>
      </c>
      <c r="AI113" s="10">
        <f t="shared" si="113"/>
        <v>3.3888732032586688E-2</v>
      </c>
      <c r="AJ113" s="10">
        <f t="shared" si="91"/>
        <v>3.4856567697265639E-2</v>
      </c>
      <c r="AK113" s="10">
        <f t="shared" si="72"/>
        <v>3.1773349107208304E-2</v>
      </c>
      <c r="AL113" s="162">
        <f t="shared" si="86"/>
        <v>3.3314958402236972E-2</v>
      </c>
      <c r="AM113" s="178">
        <f t="shared" si="87"/>
        <v>0</v>
      </c>
      <c r="AQ113" s="1">
        <f t="shared" si="108"/>
        <v>1E-4</v>
      </c>
      <c r="AR113" s="1">
        <f t="shared" si="109"/>
        <v>0</v>
      </c>
      <c r="AS113" s="1">
        <f t="shared" si="110"/>
        <v>0</v>
      </c>
      <c r="AT113" s="1">
        <f t="shared" si="88"/>
        <v>18.075938720336449</v>
      </c>
      <c r="AU113" s="1">
        <f t="shared" si="89"/>
        <v>17096.099999999999</v>
      </c>
      <c r="AV113" s="8">
        <f t="shared" si="90"/>
        <v>17.87593872033645</v>
      </c>
    </row>
    <row r="114" spans="1:48" ht="15" customHeight="1">
      <c r="A114" s="168">
        <v>18696.13</v>
      </c>
      <c r="B114" s="98">
        <v>18.075938720336449</v>
      </c>
      <c r="C114" s="171">
        <v>1</v>
      </c>
      <c r="D114" s="8">
        <f t="shared" si="93"/>
        <v>17.87593872033645</v>
      </c>
      <c r="E114" s="8">
        <f t="shared" si="94"/>
        <v>12.547879060309739</v>
      </c>
      <c r="F114" s="8">
        <f t="shared" si="95"/>
        <v>5.3280596600267103</v>
      </c>
      <c r="G114" s="8">
        <f t="shared" si="96"/>
        <v>5.0253401402583311</v>
      </c>
      <c r="H114" s="8"/>
      <c r="I114" s="8">
        <f t="shared" si="97"/>
        <v>-0.30271951976837919</v>
      </c>
      <c r="J114" s="8">
        <f t="shared" si="98"/>
        <v>17.573219200568069</v>
      </c>
      <c r="K114" s="8">
        <f t="shared" si="63"/>
        <v>0.30271951976838096</v>
      </c>
      <c r="L114" s="8"/>
      <c r="M114" s="8">
        <f t="shared" si="99"/>
        <v>0.92825698599792006</v>
      </c>
      <c r="N114" s="8">
        <f t="shared" si="100"/>
        <v>0.6255374662295391</v>
      </c>
      <c r="O114" s="8">
        <f t="shared" si="101"/>
        <v>18.501476186565988</v>
      </c>
      <c r="P114" s="8"/>
      <c r="Q114" s="8">
        <f t="shared" si="102"/>
        <v>-0.6255374662295381</v>
      </c>
      <c r="R114" s="8"/>
      <c r="S114" s="9">
        <f t="shared" si="103"/>
        <v>0.39129712165687053</v>
      </c>
      <c r="T114" s="165">
        <f t="shared" si="76"/>
        <v>1</v>
      </c>
      <c r="U114" s="163">
        <f t="shared" si="77"/>
        <v>0.39129712165687053</v>
      </c>
      <c r="V114" s="8">
        <f t="shared" si="104"/>
        <v>0.16856098975179301</v>
      </c>
      <c r="X114" s="8">
        <f t="shared" si="105"/>
        <v>5467.3083298171823</v>
      </c>
      <c r="Z114" s="2">
        <f t="shared" si="78"/>
        <v>1E-3</v>
      </c>
      <c r="AA114" s="4">
        <f t="shared" si="79"/>
        <v>18696.13</v>
      </c>
      <c r="AB114" s="46">
        <f t="shared" si="80"/>
        <v>1E-3</v>
      </c>
      <c r="AC114" s="4">
        <f t="shared" si="81"/>
        <v>17.87593872033645</v>
      </c>
      <c r="AD114" s="2">
        <f t="shared" si="82"/>
        <v>1.1395519979292552E-6</v>
      </c>
      <c r="AE114" s="51">
        <f t="shared" si="106"/>
        <v>1.1395519979292551E-2</v>
      </c>
      <c r="AF114" s="10">
        <f t="shared" si="111"/>
        <v>1E-4</v>
      </c>
      <c r="AG114" s="10">
        <f t="shared" si="112"/>
        <v>1E-4</v>
      </c>
      <c r="AH114" s="8">
        <f t="shared" si="107"/>
        <v>18.501476186565988</v>
      </c>
      <c r="AI114" s="10">
        <f t="shared" si="113"/>
        <v>3.2178197142805232E-2</v>
      </c>
      <c r="AJ114" s="10">
        <f t="shared" si="91"/>
        <v>3.4038804817808632E-2</v>
      </c>
      <c r="AK114" s="10">
        <f t="shared" si="72"/>
        <v>3.0831233688359383E-2</v>
      </c>
      <c r="AL114" s="162">
        <f t="shared" si="86"/>
        <v>3.2435019253084008E-2</v>
      </c>
      <c r="AM114" s="178">
        <f t="shared" si="87"/>
        <v>0</v>
      </c>
      <c r="AQ114" s="1">
        <f t="shared" si="108"/>
        <v>1E-4</v>
      </c>
      <c r="AR114" s="1">
        <f t="shared" si="109"/>
        <v>0</v>
      </c>
      <c r="AS114" s="1">
        <f t="shared" si="110"/>
        <v>0</v>
      </c>
      <c r="AT114" s="1">
        <f t="shared" si="88"/>
        <v>18.075938720336449</v>
      </c>
      <c r="AU114" s="1">
        <f t="shared" si="89"/>
        <v>18696.13</v>
      </c>
      <c r="AV114" s="8">
        <f t="shared" si="90"/>
        <v>17.87593872033645</v>
      </c>
    </row>
    <row r="115" spans="1:48" ht="15" customHeight="1">
      <c r="A115" s="168">
        <v>20396.48</v>
      </c>
      <c r="B115" s="98">
        <v>18.075938720336449</v>
      </c>
      <c r="C115" s="171">
        <v>1</v>
      </c>
      <c r="D115" s="8">
        <f t="shared" si="93"/>
        <v>17.87593872033645</v>
      </c>
      <c r="E115" s="8">
        <f t="shared" si="94"/>
        <v>12.568076255438484</v>
      </c>
      <c r="F115" s="8">
        <f t="shared" si="95"/>
        <v>5.3078624648979655</v>
      </c>
      <c r="G115" s="8">
        <f t="shared" si="96"/>
        <v>5.0337903198691292</v>
      </c>
      <c r="H115" s="8"/>
      <c r="I115" s="8">
        <f t="shared" si="97"/>
        <v>-0.27407214502883637</v>
      </c>
      <c r="J115" s="8">
        <f t="shared" si="98"/>
        <v>17.601866575307614</v>
      </c>
      <c r="K115" s="8">
        <f t="shared" si="63"/>
        <v>0.27407214502883548</v>
      </c>
      <c r="L115" s="8"/>
      <c r="M115" s="8">
        <f t="shared" si="99"/>
        <v>0.93015179922556213</v>
      </c>
      <c r="N115" s="8">
        <f t="shared" si="100"/>
        <v>0.65607965419672665</v>
      </c>
      <c r="O115" s="8">
        <f t="shared" si="101"/>
        <v>18.532018374533177</v>
      </c>
      <c r="P115" s="8"/>
      <c r="Q115" s="8">
        <f t="shared" si="102"/>
        <v>-0.65607965419672709</v>
      </c>
      <c r="R115" s="8"/>
      <c r="S115" s="9">
        <f t="shared" si="103"/>
        <v>0.430440512650897</v>
      </c>
      <c r="T115" s="165">
        <f t="shared" si="76"/>
        <v>1</v>
      </c>
      <c r="U115" s="163">
        <f t="shared" si="77"/>
        <v>0.430440512650897</v>
      </c>
      <c r="V115" s="8">
        <f t="shared" si="104"/>
        <v>0.16856098975179301</v>
      </c>
      <c r="X115" s="8">
        <f t="shared" si="105"/>
        <v>5964.5415924552062</v>
      </c>
      <c r="Z115" s="2">
        <f t="shared" si="78"/>
        <v>1E-3</v>
      </c>
      <c r="AA115" s="4">
        <f t="shared" si="79"/>
        <v>20396.48</v>
      </c>
      <c r="AB115" s="46">
        <f t="shared" si="80"/>
        <v>1E-3</v>
      </c>
      <c r="AC115" s="4">
        <f t="shared" si="81"/>
        <v>17.87593872033645</v>
      </c>
      <c r="AD115" s="2">
        <f t="shared" si="82"/>
        <v>1.0445533883809895E-6</v>
      </c>
      <c r="AE115" s="51">
        <f t="shared" si="106"/>
        <v>1.0445533883809895E-2</v>
      </c>
      <c r="AF115" s="10">
        <f t="shared" si="111"/>
        <v>1E-4</v>
      </c>
      <c r="AG115" s="10">
        <f t="shared" si="112"/>
        <v>1E-4</v>
      </c>
      <c r="AH115" s="8">
        <f t="shared" si="107"/>
        <v>18.532018374533177</v>
      </c>
      <c r="AI115" s="10">
        <f t="shared" si="113"/>
        <v>3.0542187967188994E-2</v>
      </c>
      <c r="AJ115" s="10">
        <f t="shared" si="91"/>
        <v>3.2393138252100329E-2</v>
      </c>
      <c r="AK115" s="10">
        <f t="shared" si="72"/>
        <v>3.0142485414572207E-2</v>
      </c>
      <c r="AL115" s="162">
        <f t="shared" si="86"/>
        <v>3.1267811833336268E-2</v>
      </c>
      <c r="AM115" s="178">
        <f t="shared" si="87"/>
        <v>0</v>
      </c>
      <c r="AQ115" s="1">
        <f t="shared" si="108"/>
        <v>1E-4</v>
      </c>
      <c r="AR115" s="1">
        <f t="shared" si="109"/>
        <v>0</v>
      </c>
      <c r="AS115" s="1">
        <f t="shared" si="110"/>
        <v>0</v>
      </c>
      <c r="AT115" s="1">
        <f t="shared" si="88"/>
        <v>18.075938720336449</v>
      </c>
      <c r="AU115" s="1">
        <f t="shared" si="89"/>
        <v>20396.48</v>
      </c>
      <c r="AV115" s="8">
        <f t="shared" si="90"/>
        <v>17.87593872033645</v>
      </c>
    </row>
    <row r="116" spans="1:48" ht="15" customHeight="1">
      <c r="A116" s="168">
        <v>22295.17</v>
      </c>
      <c r="B116" s="98">
        <v>18.075938720336449</v>
      </c>
      <c r="C116" s="171">
        <v>1</v>
      </c>
      <c r="D116" s="8">
        <f t="shared" si="93"/>
        <v>17.87593872033645</v>
      </c>
      <c r="E116" s="8">
        <f t="shared" si="94"/>
        <v>12.588388462042868</v>
      </c>
      <c r="F116" s="8">
        <f t="shared" si="95"/>
        <v>5.2875502582935816</v>
      </c>
      <c r="G116" s="8">
        <f t="shared" si="96"/>
        <v>5.042125604474208</v>
      </c>
      <c r="H116" s="8"/>
      <c r="I116" s="8">
        <f t="shared" si="97"/>
        <v>-0.24542465381937362</v>
      </c>
      <c r="J116" s="8">
        <f t="shared" si="98"/>
        <v>17.630514066517076</v>
      </c>
      <c r="K116" s="8">
        <f t="shared" si="63"/>
        <v>0.24542465381937362</v>
      </c>
      <c r="L116" s="8"/>
      <c r="M116" s="8">
        <f t="shared" si="99"/>
        <v>0.93198858730235368</v>
      </c>
      <c r="N116" s="8">
        <f t="shared" si="100"/>
        <v>0.68656393348298006</v>
      </c>
      <c r="O116" s="8">
        <f t="shared" si="101"/>
        <v>18.562502653819429</v>
      </c>
      <c r="P116" s="8"/>
      <c r="Q116" s="8">
        <f t="shared" si="102"/>
        <v>-0.68656393348297939</v>
      </c>
      <c r="R116" s="8"/>
      <c r="S116" s="9">
        <f t="shared" si="103"/>
        <v>0.47137003475962097</v>
      </c>
      <c r="T116" s="165">
        <f t="shared" si="76"/>
        <v>1</v>
      </c>
      <c r="U116" s="163">
        <f t="shared" si="77"/>
        <v>0.47137003475962097</v>
      </c>
      <c r="V116" s="8">
        <f t="shared" si="104"/>
        <v>0.16856098975179301</v>
      </c>
      <c r="X116" s="8">
        <f t="shared" si="105"/>
        <v>6519.7754110444321</v>
      </c>
      <c r="Z116" s="2">
        <f t="shared" si="78"/>
        <v>1E-3</v>
      </c>
      <c r="AA116" s="4">
        <f t="shared" si="79"/>
        <v>22295.17</v>
      </c>
      <c r="AB116" s="46">
        <f t="shared" si="80"/>
        <v>1E-3</v>
      </c>
      <c r="AC116" s="4">
        <f t="shared" si="81"/>
        <v>17.87593872033645</v>
      </c>
      <c r="AD116" s="2">
        <f t="shared" si="82"/>
        <v>9.5559766061640641E-7</v>
      </c>
      <c r="AE116" s="51">
        <f t="shared" si="106"/>
        <v>9.5559766061640641E-3</v>
      </c>
      <c r="AF116" s="10">
        <f t="shared" si="111"/>
        <v>1E-4</v>
      </c>
      <c r="AG116" s="10">
        <f t="shared" si="112"/>
        <v>1E-4</v>
      </c>
      <c r="AH116" s="8">
        <f t="shared" si="107"/>
        <v>18.562502653819429</v>
      </c>
      <c r="AI116" s="10">
        <f t="shared" si="113"/>
        <v>3.0484279286252303E-2</v>
      </c>
      <c r="AJ116" s="10">
        <f t="shared" si="91"/>
        <v>3.1773349107208304E-2</v>
      </c>
      <c r="AK116" s="10">
        <f t="shared" si="72"/>
        <v>2.9914298175162557E-2</v>
      </c>
      <c r="AL116" s="162">
        <f t="shared" si="86"/>
        <v>3.0843823641185431E-2</v>
      </c>
      <c r="AM116" s="178">
        <f t="shared" si="87"/>
        <v>0</v>
      </c>
      <c r="AQ116" s="1">
        <f t="shared" si="108"/>
        <v>1E-4</v>
      </c>
      <c r="AR116" s="1">
        <f t="shared" si="109"/>
        <v>0</v>
      </c>
      <c r="AS116" s="1">
        <f t="shared" si="110"/>
        <v>0</v>
      </c>
      <c r="AT116" s="1">
        <f t="shared" si="88"/>
        <v>18.075938720336449</v>
      </c>
      <c r="AU116" s="1">
        <f t="shared" si="89"/>
        <v>22295.17</v>
      </c>
      <c r="AV116" s="8">
        <f t="shared" si="90"/>
        <v>17.87593872033645</v>
      </c>
    </row>
    <row r="117" spans="1:48" ht="15" customHeight="1">
      <c r="A117" s="168">
        <v>24397.05</v>
      </c>
      <c r="B117" s="98">
        <v>18.075938720336449</v>
      </c>
      <c r="C117" s="171">
        <v>1</v>
      </c>
      <c r="D117" s="8">
        <f t="shared" si="93"/>
        <v>17.87593872033645</v>
      </c>
      <c r="E117" s="8">
        <f t="shared" si="94"/>
        <v>12.60860644907285</v>
      </c>
      <c r="F117" s="8">
        <f t="shared" si="95"/>
        <v>5.2673322712635997</v>
      </c>
      <c r="G117" s="8">
        <f t="shared" si="96"/>
        <v>5.0502645076266841</v>
      </c>
      <c r="H117" s="8"/>
      <c r="I117" s="8">
        <f t="shared" si="97"/>
        <v>-0.2170677636369156</v>
      </c>
      <c r="J117" s="8">
        <f t="shared" si="98"/>
        <v>17.658870956699534</v>
      </c>
      <c r="K117" s="8">
        <f t="shared" si="63"/>
        <v>0.2170677636369156</v>
      </c>
      <c r="L117" s="8"/>
      <c r="M117" s="8">
        <f t="shared" si="99"/>
        <v>0.93375196747708455</v>
      </c>
      <c r="N117" s="8">
        <f t="shared" si="100"/>
        <v>0.71668420384016895</v>
      </c>
      <c r="O117" s="8">
        <f t="shared" si="101"/>
        <v>18.59262292417662</v>
      </c>
      <c r="P117" s="8"/>
      <c r="Q117" s="8">
        <f t="shared" si="102"/>
        <v>-0.7166842038401704</v>
      </c>
      <c r="R117" s="8"/>
      <c r="S117" s="9">
        <f t="shared" si="103"/>
        <v>0.51363624803401886</v>
      </c>
      <c r="T117" s="165">
        <f t="shared" si="76"/>
        <v>1</v>
      </c>
      <c r="U117" s="163">
        <f t="shared" si="77"/>
        <v>0.51363624803401886</v>
      </c>
      <c r="V117" s="8">
        <f t="shared" si="104"/>
        <v>0.16856098975179301</v>
      </c>
      <c r="X117" s="8">
        <f t="shared" si="105"/>
        <v>7134.4280708342467</v>
      </c>
      <c r="Z117" s="2">
        <f t="shared" si="78"/>
        <v>1E-3</v>
      </c>
      <c r="AA117" s="4">
        <f t="shared" si="79"/>
        <v>24397.05</v>
      </c>
      <c r="AB117" s="46">
        <f t="shared" si="80"/>
        <v>1E-3</v>
      </c>
      <c r="AC117" s="4">
        <f t="shared" si="81"/>
        <v>17.87593872033645</v>
      </c>
      <c r="AD117" s="2">
        <f t="shared" si="82"/>
        <v>8.7327001809829812E-7</v>
      </c>
      <c r="AE117" s="51">
        <f t="shared" si="106"/>
        <v>8.7327001809829816E-3</v>
      </c>
      <c r="AF117" s="10">
        <f t="shared" si="111"/>
        <v>1E-4</v>
      </c>
      <c r="AG117" s="10">
        <f t="shared" si="112"/>
        <v>1E-4</v>
      </c>
      <c r="AH117" s="8">
        <f t="shared" si="107"/>
        <v>18.59262292417662</v>
      </c>
      <c r="AI117" s="10">
        <f t="shared" si="113"/>
        <v>3.0120270357191004E-2</v>
      </c>
      <c r="AJ117" s="10">
        <f t="shared" si="91"/>
        <v>3.0831233688359383E-2</v>
      </c>
      <c r="AK117" s="10">
        <f t="shared" si="72"/>
        <v>2.9158469090210026E-2</v>
      </c>
      <c r="AL117" s="162">
        <f t="shared" si="86"/>
        <v>2.9994851389284705E-2</v>
      </c>
      <c r="AM117" s="178">
        <f t="shared" si="87"/>
        <v>0</v>
      </c>
      <c r="AQ117" s="1">
        <f t="shared" si="108"/>
        <v>1E-4</v>
      </c>
      <c r="AR117" s="1">
        <f t="shared" si="109"/>
        <v>0</v>
      </c>
      <c r="AS117" s="1">
        <f t="shared" si="110"/>
        <v>0</v>
      </c>
      <c r="AT117" s="1">
        <f t="shared" si="88"/>
        <v>18.075938720336449</v>
      </c>
      <c r="AU117" s="1">
        <f t="shared" si="89"/>
        <v>24397.05</v>
      </c>
      <c r="AV117" s="8">
        <f t="shared" si="90"/>
        <v>17.87593872033645</v>
      </c>
    </row>
    <row r="118" spans="1:48" ht="15" customHeight="1">
      <c r="A118" s="168">
        <v>26698.03</v>
      </c>
      <c r="B118" s="98">
        <v>18.075938720336449</v>
      </c>
      <c r="C118" s="171">
        <v>1</v>
      </c>
      <c r="D118" s="8">
        <f t="shared" si="93"/>
        <v>17.87593872033645</v>
      </c>
      <c r="E118" s="8">
        <f t="shared" si="94"/>
        <v>12.628496909486824</v>
      </c>
      <c r="F118" s="8">
        <f t="shared" si="95"/>
        <v>5.2474418108496259</v>
      </c>
      <c r="G118" s="8">
        <f t="shared" si="96"/>
        <v>5.0581223254686334</v>
      </c>
      <c r="H118" s="8"/>
      <c r="I118" s="8">
        <f t="shared" si="97"/>
        <v>-0.18931948538099252</v>
      </c>
      <c r="J118" s="8">
        <f t="shared" si="98"/>
        <v>17.686619234955458</v>
      </c>
      <c r="K118" s="8">
        <f t="shared" si="63"/>
        <v>0.18931948538099164</v>
      </c>
      <c r="L118" s="8"/>
      <c r="M118" s="8">
        <f t="shared" si="99"/>
        <v>0.93542689326881756</v>
      </c>
      <c r="N118" s="8">
        <f t="shared" si="100"/>
        <v>0.74610740788782592</v>
      </c>
      <c r="O118" s="8">
        <f t="shared" si="101"/>
        <v>18.622046128224277</v>
      </c>
      <c r="P118" s="8"/>
      <c r="Q118" s="8">
        <f t="shared" si="102"/>
        <v>-0.74610740788782692</v>
      </c>
      <c r="R118" s="8"/>
      <c r="S118" s="9">
        <f t="shared" si="103"/>
        <v>0.55667626410509219</v>
      </c>
      <c r="T118" s="165">
        <f t="shared" si="76"/>
        <v>1</v>
      </c>
      <c r="U118" s="163">
        <f t="shared" si="77"/>
        <v>0.55667626410509219</v>
      </c>
      <c r="V118" s="8">
        <f t="shared" si="104"/>
        <v>0.16856098975179301</v>
      </c>
      <c r="X118" s="8">
        <f t="shared" si="105"/>
        <v>7807.3035333359912</v>
      </c>
      <c r="Z118" s="2">
        <f t="shared" si="78"/>
        <v>1E-3</v>
      </c>
      <c r="AA118" s="4">
        <f t="shared" si="79"/>
        <v>26698.03</v>
      </c>
      <c r="AB118" s="46">
        <f t="shared" si="80"/>
        <v>1E-3</v>
      </c>
      <c r="AC118" s="4">
        <f t="shared" si="81"/>
        <v>17.87593872033645</v>
      </c>
      <c r="AD118" s="2">
        <f t="shared" si="82"/>
        <v>7.9800690519282078E-7</v>
      </c>
      <c r="AE118" s="51">
        <f t="shared" si="106"/>
        <v>7.9800690519282076E-3</v>
      </c>
      <c r="AF118" s="10">
        <f t="shared" si="111"/>
        <v>1E-4</v>
      </c>
      <c r="AG118" s="10">
        <f t="shared" si="112"/>
        <v>1E-4</v>
      </c>
      <c r="AH118" s="8">
        <f t="shared" si="107"/>
        <v>18.622046128224277</v>
      </c>
      <c r="AI118" s="10">
        <f t="shared" si="113"/>
        <v>2.9423204047656526E-2</v>
      </c>
      <c r="AJ118" s="10">
        <f t="shared" si="91"/>
        <v>3.0142485414572207E-2</v>
      </c>
      <c r="AK118" s="10">
        <f t="shared" si="72"/>
        <v>2.8438215830673741E-2</v>
      </c>
      <c r="AL118" s="162">
        <f t="shared" si="86"/>
        <v>2.9290350622622974E-2</v>
      </c>
      <c r="AM118" s="178">
        <f t="shared" si="87"/>
        <v>0</v>
      </c>
      <c r="AQ118" s="1">
        <f t="shared" si="108"/>
        <v>1E-4</v>
      </c>
      <c r="AR118" s="1">
        <f t="shared" si="109"/>
        <v>0</v>
      </c>
      <c r="AS118" s="1">
        <f t="shared" si="110"/>
        <v>0</v>
      </c>
      <c r="AT118" s="1">
        <f t="shared" si="88"/>
        <v>18.075938720336449</v>
      </c>
      <c r="AU118" s="1">
        <f t="shared" si="89"/>
        <v>26698.03</v>
      </c>
      <c r="AV118" s="8">
        <f t="shared" si="90"/>
        <v>17.87593872033645</v>
      </c>
    </row>
    <row r="119" spans="1:48" ht="15" customHeight="1">
      <c r="A119" s="168">
        <v>29298.26</v>
      </c>
      <c r="B119" s="98">
        <v>18.075938720336449</v>
      </c>
      <c r="C119" s="171">
        <v>1</v>
      </c>
      <c r="D119" s="8">
        <f t="shared" si="93"/>
        <v>17.87593872033645</v>
      </c>
      <c r="E119" s="8">
        <f t="shared" si="94"/>
        <v>12.648665028102553</v>
      </c>
      <c r="F119" s="8">
        <f t="shared" si="95"/>
        <v>5.2272736922338972</v>
      </c>
      <c r="G119" s="8">
        <f t="shared" si="96"/>
        <v>5.0659428955477948</v>
      </c>
      <c r="H119" s="8"/>
      <c r="I119" s="8">
        <f t="shared" si="97"/>
        <v>-0.1613307966861024</v>
      </c>
      <c r="J119" s="8">
        <f t="shared" si="98"/>
        <v>17.714607923650348</v>
      </c>
      <c r="K119" s="8">
        <f t="shared" si="63"/>
        <v>0.16133079668610151</v>
      </c>
      <c r="L119" s="8"/>
      <c r="M119" s="8">
        <f t="shared" si="99"/>
        <v>0.93706764358347738</v>
      </c>
      <c r="N119" s="8">
        <f t="shared" si="100"/>
        <v>0.77573684689737588</v>
      </c>
      <c r="O119" s="8">
        <f t="shared" si="101"/>
        <v>18.651675567233827</v>
      </c>
      <c r="P119" s="8"/>
      <c r="Q119" s="8">
        <f t="shared" si="102"/>
        <v>-0.77573684689737732</v>
      </c>
      <c r="R119" s="8"/>
      <c r="S119" s="9">
        <f t="shared" si="103"/>
        <v>0.60176765563428503</v>
      </c>
      <c r="T119" s="165">
        <f t="shared" si="76"/>
        <v>1</v>
      </c>
      <c r="U119" s="163">
        <f t="shared" si="77"/>
        <v>0.60176765563428503</v>
      </c>
      <c r="V119" s="8">
        <f t="shared" si="104"/>
        <v>0.16856098975179301</v>
      </c>
      <c r="X119" s="8">
        <f t="shared" si="105"/>
        <v>8567.6886578746271</v>
      </c>
      <c r="Z119" s="2">
        <f t="shared" si="78"/>
        <v>1E-3</v>
      </c>
      <c r="AA119" s="4">
        <f t="shared" si="79"/>
        <v>29298.26</v>
      </c>
      <c r="AB119" s="46">
        <f t="shared" si="80"/>
        <v>1E-3</v>
      </c>
      <c r="AC119" s="4">
        <f t="shared" si="81"/>
        <v>17.87593872033645</v>
      </c>
      <c r="AD119" s="2">
        <f t="shared" si="82"/>
        <v>7.2718353564495247E-7</v>
      </c>
      <c r="AE119" s="51">
        <f t="shared" si="106"/>
        <v>7.2718353564495243E-3</v>
      </c>
      <c r="AF119" s="10">
        <f t="shared" si="111"/>
        <v>1E-4</v>
      </c>
      <c r="AG119" s="10">
        <f t="shared" si="112"/>
        <v>1E-4</v>
      </c>
      <c r="AH119" s="8">
        <f t="shared" si="107"/>
        <v>18.651675567233827</v>
      </c>
      <c r="AI119" s="10">
        <f t="shared" si="113"/>
        <v>2.9629439009550396E-2</v>
      </c>
      <c r="AJ119" s="10">
        <f t="shared" si="91"/>
        <v>2.9914298175162557E-2</v>
      </c>
      <c r="AK119" s="10">
        <f t="shared" si="72"/>
        <v>2.781551394400239E-2</v>
      </c>
      <c r="AL119" s="162">
        <f t="shared" si="86"/>
        <v>2.8864906059582474E-2</v>
      </c>
      <c r="AM119" s="178">
        <f t="shared" si="87"/>
        <v>0</v>
      </c>
      <c r="AQ119" s="1">
        <f t="shared" si="108"/>
        <v>1E-4</v>
      </c>
      <c r="AR119" s="1">
        <f t="shared" si="109"/>
        <v>0</v>
      </c>
      <c r="AS119" s="1">
        <f t="shared" si="110"/>
        <v>0</v>
      </c>
      <c r="AT119" s="1">
        <f t="shared" si="88"/>
        <v>18.075938720336449</v>
      </c>
      <c r="AU119" s="1">
        <f t="shared" si="89"/>
        <v>29298.26</v>
      </c>
      <c r="AV119" s="8">
        <f t="shared" si="90"/>
        <v>17.87593872033645</v>
      </c>
    </row>
    <row r="120" spans="1:48" ht="15" customHeight="1">
      <c r="A120" s="168">
        <v>31997.98</v>
      </c>
      <c r="B120" s="98">
        <v>18.075938720336449</v>
      </c>
      <c r="C120" s="171">
        <v>1</v>
      </c>
      <c r="D120" s="8">
        <f t="shared" si="93"/>
        <v>17.87593872033645</v>
      </c>
      <c r="E120" s="8">
        <f t="shared" si="94"/>
        <v>12.667479290707819</v>
      </c>
      <c r="F120" s="8">
        <f t="shared" si="95"/>
        <v>5.2084594296286308</v>
      </c>
      <c r="G120" s="8">
        <f t="shared" si="96"/>
        <v>5.0731086756089034</v>
      </c>
      <c r="H120" s="8"/>
      <c r="I120" s="8">
        <f t="shared" si="97"/>
        <v>-0.1353507540197274</v>
      </c>
      <c r="J120" s="8">
        <f t="shared" si="98"/>
        <v>17.740587966316724</v>
      </c>
      <c r="K120" s="8">
        <f t="shared" si="63"/>
        <v>0.13535075401972563</v>
      </c>
      <c r="L120" s="8"/>
      <c r="M120" s="8">
        <f t="shared" si="99"/>
        <v>0.93854856386354635</v>
      </c>
      <c r="N120" s="8">
        <f t="shared" si="100"/>
        <v>0.80319780984382072</v>
      </c>
      <c r="O120" s="8">
        <f t="shared" si="101"/>
        <v>18.679136530180269</v>
      </c>
      <c r="P120" s="8"/>
      <c r="Q120" s="8">
        <f t="shared" si="102"/>
        <v>-0.8031978098438195</v>
      </c>
      <c r="R120" s="8"/>
      <c r="S120" s="9">
        <f t="shared" si="103"/>
        <v>0.64512672173790842</v>
      </c>
      <c r="T120" s="165">
        <f t="shared" si="76"/>
        <v>1</v>
      </c>
      <c r="U120" s="163">
        <f t="shared" si="77"/>
        <v>0.64512672173790842</v>
      </c>
      <c r="V120" s="8">
        <f t="shared" si="104"/>
        <v>0.16856098975179301</v>
      </c>
      <c r="X120" s="8">
        <f t="shared" si="105"/>
        <v>9357.1676379723285</v>
      </c>
      <c r="Z120" s="2">
        <f t="shared" si="78"/>
        <v>1E-3</v>
      </c>
      <c r="AA120" s="4">
        <f t="shared" si="79"/>
        <v>31997.98</v>
      </c>
      <c r="AB120" s="46">
        <f t="shared" si="80"/>
        <v>1E-3</v>
      </c>
      <c r="AC120" s="4">
        <f t="shared" si="81"/>
        <v>17.87593872033645</v>
      </c>
      <c r="AD120" s="2">
        <f t="shared" si="82"/>
        <v>6.6582991473352644E-7</v>
      </c>
      <c r="AE120" s="51">
        <f t="shared" si="106"/>
        <v>6.6582991473352641E-3</v>
      </c>
      <c r="AF120" s="10">
        <f t="shared" si="111"/>
        <v>1E-4</v>
      </c>
      <c r="AG120" s="10">
        <f t="shared" si="112"/>
        <v>1E-4</v>
      </c>
      <c r="AH120" s="8">
        <f t="shared" si="107"/>
        <v>18.679136530180269</v>
      </c>
      <c r="AI120" s="10">
        <f t="shared" si="113"/>
        <v>2.746096294644218E-2</v>
      </c>
      <c r="AJ120" s="10">
        <f t="shared" si="91"/>
        <v>2.9158469090210026E-2</v>
      </c>
      <c r="AK120" s="10">
        <f t="shared" si="72"/>
        <v>2.6955301179143909E-2</v>
      </c>
      <c r="AL120" s="162">
        <f t="shared" si="86"/>
        <v>2.8056885134676968E-2</v>
      </c>
      <c r="AM120" s="178">
        <f t="shared" si="87"/>
        <v>0</v>
      </c>
      <c r="AQ120" s="1">
        <f t="shared" si="108"/>
        <v>1E-4</v>
      </c>
      <c r="AR120" s="1">
        <f t="shared" si="109"/>
        <v>0</v>
      </c>
      <c r="AS120" s="1">
        <f t="shared" si="110"/>
        <v>0</v>
      </c>
      <c r="AT120" s="1">
        <f t="shared" si="88"/>
        <v>18.075938720336449</v>
      </c>
      <c r="AU120" s="1">
        <f t="shared" si="89"/>
        <v>31997.98</v>
      </c>
      <c r="AV120" s="8">
        <f t="shared" si="90"/>
        <v>17.87593872033645</v>
      </c>
    </row>
    <row r="121" spans="1:48" ht="15" customHeight="1">
      <c r="A121" s="168">
        <v>34990.199999999997</v>
      </c>
      <c r="B121" s="98">
        <v>18.075938720336449</v>
      </c>
      <c r="C121" s="171">
        <v>1</v>
      </c>
      <c r="D121" s="8">
        <f t="shared" si="93"/>
        <v>17.87593872033645</v>
      </c>
      <c r="E121" s="8">
        <f t="shared" si="94"/>
        <v>12.68625622072754</v>
      </c>
      <c r="F121" s="8">
        <f t="shared" si="95"/>
        <v>5.1896824996089101</v>
      </c>
      <c r="G121" s="8">
        <f t="shared" si="96"/>
        <v>5.080138577144039</v>
      </c>
      <c r="H121" s="8"/>
      <c r="I121" s="8">
        <f t="shared" si="97"/>
        <v>-0.1095439224648711</v>
      </c>
      <c r="J121" s="8">
        <f t="shared" si="98"/>
        <v>17.766394797871577</v>
      </c>
      <c r="K121" s="8">
        <f t="shared" si="63"/>
        <v>0.10954392246487288</v>
      </c>
      <c r="L121" s="8"/>
      <c r="M121" s="8">
        <f t="shared" si="99"/>
        <v>0.93998098962773879</v>
      </c>
      <c r="N121" s="8">
        <f t="shared" si="100"/>
        <v>0.83043706716286592</v>
      </c>
      <c r="O121" s="8">
        <f t="shared" si="101"/>
        <v>18.706375787499315</v>
      </c>
      <c r="P121" s="8"/>
      <c r="Q121" s="8">
        <f t="shared" si="102"/>
        <v>-0.83043706716286536</v>
      </c>
      <c r="R121" s="8"/>
      <c r="S121" s="9">
        <f t="shared" si="103"/>
        <v>0.68962572251806131</v>
      </c>
      <c r="T121" s="165">
        <f t="shared" si="76"/>
        <v>1</v>
      </c>
      <c r="U121" s="163">
        <f t="shared" si="77"/>
        <v>0.68962572251806131</v>
      </c>
      <c r="V121" s="8">
        <f t="shared" si="104"/>
        <v>0.16856098975179301</v>
      </c>
      <c r="X121" s="8">
        <f t="shared" si="105"/>
        <v>10232.182377955714</v>
      </c>
      <c r="Z121" s="2">
        <f t="shared" si="78"/>
        <v>1E-3</v>
      </c>
      <c r="AA121" s="4">
        <f t="shared" si="79"/>
        <v>34990.199999999997</v>
      </c>
      <c r="AB121" s="46">
        <f t="shared" si="80"/>
        <v>1E-3</v>
      </c>
      <c r="AC121" s="4">
        <f t="shared" si="81"/>
        <v>17.87593872033645</v>
      </c>
      <c r="AD121" s="2">
        <f t="shared" si="82"/>
        <v>6.0889084072240467E-7</v>
      </c>
      <c r="AE121" s="51">
        <f t="shared" si="106"/>
        <v>6.0889084072240467E-3</v>
      </c>
      <c r="AF121" s="10">
        <f t="shared" si="111"/>
        <v>1E-4</v>
      </c>
      <c r="AG121" s="10">
        <f t="shared" si="112"/>
        <v>1E-4</v>
      </c>
      <c r="AH121" s="8">
        <f t="shared" si="107"/>
        <v>18.706375787499315</v>
      </c>
      <c r="AI121" s="10">
        <f t="shared" si="113"/>
        <v>2.7239257319045862E-2</v>
      </c>
      <c r="AJ121" s="10">
        <f t="shared" si="91"/>
        <v>2.8438215830673741E-2</v>
      </c>
      <c r="AK121" s="10">
        <f t="shared" si="72"/>
        <v>2.6448099573093131E-2</v>
      </c>
      <c r="AL121" s="162">
        <f t="shared" si="86"/>
        <v>2.7443157701883436E-2</v>
      </c>
      <c r="AM121" s="178">
        <f t="shared" si="87"/>
        <v>0</v>
      </c>
      <c r="AQ121" s="1">
        <f t="shared" si="108"/>
        <v>1E-4</v>
      </c>
      <c r="AR121" s="1">
        <f t="shared" si="109"/>
        <v>0</v>
      </c>
      <c r="AS121" s="1">
        <f t="shared" si="110"/>
        <v>0</v>
      </c>
      <c r="AT121" s="1">
        <f t="shared" si="88"/>
        <v>18.075938720336449</v>
      </c>
      <c r="AU121" s="1">
        <f t="shared" si="89"/>
        <v>34990.199999999997</v>
      </c>
      <c r="AV121" s="8">
        <f t="shared" si="90"/>
        <v>17.87593872033645</v>
      </c>
    </row>
    <row r="122" spans="1:48" ht="15" customHeight="1">
      <c r="A122" s="168">
        <v>38299.26</v>
      </c>
      <c r="B122" s="98">
        <v>18.075938720336449</v>
      </c>
      <c r="C122" s="171">
        <v>1</v>
      </c>
      <c r="D122" s="8">
        <f t="shared" si="93"/>
        <v>17.87593872033645</v>
      </c>
      <c r="E122" s="8">
        <f t="shared" si="94"/>
        <v>12.704932335300104</v>
      </c>
      <c r="F122" s="8">
        <f t="shared" si="95"/>
        <v>5.1710063850363461</v>
      </c>
      <c r="G122" s="8">
        <f t="shared" si="96"/>
        <v>5.0870132176893721</v>
      </c>
      <c r="H122" s="8"/>
      <c r="I122" s="8">
        <f t="shared" si="97"/>
        <v>-8.399316734697404E-2</v>
      </c>
      <c r="J122" s="8">
        <f t="shared" si="98"/>
        <v>17.791945552989475</v>
      </c>
      <c r="K122" s="8">
        <f t="shared" si="63"/>
        <v>8.3993167346974928E-2</v>
      </c>
      <c r="L122" s="8"/>
      <c r="M122" s="8">
        <f t="shared" si="99"/>
        <v>0.94136263101081019</v>
      </c>
      <c r="N122" s="8">
        <f t="shared" si="100"/>
        <v>0.85736946366383526</v>
      </c>
      <c r="O122" s="8">
        <f t="shared" si="101"/>
        <v>18.733308184000286</v>
      </c>
      <c r="P122" s="8"/>
      <c r="Q122" s="8">
        <f t="shared" si="102"/>
        <v>-0.85736946366383648</v>
      </c>
      <c r="R122" s="8"/>
      <c r="S122" s="9">
        <f t="shared" si="103"/>
        <v>0.73508239722321467</v>
      </c>
      <c r="T122" s="165">
        <f t="shared" si="76"/>
        <v>1</v>
      </c>
      <c r="U122" s="163">
        <f t="shared" si="77"/>
        <v>0.73508239722321467</v>
      </c>
      <c r="V122" s="8">
        <f t="shared" si="104"/>
        <v>0.16856098975179301</v>
      </c>
      <c r="X122" s="8">
        <f t="shared" si="105"/>
        <v>11199.850622767066</v>
      </c>
      <c r="Z122" s="2">
        <f t="shared" si="78"/>
        <v>0</v>
      </c>
      <c r="AA122" s="4">
        <f t="shared" si="79"/>
        <v>38299.26</v>
      </c>
      <c r="AB122" s="46">
        <f t="shared" si="80"/>
        <v>0</v>
      </c>
      <c r="AC122" s="4">
        <f t="shared" si="81"/>
        <v>17.87593872033645</v>
      </c>
      <c r="AD122" s="2">
        <f t="shared" si="82"/>
        <v>5.5628260950851495E-7</v>
      </c>
      <c r="AE122" s="51">
        <f t="shared" si="106"/>
        <v>5.5628260950851497E-3</v>
      </c>
      <c r="AF122" s="10">
        <f t="shared" si="111"/>
        <v>1E-4</v>
      </c>
      <c r="AG122" s="10">
        <f t="shared" si="112"/>
        <v>1E-4</v>
      </c>
      <c r="AH122" s="8">
        <f t="shared" si="107"/>
        <v>18.733308184000286</v>
      </c>
      <c r="AI122" s="10">
        <f t="shared" si="113"/>
        <v>2.6932396500971123E-2</v>
      </c>
      <c r="AJ122" s="10">
        <f t="shared" si="91"/>
        <v>2.781551394400239E-2</v>
      </c>
      <c r="AK122" s="10">
        <f t="shared" si="72"/>
        <v>2.5902372285939279E-2</v>
      </c>
      <c r="AL122" s="162">
        <f t="shared" si="86"/>
        <v>2.6858943114970835E-2</v>
      </c>
      <c r="AM122" s="178">
        <f t="shared" si="87"/>
        <v>0</v>
      </c>
      <c r="AQ122" s="1">
        <f t="shared" si="108"/>
        <v>1E-4</v>
      </c>
      <c r="AR122" s="1">
        <f t="shared" si="109"/>
        <v>0</v>
      </c>
      <c r="AS122" s="1">
        <f t="shared" si="110"/>
        <v>0</v>
      </c>
      <c r="AT122" s="1">
        <f t="shared" si="88"/>
        <v>18.075938720336449</v>
      </c>
      <c r="AU122" s="1">
        <f t="shared" si="89"/>
        <v>38299.26</v>
      </c>
      <c r="AV122" s="8">
        <f t="shared" si="90"/>
        <v>17.87593872033645</v>
      </c>
    </row>
    <row r="123" spans="1:48" ht="15" customHeight="1">
      <c r="A123" s="168">
        <v>41897.74</v>
      </c>
      <c r="B123" s="98">
        <v>18.075938720336449</v>
      </c>
      <c r="C123" s="171">
        <v>1</v>
      </c>
      <c r="D123" s="8">
        <f t="shared" si="93"/>
        <v>17.87593872033645</v>
      </c>
      <c r="E123" s="8">
        <f t="shared" si="94"/>
        <v>12.723196861389711</v>
      </c>
      <c r="F123" s="8">
        <f t="shared" si="95"/>
        <v>5.1527418589467384</v>
      </c>
      <c r="G123" s="8">
        <f t="shared" si="96"/>
        <v>5.093625811123184</v>
      </c>
      <c r="H123" s="8"/>
      <c r="I123" s="8">
        <f t="shared" si="97"/>
        <v>-5.9116047823554396E-2</v>
      </c>
      <c r="J123" s="8">
        <f t="shared" si="98"/>
        <v>17.816822672512895</v>
      </c>
      <c r="K123" s="8">
        <f t="shared" si="63"/>
        <v>5.9116047823554396E-2</v>
      </c>
      <c r="L123" s="8"/>
      <c r="M123" s="8">
        <f t="shared" si="99"/>
        <v>0.94267409943750757</v>
      </c>
      <c r="N123" s="8">
        <f t="shared" si="100"/>
        <v>0.88355805161395318</v>
      </c>
      <c r="O123" s="8">
        <f t="shared" si="101"/>
        <v>18.759496771950403</v>
      </c>
      <c r="P123" s="8"/>
      <c r="Q123" s="8">
        <f t="shared" si="102"/>
        <v>-0.88355805161395295</v>
      </c>
      <c r="R123" s="8"/>
      <c r="S123" s="9">
        <f t="shared" si="103"/>
        <v>0.78067483057184472</v>
      </c>
      <c r="T123" s="165">
        <f t="shared" si="76"/>
        <v>1</v>
      </c>
      <c r="U123" s="163">
        <f t="shared" si="77"/>
        <v>0.78067483057184472</v>
      </c>
      <c r="V123" s="8">
        <f t="shared" si="104"/>
        <v>0.16856098975179301</v>
      </c>
      <c r="X123" s="8">
        <f t="shared" si="105"/>
        <v>12252.153943223251</v>
      </c>
      <c r="Z123" s="2">
        <f t="shared" si="78"/>
        <v>0</v>
      </c>
      <c r="AA123" s="4">
        <f t="shared" si="79"/>
        <v>41897.74</v>
      </c>
      <c r="AB123" s="46">
        <f t="shared" si="80"/>
        <v>0</v>
      </c>
      <c r="AC123" s="4">
        <f t="shared" si="81"/>
        <v>17.87593872033645</v>
      </c>
      <c r="AD123" s="2">
        <f t="shared" si="82"/>
        <v>5.0850504812539018E-7</v>
      </c>
      <c r="AE123" s="51">
        <f t="shared" si="106"/>
        <v>5.085050481253902E-3</v>
      </c>
      <c r="AF123" s="10">
        <f t="shared" si="111"/>
        <v>1E-4</v>
      </c>
      <c r="AG123" s="10">
        <f t="shared" si="112"/>
        <v>1E-4</v>
      </c>
      <c r="AH123" s="8">
        <f t="shared" si="107"/>
        <v>18.759496771950403</v>
      </c>
      <c r="AI123" s="10">
        <f t="shared" si="113"/>
        <v>2.6188587950116471E-2</v>
      </c>
      <c r="AJ123" s="10">
        <f t="shared" si="91"/>
        <v>2.6955301179143909E-2</v>
      </c>
      <c r="AK123" s="10">
        <f t="shared" si="72"/>
        <v>2.531341466263104E-2</v>
      </c>
      <c r="AL123" s="162">
        <f t="shared" si="86"/>
        <v>2.6134357920887474E-2</v>
      </c>
      <c r="AM123" s="178">
        <f t="shared" si="87"/>
        <v>0</v>
      </c>
      <c r="AQ123" s="1">
        <f t="shared" si="108"/>
        <v>1E-4</v>
      </c>
      <c r="AR123" s="1">
        <f t="shared" si="109"/>
        <v>0</v>
      </c>
      <c r="AS123" s="1">
        <f t="shared" si="110"/>
        <v>0</v>
      </c>
      <c r="AT123" s="1">
        <f t="shared" si="88"/>
        <v>18.075938720336449</v>
      </c>
      <c r="AU123" s="1">
        <f t="shared" si="89"/>
        <v>41897.74</v>
      </c>
      <c r="AV123" s="8">
        <f t="shared" si="90"/>
        <v>17.87593872033645</v>
      </c>
    </row>
    <row r="124" spans="1:48" ht="15" customHeight="1">
      <c r="A124" s="168">
        <v>45801.39</v>
      </c>
      <c r="B124" s="98">
        <v>18.075938720336449</v>
      </c>
      <c r="C124" s="171">
        <v>1</v>
      </c>
      <c r="D124" s="8">
        <f t="shared" si="93"/>
        <v>17.87593872033645</v>
      </c>
      <c r="E124" s="8">
        <f t="shared" si="94"/>
        <v>12.741030914893717</v>
      </c>
      <c r="F124" s="8">
        <f t="shared" si="95"/>
        <v>5.1349078054427331</v>
      </c>
      <c r="G124" s="8">
        <f t="shared" si="96"/>
        <v>5.0999796297750803</v>
      </c>
      <c r="H124" s="8"/>
      <c r="I124" s="8">
        <f t="shared" si="97"/>
        <v>0</v>
      </c>
      <c r="J124" s="8">
        <f t="shared" si="98"/>
        <v>17.841010544668798</v>
      </c>
      <c r="K124" s="8">
        <f t="shared" si="63"/>
        <v>0</v>
      </c>
      <c r="L124" s="8"/>
      <c r="M124" s="8">
        <f t="shared" si="99"/>
        <v>0.94391838380384352</v>
      </c>
      <c r="N124" s="8">
        <f t="shared" si="100"/>
        <v>0.94391838380384352</v>
      </c>
      <c r="O124" s="8">
        <f t="shared" si="101"/>
        <v>18.784928928472642</v>
      </c>
      <c r="P124" s="8"/>
      <c r="Q124" s="8">
        <f t="shared" si="102"/>
        <v>-0.90899020813619202</v>
      </c>
      <c r="R124" s="8"/>
      <c r="S124" s="9">
        <f t="shared" si="103"/>
        <v>0.82626319848747765</v>
      </c>
      <c r="T124" s="165">
        <f t="shared" si="76"/>
        <v>1</v>
      </c>
      <c r="U124" s="163">
        <f t="shared" si="77"/>
        <v>0.82626319848747765</v>
      </c>
      <c r="V124" s="8">
        <f t="shared" si="104"/>
        <v>0.16856098975179301</v>
      </c>
      <c r="X124" s="8">
        <f t="shared" si="105"/>
        <v>13393.698111010428</v>
      </c>
      <c r="Z124" s="2">
        <f t="shared" si="78"/>
        <v>0</v>
      </c>
      <c r="AA124" s="4">
        <f t="shared" si="79"/>
        <v>45801.39</v>
      </c>
      <c r="AB124" s="46">
        <f t="shared" si="80"/>
        <v>0</v>
      </c>
      <c r="AC124" s="4">
        <f t="shared" si="81"/>
        <v>17.87593872033645</v>
      </c>
      <c r="AD124" s="2">
        <f t="shared" si="82"/>
        <v>4.6516519029324402E-7</v>
      </c>
      <c r="AE124" s="51">
        <f t="shared" si="106"/>
        <v>4.6516519029324403E-3</v>
      </c>
      <c r="AF124" s="10">
        <f t="shared" si="111"/>
        <v>1E-4</v>
      </c>
      <c r="AG124" s="10">
        <f t="shared" si="112"/>
        <v>1E-4</v>
      </c>
      <c r="AH124" s="8">
        <f t="shared" si="107"/>
        <v>18.784928928472642</v>
      </c>
      <c r="AI124" s="10">
        <f t="shared" si="113"/>
        <v>2.5432156522239069E-2</v>
      </c>
      <c r="AJ124" s="10">
        <f t="shared" si="91"/>
        <v>2.6448099573093131E-2</v>
      </c>
      <c r="AK124" s="10">
        <f t="shared" si="72"/>
        <v>2.4847017145850359E-2</v>
      </c>
      <c r="AL124" s="162">
        <f t="shared" si="86"/>
        <v>2.5647558359471745E-2</v>
      </c>
      <c r="AM124" s="178">
        <f t="shared" si="87"/>
        <v>0</v>
      </c>
      <c r="AQ124" s="1">
        <f t="shared" si="108"/>
        <v>1E-4</v>
      </c>
      <c r="AR124" s="1">
        <f t="shared" si="109"/>
        <v>0</v>
      </c>
      <c r="AS124" s="1">
        <f t="shared" si="110"/>
        <v>0</v>
      </c>
      <c r="AT124" s="1">
        <f t="shared" si="88"/>
        <v>18.075938720336449</v>
      </c>
      <c r="AU124" s="1">
        <f t="shared" si="89"/>
        <v>45801.39</v>
      </c>
      <c r="AV124" s="8">
        <f t="shared" si="90"/>
        <v>17.87593872033645</v>
      </c>
    </row>
    <row r="125" spans="1:48" ht="15" customHeight="1">
      <c r="A125" s="168">
        <v>50095.74</v>
      </c>
      <c r="B125" s="98">
        <v>18.075938720336449</v>
      </c>
      <c r="C125" s="171">
        <v>1</v>
      </c>
      <c r="D125" s="8">
        <f t="shared" si="93"/>
        <v>17.87593872033645</v>
      </c>
      <c r="E125" s="8">
        <f t="shared" si="94"/>
        <v>12.758693812361209</v>
      </c>
      <c r="F125" s="8">
        <f t="shared" si="95"/>
        <v>5.1172449079752411</v>
      </c>
      <c r="G125" s="8">
        <f t="shared" si="96"/>
        <v>5.1061745950316002</v>
      </c>
      <c r="H125" s="8"/>
      <c r="I125" s="8">
        <f t="shared" si="97"/>
        <v>0</v>
      </c>
      <c r="J125" s="8">
        <f t="shared" si="98"/>
        <v>17.864868407392809</v>
      </c>
      <c r="K125" s="8">
        <f t="shared" si="63"/>
        <v>0</v>
      </c>
      <c r="L125" s="8"/>
      <c r="M125" s="8">
        <f t="shared" si="99"/>
        <v>0.94511686925026417</v>
      </c>
      <c r="N125" s="8">
        <f t="shared" si="100"/>
        <v>0.94511686925026417</v>
      </c>
      <c r="O125" s="8">
        <f t="shared" si="101"/>
        <v>18.809985276643072</v>
      </c>
      <c r="P125" s="8"/>
      <c r="Q125" s="8">
        <f t="shared" si="102"/>
        <v>-0.93404655630662248</v>
      </c>
      <c r="R125" s="8"/>
      <c r="S125" s="9">
        <f t="shared" si="103"/>
        <v>0.87244296934826049</v>
      </c>
      <c r="T125" s="165">
        <f t="shared" si="76"/>
        <v>1</v>
      </c>
      <c r="U125" s="163">
        <f t="shared" si="77"/>
        <v>0.87244296934826049</v>
      </c>
      <c r="V125" s="8">
        <f t="shared" si="104"/>
        <v>0.16856098975179301</v>
      </c>
      <c r="X125" s="8">
        <f t="shared" si="105"/>
        <v>14649.49465960901</v>
      </c>
      <c r="Z125" s="2">
        <f t="shared" si="78"/>
        <v>0</v>
      </c>
      <c r="AA125" s="4">
        <f t="shared" si="79"/>
        <v>50095.74</v>
      </c>
      <c r="AB125" s="46">
        <f t="shared" si="80"/>
        <v>0</v>
      </c>
      <c r="AC125" s="4">
        <f t="shared" si="81"/>
        <v>17.87593872033645</v>
      </c>
      <c r="AD125" s="2">
        <f t="shared" si="82"/>
        <v>4.2528990079885205E-7</v>
      </c>
      <c r="AE125" s="51">
        <f t="shared" si="106"/>
        <v>4.2528990079885205E-3</v>
      </c>
      <c r="AF125" s="10">
        <f t="shared" si="111"/>
        <v>1E-4</v>
      </c>
      <c r="AG125" s="10">
        <f t="shared" si="112"/>
        <v>1E-4</v>
      </c>
      <c r="AH125" s="8">
        <f t="shared" si="107"/>
        <v>18.809985276643072</v>
      </c>
      <c r="AI125" s="10">
        <f t="shared" si="113"/>
        <v>2.5056348170430454E-2</v>
      </c>
      <c r="AJ125" s="10">
        <f t="shared" si="91"/>
        <v>2.5902372285939279E-2</v>
      </c>
      <c r="AK125" s="10">
        <f t="shared" si="72"/>
        <v>2.4651970687054121E-2</v>
      </c>
      <c r="AL125" s="162">
        <f t="shared" si="86"/>
        <v>2.5277171486496698E-2</v>
      </c>
      <c r="AM125" s="178">
        <f t="shared" si="87"/>
        <v>0</v>
      </c>
      <c r="AQ125" s="1">
        <f t="shared" si="108"/>
        <v>1E-4</v>
      </c>
      <c r="AR125" s="1">
        <f t="shared" si="109"/>
        <v>0</v>
      </c>
      <c r="AS125" s="1">
        <f t="shared" si="110"/>
        <v>0</v>
      </c>
      <c r="AT125" s="1">
        <f t="shared" si="88"/>
        <v>18.075938720336449</v>
      </c>
      <c r="AU125" s="1">
        <f t="shared" si="89"/>
        <v>50095.74</v>
      </c>
      <c r="AV125" s="8">
        <f t="shared" si="90"/>
        <v>17.87593872033645</v>
      </c>
    </row>
    <row r="126" spans="1:48" ht="15" customHeight="1">
      <c r="A126" s="168">
        <v>54799.33</v>
      </c>
      <c r="B126" s="98">
        <v>18.075938720336449</v>
      </c>
      <c r="C126" s="171">
        <v>1</v>
      </c>
      <c r="D126" s="8">
        <f t="shared" si="93"/>
        <v>17.87593872033645</v>
      </c>
      <c r="E126" s="8">
        <f t="shared" si="94"/>
        <v>12.776106470813206</v>
      </c>
      <c r="F126" s="8">
        <f t="shared" si="95"/>
        <v>5.099832249523244</v>
      </c>
      <c r="G126" s="8">
        <f t="shared" si="96"/>
        <v>5.1121886452711429</v>
      </c>
      <c r="H126" s="8"/>
      <c r="I126" s="8">
        <f t="shared" si="97"/>
        <v>0</v>
      </c>
      <c r="J126" s="8">
        <f t="shared" si="98"/>
        <v>17.88829511608435</v>
      </c>
      <c r="K126" s="8">
        <f t="shared" si="63"/>
        <v>0</v>
      </c>
      <c r="L126" s="8"/>
      <c r="M126" s="8">
        <f t="shared" si="99"/>
        <v>0.94626672656646005</v>
      </c>
      <c r="N126" s="8">
        <f t="shared" si="100"/>
        <v>0.94626672656646005</v>
      </c>
      <c r="O126" s="8">
        <f t="shared" si="101"/>
        <v>18.83456184265081</v>
      </c>
      <c r="P126" s="8"/>
      <c r="Q126" s="8">
        <f t="shared" si="102"/>
        <v>-0.95862312231436064</v>
      </c>
      <c r="R126" s="8"/>
      <c r="S126" s="9">
        <f t="shared" si="103"/>
        <v>0.91895829063573364</v>
      </c>
      <c r="T126" s="165">
        <f t="shared" si="76"/>
        <v>1</v>
      </c>
      <c r="U126" s="163">
        <f t="shared" si="77"/>
        <v>0.91895829063573364</v>
      </c>
      <c r="V126" s="8">
        <f t="shared" si="104"/>
        <v>0.16856098975179301</v>
      </c>
      <c r="X126" s="8">
        <f t="shared" si="105"/>
        <v>16024.965240260986</v>
      </c>
      <c r="Z126" s="2">
        <f t="shared" si="78"/>
        <v>0</v>
      </c>
      <c r="AA126" s="4">
        <f t="shared" si="79"/>
        <v>54799.33</v>
      </c>
      <c r="AB126" s="46">
        <f t="shared" si="80"/>
        <v>0</v>
      </c>
      <c r="AC126" s="4">
        <f t="shared" si="81"/>
        <v>17.87593872033645</v>
      </c>
      <c r="AD126" s="2">
        <f t="shared" si="82"/>
        <v>3.8878599966541714E-7</v>
      </c>
      <c r="AE126" s="51">
        <f t="shared" si="106"/>
        <v>3.8878599966541715E-3</v>
      </c>
      <c r="AF126" s="10">
        <f t="shared" si="111"/>
        <v>1E-4</v>
      </c>
      <c r="AG126" s="10">
        <f t="shared" si="112"/>
        <v>1E-4</v>
      </c>
      <c r="AH126" s="8">
        <f t="shared" si="107"/>
        <v>18.83456184265081</v>
      </c>
      <c r="AI126" s="10">
        <f t="shared" si="113"/>
        <v>2.4576566007738165E-2</v>
      </c>
      <c r="AJ126" s="10">
        <f t="shared" si="91"/>
        <v>2.531341466263104E-2</v>
      </c>
      <c r="AK126" s="10">
        <f t="shared" si="72"/>
        <v>2.4449781945365956E-2</v>
      </c>
      <c r="AL126" s="162">
        <f t="shared" si="86"/>
        <v>2.4881598303998498E-2</v>
      </c>
      <c r="AM126" s="178">
        <f t="shared" si="87"/>
        <v>0</v>
      </c>
      <c r="AQ126" s="1">
        <f t="shared" si="108"/>
        <v>1E-4</v>
      </c>
      <c r="AR126" s="1">
        <f t="shared" si="109"/>
        <v>0</v>
      </c>
      <c r="AS126" s="1">
        <f t="shared" si="110"/>
        <v>0</v>
      </c>
      <c r="AT126" s="1">
        <f t="shared" si="88"/>
        <v>18.075938720336449</v>
      </c>
      <c r="AU126" s="1">
        <f t="shared" si="89"/>
        <v>54799.33</v>
      </c>
      <c r="AV126" s="8">
        <f t="shared" si="90"/>
        <v>17.87593872033645</v>
      </c>
    </row>
    <row r="127" spans="1:48" ht="15" customHeight="1">
      <c r="A127" s="168">
        <v>59999.26</v>
      </c>
      <c r="B127" s="98">
        <v>18.075938720336449</v>
      </c>
      <c r="C127" s="171">
        <v>1</v>
      </c>
      <c r="D127" s="8">
        <f t="shared" si="93"/>
        <v>17.87593872033645</v>
      </c>
      <c r="E127" s="8">
        <f t="shared" si="94"/>
        <v>12.793424203629435</v>
      </c>
      <c r="F127" s="8">
        <f t="shared" si="95"/>
        <v>5.0825145167070147</v>
      </c>
      <c r="G127" s="8">
        <f t="shared" si="96"/>
        <v>5.118080256863359</v>
      </c>
      <c r="H127" s="8"/>
      <c r="I127" s="8">
        <f t="shared" si="97"/>
        <v>0</v>
      </c>
      <c r="J127" s="8">
        <f t="shared" si="98"/>
        <v>17.911504460492793</v>
      </c>
      <c r="K127" s="8">
        <f t="shared" si="63"/>
        <v>0</v>
      </c>
      <c r="L127" s="8"/>
      <c r="M127" s="8">
        <f t="shared" si="99"/>
        <v>0.94738038004101177</v>
      </c>
      <c r="N127" s="8">
        <f t="shared" si="100"/>
        <v>0.94738038004101177</v>
      </c>
      <c r="O127" s="8">
        <f t="shared" si="101"/>
        <v>18.858884840533804</v>
      </c>
      <c r="P127" s="8"/>
      <c r="Q127" s="8">
        <f t="shared" si="102"/>
        <v>-0.98294612019735439</v>
      </c>
      <c r="R127" s="8"/>
      <c r="S127" s="9">
        <f t="shared" si="103"/>
        <v>0.96618307521103186</v>
      </c>
      <c r="T127" s="165">
        <f t="shared" si="76"/>
        <v>1</v>
      </c>
      <c r="U127" s="163">
        <f t="shared" si="77"/>
        <v>0.96618307521103186</v>
      </c>
      <c r="V127" s="8">
        <f t="shared" si="104"/>
        <v>0.16856098975179301</v>
      </c>
      <c r="X127" s="8">
        <f t="shared" si="105"/>
        <v>17545.580501465643</v>
      </c>
      <c r="Z127" s="2">
        <f t="shared" si="78"/>
        <v>0</v>
      </c>
      <c r="AA127" s="4">
        <f t="shared" si="79"/>
        <v>59999.26</v>
      </c>
      <c r="AB127" s="46">
        <f t="shared" si="80"/>
        <v>0</v>
      </c>
      <c r="AC127" s="4">
        <f t="shared" si="81"/>
        <v>17.87593872033645</v>
      </c>
      <c r="AD127" s="2">
        <f t="shared" si="82"/>
        <v>3.5509125104284761E-7</v>
      </c>
      <c r="AE127" s="51">
        <f t="shared" si="106"/>
        <v>3.5509125104284762E-3</v>
      </c>
      <c r="AF127" s="10">
        <f t="shared" si="111"/>
        <v>1E-4</v>
      </c>
      <c r="AG127" s="10">
        <f t="shared" si="112"/>
        <v>1E-4</v>
      </c>
      <c r="AH127" s="8">
        <f t="shared" si="107"/>
        <v>18.858884840533804</v>
      </c>
      <c r="AI127" s="10">
        <f t="shared" si="113"/>
        <v>2.4322997882993747E-2</v>
      </c>
      <c r="AJ127" s="10">
        <f t="shared" si="91"/>
        <v>2.4847017145850359E-2</v>
      </c>
      <c r="AK127" s="10">
        <f t="shared" si="72"/>
        <v>2.4322997882993747E-2</v>
      </c>
      <c r="AL127" s="162">
        <f t="shared" si="86"/>
        <v>2.4585007514422053E-2</v>
      </c>
      <c r="AM127" s="178">
        <f t="shared" si="87"/>
        <v>0</v>
      </c>
      <c r="AQ127" s="1">
        <f t="shared" si="108"/>
        <v>1E-4</v>
      </c>
      <c r="AR127" s="1">
        <f t="shared" si="109"/>
        <v>0</v>
      </c>
      <c r="AS127" s="1">
        <f t="shared" si="110"/>
        <v>0</v>
      </c>
      <c r="AT127" s="1">
        <f t="shared" si="88"/>
        <v>18.075938720336449</v>
      </c>
      <c r="AU127" s="1">
        <f t="shared" si="89"/>
        <v>59999.26</v>
      </c>
      <c r="AV127" s="8">
        <f t="shared" si="90"/>
        <v>17.87593872033645</v>
      </c>
    </row>
    <row r="128" spans="1:48" ht="17.399999999999999">
      <c r="A128" s="168"/>
      <c r="B128" s="98"/>
      <c r="C128" s="171">
        <v>1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165">
        <f t="shared" si="76"/>
        <v>1</v>
      </c>
      <c r="V128" s="8"/>
      <c r="X128" s="8"/>
      <c r="AB128" s="46"/>
      <c r="AD128" s="2"/>
      <c r="AE128" s="51"/>
      <c r="AF128" s="10"/>
      <c r="AG128" s="10"/>
      <c r="AH128" s="8"/>
      <c r="AI128" s="10"/>
      <c r="AJ128" s="10"/>
      <c r="AK128" s="10"/>
      <c r="AL128" s="162"/>
      <c r="AM128" s="178">
        <f t="shared" si="87"/>
        <v>0</v>
      </c>
      <c r="AQ128" s="1">
        <f t="shared" si="108"/>
        <v>0</v>
      </c>
      <c r="AR128" s="1">
        <f t="shared" si="109"/>
        <v>0</v>
      </c>
      <c r="AS128" s="1">
        <f t="shared" si="110"/>
        <v>0</v>
      </c>
      <c r="AT128" s="1">
        <f t="shared" si="88"/>
        <v>0</v>
      </c>
      <c r="AU128" s="1">
        <f t="shared" si="89"/>
        <v>0</v>
      </c>
      <c r="AV128" s="8">
        <f t="shared" si="90"/>
        <v>0</v>
      </c>
    </row>
    <row r="129" spans="1:48" ht="17.399999999999999">
      <c r="A129" s="168"/>
      <c r="B129" s="98"/>
      <c r="C129" s="171">
        <v>1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165">
        <f t="shared" si="76"/>
        <v>1</v>
      </c>
      <c r="V129" s="8"/>
      <c r="X129" s="8"/>
      <c r="AB129" s="46"/>
      <c r="AD129" s="2"/>
      <c r="AE129" s="51"/>
      <c r="AF129" s="10"/>
      <c r="AG129" s="10"/>
      <c r="AH129" s="8"/>
      <c r="AI129" s="10"/>
      <c r="AJ129" s="10"/>
      <c r="AK129" s="10"/>
      <c r="AL129" s="162"/>
      <c r="AM129" s="178">
        <f t="shared" si="87"/>
        <v>0</v>
      </c>
      <c r="AQ129" s="1">
        <f t="shared" si="108"/>
        <v>0</v>
      </c>
      <c r="AR129" s="1">
        <f t="shared" si="109"/>
        <v>0</v>
      </c>
      <c r="AS129" s="1">
        <f t="shared" si="110"/>
        <v>0</v>
      </c>
      <c r="AT129" s="1">
        <f t="shared" si="88"/>
        <v>0</v>
      </c>
      <c r="AU129" s="1">
        <f t="shared" si="89"/>
        <v>0</v>
      </c>
      <c r="AV129" s="8">
        <f t="shared" si="90"/>
        <v>0</v>
      </c>
    </row>
    <row r="130" spans="1:48" ht="17.399999999999999">
      <c r="A130" s="168"/>
      <c r="B130" s="98"/>
      <c r="C130" s="171">
        <v>1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165">
        <f t="shared" si="76"/>
        <v>1</v>
      </c>
      <c r="V130" s="8"/>
      <c r="X130" s="8"/>
      <c r="AB130" s="46"/>
      <c r="AD130" s="2"/>
      <c r="AE130" s="51"/>
      <c r="AF130" s="10"/>
      <c r="AG130" s="10"/>
      <c r="AH130" s="8"/>
      <c r="AI130" s="10"/>
      <c r="AJ130" s="10"/>
      <c r="AK130" s="10"/>
      <c r="AL130" s="162"/>
      <c r="AM130" s="178">
        <f t="shared" si="87"/>
        <v>0</v>
      </c>
      <c r="AQ130" s="1">
        <f t="shared" si="108"/>
        <v>0</v>
      </c>
      <c r="AR130" s="1">
        <f t="shared" si="109"/>
        <v>0</v>
      </c>
      <c r="AS130" s="1">
        <f t="shared" si="110"/>
        <v>0</v>
      </c>
      <c r="AT130" s="1">
        <f t="shared" si="88"/>
        <v>0</v>
      </c>
      <c r="AU130" s="1">
        <f t="shared" si="89"/>
        <v>0</v>
      </c>
      <c r="AV130" s="8">
        <f t="shared" si="90"/>
        <v>0</v>
      </c>
    </row>
    <row r="131" spans="1:48" ht="17.399999999999999">
      <c r="A131" s="168"/>
      <c r="B131" s="98"/>
      <c r="C131" s="171">
        <v>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165">
        <f t="shared" si="76"/>
        <v>1</v>
      </c>
      <c r="V131" s="8"/>
      <c r="X131" s="8"/>
      <c r="AB131" s="46"/>
      <c r="AD131" s="2"/>
      <c r="AE131" s="51"/>
      <c r="AF131" s="10"/>
      <c r="AG131" s="10"/>
      <c r="AH131" s="8"/>
      <c r="AI131" s="10"/>
      <c r="AJ131" s="10"/>
      <c r="AK131" s="10"/>
      <c r="AL131" s="162"/>
      <c r="AM131" s="178">
        <f t="shared" si="87"/>
        <v>0</v>
      </c>
      <c r="AQ131" s="1">
        <f t="shared" si="108"/>
        <v>0</v>
      </c>
      <c r="AR131" s="1">
        <f t="shared" si="109"/>
        <v>0</v>
      </c>
      <c r="AS131" s="1">
        <f t="shared" si="110"/>
        <v>0</v>
      </c>
      <c r="AT131" s="1">
        <f t="shared" si="88"/>
        <v>0</v>
      </c>
      <c r="AU131" s="1">
        <f t="shared" si="89"/>
        <v>0</v>
      </c>
      <c r="AV131" s="8">
        <f t="shared" si="90"/>
        <v>0</v>
      </c>
    </row>
    <row r="132" spans="1:48" ht="17.399999999999999">
      <c r="A132" s="168"/>
      <c r="B132" s="98"/>
      <c r="C132" s="171">
        <v>1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165">
        <f t="shared" si="76"/>
        <v>1</v>
      </c>
      <c r="V132" s="8"/>
      <c r="X132" s="8"/>
      <c r="AB132" s="46"/>
      <c r="AD132" s="2"/>
      <c r="AE132" s="51"/>
      <c r="AF132" s="10"/>
      <c r="AG132" s="10"/>
      <c r="AH132" s="8"/>
      <c r="AI132" s="10"/>
      <c r="AJ132" s="10"/>
      <c r="AK132" s="10"/>
      <c r="AL132" s="162"/>
      <c r="AM132" s="178">
        <f t="shared" si="87"/>
        <v>0</v>
      </c>
      <c r="AQ132" s="1">
        <f t="shared" si="108"/>
        <v>0</v>
      </c>
      <c r="AR132" s="1">
        <f t="shared" si="109"/>
        <v>0</v>
      </c>
      <c r="AS132" s="1">
        <f t="shared" si="110"/>
        <v>0</v>
      </c>
      <c r="AT132" s="1">
        <f t="shared" si="88"/>
        <v>0</v>
      </c>
      <c r="AU132" s="1">
        <f t="shared" si="89"/>
        <v>0</v>
      </c>
      <c r="AV132" s="8">
        <f t="shared" si="90"/>
        <v>0</v>
      </c>
    </row>
    <row r="133" spans="1:48" ht="17.399999999999999">
      <c r="A133" s="168"/>
      <c r="B133" s="98"/>
      <c r="C133" s="171">
        <v>1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165">
        <f t="shared" si="76"/>
        <v>1</v>
      </c>
      <c r="V133" s="8"/>
      <c r="X133" s="8"/>
      <c r="AB133" s="46"/>
      <c r="AD133" s="2"/>
      <c r="AE133" s="51"/>
      <c r="AF133" s="10"/>
      <c r="AG133" s="10"/>
      <c r="AH133" s="8"/>
      <c r="AI133" s="10"/>
      <c r="AJ133" s="10"/>
      <c r="AK133" s="10"/>
      <c r="AL133" s="162"/>
      <c r="AM133" s="178">
        <f t="shared" si="87"/>
        <v>0</v>
      </c>
      <c r="AQ133" s="1">
        <f t="shared" si="108"/>
        <v>0</v>
      </c>
      <c r="AR133" s="1">
        <f t="shared" si="109"/>
        <v>0</v>
      </c>
      <c r="AS133" s="1">
        <f t="shared" si="110"/>
        <v>0</v>
      </c>
      <c r="AT133" s="1">
        <f t="shared" si="88"/>
        <v>0</v>
      </c>
      <c r="AU133" s="1">
        <f t="shared" si="89"/>
        <v>0</v>
      </c>
      <c r="AV133" s="8">
        <f t="shared" si="90"/>
        <v>0</v>
      </c>
    </row>
    <row r="134" spans="1:48" ht="17.399999999999999">
      <c r="A134" s="168"/>
      <c r="B134" s="98"/>
      <c r="C134" s="171">
        <v>1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165">
        <f t="shared" si="76"/>
        <v>1</v>
      </c>
      <c r="V134" s="8"/>
      <c r="X134" s="8"/>
      <c r="AB134" s="46"/>
      <c r="AD134" s="2"/>
      <c r="AE134" s="51"/>
      <c r="AF134" s="10"/>
      <c r="AG134" s="10"/>
      <c r="AH134" s="8"/>
      <c r="AI134" s="10"/>
      <c r="AJ134" s="10"/>
      <c r="AK134" s="10"/>
      <c r="AL134" s="162"/>
      <c r="AM134" s="178">
        <f t="shared" si="87"/>
        <v>0</v>
      </c>
      <c r="AQ134" s="1">
        <f t="shared" si="108"/>
        <v>0</v>
      </c>
      <c r="AR134" s="1">
        <f t="shared" si="109"/>
        <v>0</v>
      </c>
      <c r="AS134" s="1">
        <f t="shared" si="110"/>
        <v>0</v>
      </c>
      <c r="AT134" s="1">
        <f t="shared" si="88"/>
        <v>0</v>
      </c>
      <c r="AU134" s="1">
        <f t="shared" si="89"/>
        <v>0</v>
      </c>
      <c r="AV134" s="8">
        <f t="shared" si="90"/>
        <v>0</v>
      </c>
    </row>
    <row r="135" spans="1:48" ht="17.399999999999999">
      <c r="A135" s="168"/>
      <c r="B135" s="98"/>
      <c r="C135" s="171">
        <v>1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165">
        <f t="shared" si="76"/>
        <v>1</v>
      </c>
      <c r="V135" s="8"/>
      <c r="X135" s="8"/>
      <c r="AB135" s="46"/>
      <c r="AD135" s="2"/>
      <c r="AE135" s="51"/>
      <c r="AF135" s="10"/>
      <c r="AG135" s="10"/>
      <c r="AH135" s="8"/>
      <c r="AI135" s="10"/>
      <c r="AJ135" s="10"/>
      <c r="AK135" s="10"/>
      <c r="AL135" s="162"/>
      <c r="AM135" s="178">
        <f t="shared" si="87"/>
        <v>0</v>
      </c>
      <c r="AQ135" s="1">
        <f t="shared" si="108"/>
        <v>0</v>
      </c>
      <c r="AR135" s="1">
        <f t="shared" si="109"/>
        <v>0</v>
      </c>
      <c r="AS135" s="1">
        <f t="shared" si="110"/>
        <v>0</v>
      </c>
      <c r="AT135" s="1">
        <f t="shared" si="88"/>
        <v>0</v>
      </c>
      <c r="AU135" s="1">
        <f t="shared" si="89"/>
        <v>0</v>
      </c>
      <c r="AV135" s="8">
        <f t="shared" si="90"/>
        <v>0</v>
      </c>
    </row>
    <row r="136" spans="1:48" ht="17.399999999999999">
      <c r="A136" s="168"/>
      <c r="B136" s="98"/>
      <c r="C136" s="171">
        <v>1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165">
        <f t="shared" si="76"/>
        <v>1</v>
      </c>
      <c r="V136" s="8"/>
      <c r="X136" s="8"/>
      <c r="AB136" s="46"/>
      <c r="AD136" s="2"/>
      <c r="AE136" s="51"/>
      <c r="AF136" s="10"/>
      <c r="AG136" s="10"/>
      <c r="AH136" s="8"/>
      <c r="AI136" s="10"/>
      <c r="AJ136" s="10"/>
      <c r="AK136" s="10"/>
      <c r="AL136" s="162"/>
      <c r="AM136" s="178">
        <f t="shared" si="87"/>
        <v>0</v>
      </c>
      <c r="AQ136" s="1">
        <f t="shared" si="108"/>
        <v>0</v>
      </c>
      <c r="AR136" s="1">
        <f t="shared" si="109"/>
        <v>0</v>
      </c>
      <c r="AS136" s="1">
        <f t="shared" si="110"/>
        <v>0</v>
      </c>
      <c r="AT136" s="1">
        <f t="shared" si="88"/>
        <v>0</v>
      </c>
      <c r="AU136" s="1">
        <f t="shared" si="89"/>
        <v>0</v>
      </c>
      <c r="AV136" s="8">
        <f t="shared" si="90"/>
        <v>0</v>
      </c>
    </row>
    <row r="137" spans="1:48" ht="17.399999999999999">
      <c r="A137" s="168"/>
      <c r="B137" s="98"/>
      <c r="C137" s="171">
        <v>1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165">
        <f t="shared" si="76"/>
        <v>1</v>
      </c>
      <c r="V137" s="8"/>
      <c r="X137" s="8"/>
      <c r="AB137" s="46"/>
      <c r="AD137" s="2"/>
      <c r="AE137" s="51"/>
      <c r="AF137" s="10"/>
      <c r="AG137" s="10"/>
      <c r="AH137" s="8"/>
      <c r="AI137" s="10"/>
      <c r="AJ137" s="10"/>
      <c r="AK137" s="10"/>
      <c r="AL137" s="162"/>
      <c r="AM137" s="178">
        <f t="shared" si="87"/>
        <v>0</v>
      </c>
      <c r="AQ137" s="1">
        <f t="shared" si="108"/>
        <v>0</v>
      </c>
      <c r="AR137" s="1">
        <f t="shared" si="109"/>
        <v>0</v>
      </c>
      <c r="AS137" s="1">
        <f t="shared" si="110"/>
        <v>0</v>
      </c>
      <c r="AT137" s="1">
        <f t="shared" si="88"/>
        <v>0</v>
      </c>
      <c r="AU137" s="1">
        <f t="shared" si="89"/>
        <v>0</v>
      </c>
      <c r="AV137" s="8">
        <f t="shared" si="90"/>
        <v>0</v>
      </c>
    </row>
    <row r="138" spans="1:48" ht="17.399999999999999">
      <c r="A138" s="168"/>
      <c r="B138" s="98"/>
      <c r="C138" s="171">
        <v>1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165">
        <f t="shared" si="76"/>
        <v>1</v>
      </c>
      <c r="V138" s="8"/>
      <c r="X138" s="8"/>
      <c r="AB138" s="46"/>
      <c r="AD138" s="2"/>
      <c r="AE138" s="51"/>
      <c r="AF138" s="10"/>
      <c r="AG138" s="10"/>
      <c r="AH138" s="8"/>
      <c r="AI138" s="10"/>
      <c r="AJ138" s="10"/>
      <c r="AK138" s="10"/>
      <c r="AL138" s="162"/>
      <c r="AM138" s="178">
        <f t="shared" si="87"/>
        <v>0</v>
      </c>
      <c r="AQ138" s="1">
        <f t="shared" ref="AQ138:AQ169" si="114" xml:space="preserve"> IF(C138=1,AG138,0.005)</f>
        <v>0</v>
      </c>
      <c r="AR138" s="1">
        <f t="shared" ref="AR138:AR169" si="115">IF(C138=1,0,1)</f>
        <v>0</v>
      </c>
      <c r="AS138" s="1">
        <f t="shared" ref="AS138:AS169" si="116">(AG138*AR138)</f>
        <v>0</v>
      </c>
      <c r="AT138" s="1">
        <f t="shared" si="88"/>
        <v>0</v>
      </c>
      <c r="AU138" s="1">
        <f t="shared" si="89"/>
        <v>0</v>
      </c>
      <c r="AV138" s="8">
        <f t="shared" si="90"/>
        <v>0</v>
      </c>
    </row>
    <row r="139" spans="1:48" ht="17.399999999999999">
      <c r="A139" s="168"/>
      <c r="B139" s="98"/>
      <c r="C139" s="171">
        <v>1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165">
        <f t="shared" ref="T139:T202" si="117">C139</f>
        <v>1</v>
      </c>
      <c r="V139" s="8"/>
      <c r="X139" s="8"/>
      <c r="AB139" s="46"/>
      <c r="AD139" s="2"/>
      <c r="AE139" s="51"/>
      <c r="AF139" s="10"/>
      <c r="AG139" s="10"/>
      <c r="AH139" s="8"/>
      <c r="AI139" s="10"/>
      <c r="AJ139" s="10"/>
      <c r="AK139" s="10"/>
      <c r="AL139" s="162"/>
      <c r="AM139" s="178">
        <f t="shared" ref="AM139:AM202" si="118">IF(AQ139=0.0001,0,((AL139-AQ139)^2)^0.5)</f>
        <v>0</v>
      </c>
      <c r="AQ139" s="1">
        <f t="shared" si="114"/>
        <v>0</v>
      </c>
      <c r="AR139" s="1">
        <f t="shared" si="115"/>
        <v>0</v>
      </c>
      <c r="AS139" s="1">
        <f t="shared" si="116"/>
        <v>0</v>
      </c>
      <c r="AT139" s="1">
        <f t="shared" ref="AT139:AT202" si="119">B139</f>
        <v>0</v>
      </c>
      <c r="AU139" s="1">
        <f t="shared" ref="AU139:AU202" si="120">A139</f>
        <v>0</v>
      </c>
      <c r="AV139" s="8">
        <f t="shared" ref="AV139:AV202" si="121">IF(C139=1,D139,0.01)</f>
        <v>0</v>
      </c>
    </row>
    <row r="140" spans="1:48" ht="17.399999999999999">
      <c r="A140" s="168"/>
      <c r="B140" s="98"/>
      <c r="C140" s="171">
        <v>1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165">
        <f t="shared" si="117"/>
        <v>1</v>
      </c>
      <c r="V140" s="8"/>
      <c r="X140" s="8"/>
      <c r="AB140" s="46"/>
      <c r="AD140" s="2"/>
      <c r="AE140" s="51"/>
      <c r="AF140" s="10"/>
      <c r="AG140" s="10"/>
      <c r="AH140" s="8"/>
      <c r="AI140" s="10"/>
      <c r="AJ140" s="10"/>
      <c r="AK140" s="10"/>
      <c r="AL140" s="162"/>
      <c r="AM140" s="178">
        <f t="shared" si="118"/>
        <v>0</v>
      </c>
      <c r="AQ140" s="1">
        <f t="shared" si="114"/>
        <v>0</v>
      </c>
      <c r="AR140" s="1">
        <f t="shared" si="115"/>
        <v>0</v>
      </c>
      <c r="AS140" s="1">
        <f t="shared" si="116"/>
        <v>0</v>
      </c>
      <c r="AT140" s="1">
        <f t="shared" si="119"/>
        <v>0</v>
      </c>
      <c r="AU140" s="1">
        <f t="shared" si="120"/>
        <v>0</v>
      </c>
      <c r="AV140" s="8">
        <f t="shared" si="121"/>
        <v>0</v>
      </c>
    </row>
    <row r="141" spans="1:48" ht="17.399999999999999">
      <c r="A141" s="168"/>
      <c r="B141" s="98"/>
      <c r="C141" s="171">
        <v>1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165">
        <f t="shared" si="117"/>
        <v>1</v>
      </c>
      <c r="V141" s="8"/>
      <c r="X141" s="8"/>
      <c r="AB141" s="46"/>
      <c r="AD141" s="2"/>
      <c r="AE141" s="51"/>
      <c r="AF141" s="10"/>
      <c r="AG141" s="10"/>
      <c r="AH141" s="8"/>
      <c r="AI141" s="10"/>
      <c r="AJ141" s="10"/>
      <c r="AK141" s="10"/>
      <c r="AL141" s="162"/>
      <c r="AM141" s="178">
        <f t="shared" si="118"/>
        <v>0</v>
      </c>
      <c r="AQ141" s="1">
        <f t="shared" si="114"/>
        <v>0</v>
      </c>
      <c r="AR141" s="1">
        <f t="shared" si="115"/>
        <v>0</v>
      </c>
      <c r="AS141" s="1">
        <f t="shared" si="116"/>
        <v>0</v>
      </c>
      <c r="AT141" s="1">
        <f t="shared" si="119"/>
        <v>0</v>
      </c>
      <c r="AU141" s="1">
        <f t="shared" si="120"/>
        <v>0</v>
      </c>
      <c r="AV141" s="8">
        <f t="shared" si="121"/>
        <v>0</v>
      </c>
    </row>
    <row r="142" spans="1:48" ht="17.399999999999999">
      <c r="A142" s="168"/>
      <c r="B142" s="98"/>
      <c r="C142" s="171">
        <v>1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165">
        <f t="shared" si="117"/>
        <v>1</v>
      </c>
      <c r="V142" s="8"/>
      <c r="X142" s="8"/>
      <c r="AB142" s="46"/>
      <c r="AD142" s="2"/>
      <c r="AE142" s="51"/>
      <c r="AF142" s="10"/>
      <c r="AG142" s="10"/>
      <c r="AH142" s="8"/>
      <c r="AI142" s="10"/>
      <c r="AJ142" s="10"/>
      <c r="AK142" s="10"/>
      <c r="AL142" s="162"/>
      <c r="AM142" s="178">
        <f t="shared" si="118"/>
        <v>0</v>
      </c>
      <c r="AQ142" s="1">
        <f t="shared" si="114"/>
        <v>0</v>
      </c>
      <c r="AR142" s="1">
        <f t="shared" si="115"/>
        <v>0</v>
      </c>
      <c r="AS142" s="1">
        <f t="shared" si="116"/>
        <v>0</v>
      </c>
      <c r="AT142" s="1">
        <f t="shared" si="119"/>
        <v>0</v>
      </c>
      <c r="AU142" s="1">
        <f t="shared" si="120"/>
        <v>0</v>
      </c>
      <c r="AV142" s="8">
        <f t="shared" si="121"/>
        <v>0</v>
      </c>
    </row>
    <row r="143" spans="1:48" ht="17.399999999999999">
      <c r="A143" s="168"/>
      <c r="B143" s="98"/>
      <c r="C143" s="171">
        <v>1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165">
        <f t="shared" si="117"/>
        <v>1</v>
      </c>
      <c r="V143" s="8"/>
      <c r="X143" s="8"/>
      <c r="AB143" s="46"/>
      <c r="AD143" s="2"/>
      <c r="AE143" s="51"/>
      <c r="AF143" s="10"/>
      <c r="AG143" s="10"/>
      <c r="AH143" s="8"/>
      <c r="AI143" s="10"/>
      <c r="AJ143" s="10"/>
      <c r="AK143" s="10"/>
      <c r="AL143" s="162"/>
      <c r="AM143" s="178">
        <f t="shared" si="118"/>
        <v>0</v>
      </c>
      <c r="AQ143" s="1">
        <f t="shared" si="114"/>
        <v>0</v>
      </c>
      <c r="AR143" s="1">
        <f t="shared" si="115"/>
        <v>0</v>
      </c>
      <c r="AS143" s="1">
        <f t="shared" si="116"/>
        <v>0</v>
      </c>
      <c r="AT143" s="1">
        <f t="shared" si="119"/>
        <v>0</v>
      </c>
      <c r="AU143" s="1">
        <f t="shared" si="120"/>
        <v>0</v>
      </c>
      <c r="AV143" s="8">
        <f t="shared" si="121"/>
        <v>0</v>
      </c>
    </row>
    <row r="144" spans="1:48" ht="17.399999999999999">
      <c r="A144" s="168"/>
      <c r="B144" s="98"/>
      <c r="C144" s="171">
        <v>1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165">
        <f t="shared" si="117"/>
        <v>1</v>
      </c>
      <c r="V144" s="8"/>
      <c r="X144" s="8"/>
      <c r="AB144" s="46"/>
      <c r="AD144" s="2"/>
      <c r="AE144" s="51"/>
      <c r="AF144" s="10"/>
      <c r="AG144" s="10"/>
      <c r="AH144" s="8"/>
      <c r="AI144" s="10"/>
      <c r="AJ144" s="10"/>
      <c r="AK144" s="10"/>
      <c r="AL144" s="162"/>
      <c r="AM144" s="178">
        <f t="shared" si="118"/>
        <v>0</v>
      </c>
      <c r="AQ144" s="1">
        <f t="shared" si="114"/>
        <v>0</v>
      </c>
      <c r="AR144" s="1">
        <f t="shared" si="115"/>
        <v>0</v>
      </c>
      <c r="AS144" s="1">
        <f t="shared" si="116"/>
        <v>0</v>
      </c>
      <c r="AT144" s="1">
        <f t="shared" si="119"/>
        <v>0</v>
      </c>
      <c r="AU144" s="1">
        <f t="shared" si="120"/>
        <v>0</v>
      </c>
      <c r="AV144" s="8">
        <f t="shared" si="121"/>
        <v>0</v>
      </c>
    </row>
    <row r="145" spans="1:48" ht="17.399999999999999">
      <c r="A145" s="168"/>
      <c r="B145" s="98"/>
      <c r="C145" s="171">
        <v>1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165">
        <f t="shared" si="117"/>
        <v>1</v>
      </c>
      <c r="V145" s="8"/>
      <c r="X145" s="8"/>
      <c r="AB145" s="46"/>
      <c r="AD145" s="2"/>
      <c r="AE145" s="51"/>
      <c r="AF145" s="10"/>
      <c r="AG145" s="10"/>
      <c r="AH145" s="8"/>
      <c r="AI145" s="10"/>
      <c r="AJ145" s="10"/>
      <c r="AK145" s="10"/>
      <c r="AL145" s="162"/>
      <c r="AM145" s="178">
        <f t="shared" si="118"/>
        <v>0</v>
      </c>
      <c r="AQ145" s="1">
        <f t="shared" si="114"/>
        <v>0</v>
      </c>
      <c r="AR145" s="1">
        <f t="shared" si="115"/>
        <v>0</v>
      </c>
      <c r="AS145" s="1">
        <f t="shared" si="116"/>
        <v>0</v>
      </c>
      <c r="AT145" s="1">
        <f t="shared" si="119"/>
        <v>0</v>
      </c>
      <c r="AU145" s="1">
        <f t="shared" si="120"/>
        <v>0</v>
      </c>
      <c r="AV145" s="8">
        <f t="shared" si="121"/>
        <v>0</v>
      </c>
    </row>
    <row r="146" spans="1:48" ht="17.399999999999999">
      <c r="A146" s="168"/>
      <c r="B146" s="98"/>
      <c r="C146" s="171">
        <v>1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165">
        <f t="shared" si="117"/>
        <v>1</v>
      </c>
      <c r="V146" s="8"/>
      <c r="X146" s="8"/>
      <c r="AB146" s="46"/>
      <c r="AD146" s="2"/>
      <c r="AE146" s="51"/>
      <c r="AF146" s="10"/>
      <c r="AG146" s="10"/>
      <c r="AH146" s="8"/>
      <c r="AI146" s="10"/>
      <c r="AJ146" s="10"/>
      <c r="AK146" s="10"/>
      <c r="AL146" s="162"/>
      <c r="AM146" s="178">
        <f t="shared" si="118"/>
        <v>0</v>
      </c>
      <c r="AQ146" s="1">
        <f t="shared" si="114"/>
        <v>0</v>
      </c>
      <c r="AR146" s="1">
        <f t="shared" si="115"/>
        <v>0</v>
      </c>
      <c r="AS146" s="1">
        <f t="shared" si="116"/>
        <v>0</v>
      </c>
      <c r="AT146" s="1">
        <f t="shared" si="119"/>
        <v>0</v>
      </c>
      <c r="AU146" s="1">
        <f t="shared" si="120"/>
        <v>0</v>
      </c>
      <c r="AV146" s="8">
        <f t="shared" si="121"/>
        <v>0</v>
      </c>
    </row>
    <row r="147" spans="1:48" ht="17.399999999999999">
      <c r="A147" s="168"/>
      <c r="B147" s="98"/>
      <c r="C147" s="171">
        <v>1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165">
        <f t="shared" si="117"/>
        <v>1</v>
      </c>
      <c r="V147" s="8"/>
      <c r="X147" s="8"/>
      <c r="AB147" s="46"/>
      <c r="AD147" s="2"/>
      <c r="AE147" s="51"/>
      <c r="AF147" s="10"/>
      <c r="AG147" s="10"/>
      <c r="AH147" s="8"/>
      <c r="AI147" s="10"/>
      <c r="AJ147" s="10"/>
      <c r="AK147" s="10"/>
      <c r="AL147" s="162"/>
      <c r="AM147" s="178">
        <f t="shared" si="118"/>
        <v>0</v>
      </c>
      <c r="AQ147" s="1">
        <f t="shared" si="114"/>
        <v>0</v>
      </c>
      <c r="AR147" s="1">
        <f t="shared" si="115"/>
        <v>0</v>
      </c>
      <c r="AS147" s="1">
        <f t="shared" si="116"/>
        <v>0</v>
      </c>
      <c r="AT147" s="1">
        <f t="shared" si="119"/>
        <v>0</v>
      </c>
      <c r="AU147" s="1">
        <f t="shared" si="120"/>
        <v>0</v>
      </c>
      <c r="AV147" s="8">
        <f t="shared" si="121"/>
        <v>0</v>
      </c>
    </row>
    <row r="148" spans="1:48" ht="17.399999999999999">
      <c r="A148" s="168"/>
      <c r="B148" s="98"/>
      <c r="C148" s="171">
        <v>1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165">
        <f t="shared" si="117"/>
        <v>1</v>
      </c>
      <c r="V148" s="8"/>
      <c r="X148" s="8"/>
      <c r="AB148" s="46"/>
      <c r="AD148" s="2"/>
      <c r="AE148" s="51"/>
      <c r="AF148" s="10"/>
      <c r="AG148" s="10"/>
      <c r="AH148" s="8"/>
      <c r="AI148" s="10"/>
      <c r="AJ148" s="10"/>
      <c r="AK148" s="10"/>
      <c r="AL148" s="162"/>
      <c r="AM148" s="178">
        <f t="shared" si="118"/>
        <v>0</v>
      </c>
      <c r="AQ148" s="1">
        <f t="shared" si="114"/>
        <v>0</v>
      </c>
      <c r="AR148" s="1">
        <f t="shared" si="115"/>
        <v>0</v>
      </c>
      <c r="AS148" s="1">
        <f t="shared" si="116"/>
        <v>0</v>
      </c>
      <c r="AT148" s="1">
        <f t="shared" si="119"/>
        <v>0</v>
      </c>
      <c r="AU148" s="1">
        <f t="shared" si="120"/>
        <v>0</v>
      </c>
      <c r="AV148" s="8">
        <f t="shared" si="121"/>
        <v>0</v>
      </c>
    </row>
    <row r="149" spans="1:48" ht="17.399999999999999">
      <c r="A149" s="168"/>
      <c r="B149" s="98"/>
      <c r="C149" s="171">
        <v>1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165">
        <f t="shared" si="117"/>
        <v>1</v>
      </c>
      <c r="V149" s="8"/>
      <c r="X149" s="8"/>
      <c r="AB149" s="46"/>
      <c r="AD149" s="2"/>
      <c r="AE149" s="51"/>
      <c r="AF149" s="10"/>
      <c r="AG149" s="10"/>
      <c r="AH149" s="8"/>
      <c r="AI149" s="10"/>
      <c r="AJ149" s="10"/>
      <c r="AK149" s="10"/>
      <c r="AL149" s="162"/>
      <c r="AM149" s="178">
        <f t="shared" si="118"/>
        <v>0</v>
      </c>
      <c r="AQ149" s="1">
        <f t="shared" si="114"/>
        <v>0</v>
      </c>
      <c r="AR149" s="1">
        <f t="shared" si="115"/>
        <v>0</v>
      </c>
      <c r="AS149" s="1">
        <f t="shared" si="116"/>
        <v>0</v>
      </c>
      <c r="AT149" s="1">
        <f t="shared" si="119"/>
        <v>0</v>
      </c>
      <c r="AU149" s="1">
        <f t="shared" si="120"/>
        <v>0</v>
      </c>
      <c r="AV149" s="8">
        <f t="shared" si="121"/>
        <v>0</v>
      </c>
    </row>
    <row r="150" spans="1:48" ht="17.399999999999999">
      <c r="A150" s="168"/>
      <c r="B150" s="98"/>
      <c r="C150" s="171">
        <v>1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165">
        <f t="shared" si="117"/>
        <v>1</v>
      </c>
      <c r="V150" s="8"/>
      <c r="X150" s="8"/>
      <c r="AB150" s="46"/>
      <c r="AD150" s="2"/>
      <c r="AE150" s="51"/>
      <c r="AF150" s="10"/>
      <c r="AG150" s="10"/>
      <c r="AH150" s="8"/>
      <c r="AI150" s="10"/>
      <c r="AJ150" s="10"/>
      <c r="AK150" s="10"/>
      <c r="AL150" s="162"/>
      <c r="AM150" s="178">
        <f t="shared" si="118"/>
        <v>0</v>
      </c>
      <c r="AQ150" s="1">
        <f t="shared" si="114"/>
        <v>0</v>
      </c>
      <c r="AR150" s="1">
        <f t="shared" si="115"/>
        <v>0</v>
      </c>
      <c r="AS150" s="1">
        <f t="shared" si="116"/>
        <v>0</v>
      </c>
      <c r="AT150" s="1">
        <f t="shared" si="119"/>
        <v>0</v>
      </c>
      <c r="AU150" s="1">
        <f t="shared" si="120"/>
        <v>0</v>
      </c>
      <c r="AV150" s="8">
        <f t="shared" si="121"/>
        <v>0</v>
      </c>
    </row>
    <row r="151" spans="1:48" ht="17.399999999999999">
      <c r="A151" s="168"/>
      <c r="B151" s="98"/>
      <c r="C151" s="171">
        <v>1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165">
        <f t="shared" si="117"/>
        <v>1</v>
      </c>
      <c r="V151" s="8"/>
      <c r="X151" s="8"/>
      <c r="AB151" s="46"/>
      <c r="AD151" s="2"/>
      <c r="AE151" s="51"/>
      <c r="AF151" s="10"/>
      <c r="AG151" s="10"/>
      <c r="AH151" s="8"/>
      <c r="AI151" s="10"/>
      <c r="AJ151" s="10"/>
      <c r="AK151" s="10"/>
      <c r="AL151" s="162"/>
      <c r="AM151" s="178">
        <f t="shared" si="118"/>
        <v>0</v>
      </c>
      <c r="AQ151" s="1">
        <f t="shared" si="114"/>
        <v>0</v>
      </c>
      <c r="AR151" s="1">
        <f t="shared" si="115"/>
        <v>0</v>
      </c>
      <c r="AS151" s="1">
        <f t="shared" si="116"/>
        <v>0</v>
      </c>
      <c r="AT151" s="1">
        <f t="shared" si="119"/>
        <v>0</v>
      </c>
      <c r="AU151" s="1">
        <f t="shared" si="120"/>
        <v>0</v>
      </c>
      <c r="AV151" s="8">
        <f t="shared" si="121"/>
        <v>0</v>
      </c>
    </row>
    <row r="152" spans="1:48" ht="17.399999999999999">
      <c r="A152" s="168"/>
      <c r="B152" s="98"/>
      <c r="C152" s="171">
        <v>1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165">
        <f t="shared" si="117"/>
        <v>1</v>
      </c>
      <c r="V152" s="8"/>
      <c r="X152" s="8"/>
      <c r="AB152" s="46"/>
      <c r="AD152" s="2"/>
      <c r="AE152" s="51"/>
      <c r="AF152" s="10"/>
      <c r="AG152" s="10"/>
      <c r="AH152" s="8"/>
      <c r="AI152" s="10"/>
      <c r="AJ152" s="10"/>
      <c r="AK152" s="10"/>
      <c r="AL152" s="162"/>
      <c r="AM152" s="178">
        <f t="shared" si="118"/>
        <v>0</v>
      </c>
      <c r="AQ152" s="1">
        <f t="shared" si="114"/>
        <v>0</v>
      </c>
      <c r="AR152" s="1">
        <f t="shared" si="115"/>
        <v>0</v>
      </c>
      <c r="AS152" s="1">
        <f t="shared" si="116"/>
        <v>0</v>
      </c>
      <c r="AT152" s="1">
        <f t="shared" si="119"/>
        <v>0</v>
      </c>
      <c r="AU152" s="1">
        <f t="shared" si="120"/>
        <v>0</v>
      </c>
      <c r="AV152" s="8">
        <f t="shared" si="121"/>
        <v>0</v>
      </c>
    </row>
    <row r="153" spans="1:48" ht="17.399999999999999">
      <c r="A153" s="168"/>
      <c r="B153" s="98"/>
      <c r="C153" s="171">
        <v>1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165">
        <f t="shared" si="117"/>
        <v>1</v>
      </c>
      <c r="V153" s="8"/>
      <c r="X153" s="8"/>
      <c r="AB153" s="46"/>
      <c r="AD153" s="2"/>
      <c r="AE153" s="51"/>
      <c r="AF153" s="10"/>
      <c r="AG153" s="10"/>
      <c r="AH153" s="8"/>
      <c r="AI153" s="10"/>
      <c r="AJ153" s="10"/>
      <c r="AK153" s="10"/>
      <c r="AL153" s="162"/>
      <c r="AM153" s="178">
        <f t="shared" si="118"/>
        <v>0</v>
      </c>
      <c r="AQ153" s="1">
        <f t="shared" si="114"/>
        <v>0</v>
      </c>
      <c r="AR153" s="1">
        <f t="shared" si="115"/>
        <v>0</v>
      </c>
      <c r="AS153" s="1">
        <f t="shared" si="116"/>
        <v>0</v>
      </c>
      <c r="AT153" s="1">
        <f t="shared" si="119"/>
        <v>0</v>
      </c>
      <c r="AU153" s="1">
        <f t="shared" si="120"/>
        <v>0</v>
      </c>
      <c r="AV153" s="8">
        <f t="shared" si="121"/>
        <v>0</v>
      </c>
    </row>
    <row r="154" spans="1:48" ht="17.399999999999999">
      <c r="A154" s="168"/>
      <c r="B154" s="98"/>
      <c r="C154" s="171">
        <v>1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165">
        <f t="shared" si="117"/>
        <v>1</v>
      </c>
      <c r="V154" s="8"/>
      <c r="X154" s="8"/>
      <c r="AB154" s="46"/>
      <c r="AD154" s="2"/>
      <c r="AE154" s="51"/>
      <c r="AF154" s="10"/>
      <c r="AG154" s="10"/>
      <c r="AH154" s="8"/>
      <c r="AI154" s="10"/>
      <c r="AJ154" s="10"/>
      <c r="AK154" s="10"/>
      <c r="AL154" s="162"/>
      <c r="AM154" s="178">
        <f t="shared" si="118"/>
        <v>0</v>
      </c>
      <c r="AQ154" s="1">
        <f t="shared" si="114"/>
        <v>0</v>
      </c>
      <c r="AR154" s="1">
        <f t="shared" si="115"/>
        <v>0</v>
      </c>
      <c r="AS154" s="1">
        <f t="shared" si="116"/>
        <v>0</v>
      </c>
      <c r="AT154" s="1">
        <f t="shared" si="119"/>
        <v>0</v>
      </c>
      <c r="AU154" s="1">
        <f t="shared" si="120"/>
        <v>0</v>
      </c>
      <c r="AV154" s="8">
        <f t="shared" si="121"/>
        <v>0</v>
      </c>
    </row>
    <row r="155" spans="1:48" ht="17.399999999999999">
      <c r="A155" s="168"/>
      <c r="B155" s="98"/>
      <c r="C155" s="171">
        <v>1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165">
        <f t="shared" si="117"/>
        <v>1</v>
      </c>
      <c r="V155" s="8"/>
      <c r="X155" s="8"/>
      <c r="AB155" s="46"/>
      <c r="AD155" s="2"/>
      <c r="AE155" s="51"/>
      <c r="AF155" s="10"/>
      <c r="AG155" s="10"/>
      <c r="AH155" s="8"/>
      <c r="AI155" s="10"/>
      <c r="AJ155" s="10"/>
      <c r="AK155" s="10"/>
      <c r="AL155" s="162"/>
      <c r="AM155" s="178">
        <f t="shared" si="118"/>
        <v>0</v>
      </c>
      <c r="AQ155" s="1">
        <f t="shared" si="114"/>
        <v>0</v>
      </c>
      <c r="AR155" s="1">
        <f t="shared" si="115"/>
        <v>0</v>
      </c>
      <c r="AS155" s="1">
        <f t="shared" si="116"/>
        <v>0</v>
      </c>
      <c r="AT155" s="1">
        <f t="shared" si="119"/>
        <v>0</v>
      </c>
      <c r="AU155" s="1">
        <f t="shared" si="120"/>
        <v>0</v>
      </c>
      <c r="AV155" s="8">
        <f t="shared" si="121"/>
        <v>0</v>
      </c>
    </row>
    <row r="156" spans="1:48" ht="17.399999999999999">
      <c r="A156" s="168"/>
      <c r="B156" s="98"/>
      <c r="C156" s="171">
        <v>1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165">
        <f t="shared" si="117"/>
        <v>1</v>
      </c>
      <c r="V156" s="8"/>
      <c r="X156" s="8"/>
      <c r="AB156" s="46"/>
      <c r="AD156" s="2"/>
      <c r="AE156" s="51"/>
      <c r="AF156" s="10"/>
      <c r="AG156" s="10"/>
      <c r="AH156" s="8"/>
      <c r="AI156" s="10"/>
      <c r="AJ156" s="10"/>
      <c r="AK156" s="10"/>
      <c r="AL156" s="162"/>
      <c r="AM156" s="178">
        <f t="shared" si="118"/>
        <v>0</v>
      </c>
      <c r="AQ156" s="1">
        <f t="shared" si="114"/>
        <v>0</v>
      </c>
      <c r="AR156" s="1">
        <f t="shared" si="115"/>
        <v>0</v>
      </c>
      <c r="AS156" s="1">
        <f t="shared" si="116"/>
        <v>0</v>
      </c>
      <c r="AT156" s="1">
        <f t="shared" si="119"/>
        <v>0</v>
      </c>
      <c r="AU156" s="1">
        <f t="shared" si="120"/>
        <v>0</v>
      </c>
      <c r="AV156" s="8">
        <f t="shared" si="121"/>
        <v>0</v>
      </c>
    </row>
    <row r="157" spans="1:48" ht="17.399999999999999">
      <c r="A157" s="168"/>
      <c r="B157" s="98"/>
      <c r="C157" s="171">
        <v>1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165">
        <f t="shared" si="117"/>
        <v>1</v>
      </c>
      <c r="V157" s="8"/>
      <c r="X157" s="8"/>
      <c r="AB157" s="46"/>
      <c r="AD157" s="2"/>
      <c r="AE157" s="51"/>
      <c r="AF157" s="10"/>
      <c r="AG157" s="10"/>
      <c r="AH157" s="8"/>
      <c r="AI157" s="10"/>
      <c r="AJ157" s="10"/>
      <c r="AK157" s="10"/>
      <c r="AL157" s="162"/>
      <c r="AM157" s="178">
        <f t="shared" si="118"/>
        <v>0</v>
      </c>
      <c r="AQ157" s="1">
        <f t="shared" si="114"/>
        <v>0</v>
      </c>
      <c r="AR157" s="1">
        <f t="shared" si="115"/>
        <v>0</v>
      </c>
      <c r="AS157" s="1">
        <f t="shared" si="116"/>
        <v>0</v>
      </c>
      <c r="AT157" s="1">
        <f t="shared" si="119"/>
        <v>0</v>
      </c>
      <c r="AU157" s="1">
        <f t="shared" si="120"/>
        <v>0</v>
      </c>
      <c r="AV157" s="8">
        <f t="shared" si="121"/>
        <v>0</v>
      </c>
    </row>
    <row r="158" spans="1:48" ht="17.399999999999999">
      <c r="A158" s="168"/>
      <c r="B158" s="98"/>
      <c r="C158" s="171">
        <v>1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165">
        <f t="shared" si="117"/>
        <v>1</v>
      </c>
      <c r="V158" s="8"/>
      <c r="X158" s="8"/>
      <c r="AB158" s="46"/>
      <c r="AD158" s="2"/>
      <c r="AE158" s="51"/>
      <c r="AF158" s="10"/>
      <c r="AG158" s="10"/>
      <c r="AH158" s="8"/>
      <c r="AI158" s="10"/>
      <c r="AJ158" s="10"/>
      <c r="AK158" s="10"/>
      <c r="AL158" s="162"/>
      <c r="AM158" s="178">
        <f t="shared" si="118"/>
        <v>0</v>
      </c>
      <c r="AQ158" s="1">
        <f t="shared" si="114"/>
        <v>0</v>
      </c>
      <c r="AR158" s="1">
        <f t="shared" si="115"/>
        <v>0</v>
      </c>
      <c r="AS158" s="1">
        <f t="shared" si="116"/>
        <v>0</v>
      </c>
      <c r="AT158" s="1">
        <f t="shared" si="119"/>
        <v>0</v>
      </c>
      <c r="AU158" s="1">
        <f t="shared" si="120"/>
        <v>0</v>
      </c>
      <c r="AV158" s="8">
        <f t="shared" si="121"/>
        <v>0</v>
      </c>
    </row>
    <row r="159" spans="1:48" ht="17.399999999999999">
      <c r="A159" s="168"/>
      <c r="B159" s="98"/>
      <c r="C159" s="171">
        <v>1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165">
        <f t="shared" si="117"/>
        <v>1</v>
      </c>
      <c r="V159" s="8"/>
      <c r="X159" s="8"/>
      <c r="AB159" s="46"/>
      <c r="AD159" s="2"/>
      <c r="AE159" s="51"/>
      <c r="AF159" s="10"/>
      <c r="AG159" s="10"/>
      <c r="AH159" s="8"/>
      <c r="AI159" s="10"/>
      <c r="AJ159" s="10"/>
      <c r="AK159" s="10"/>
      <c r="AL159" s="162"/>
      <c r="AM159" s="178">
        <f t="shared" si="118"/>
        <v>0</v>
      </c>
      <c r="AQ159" s="1">
        <f t="shared" si="114"/>
        <v>0</v>
      </c>
      <c r="AR159" s="1">
        <f t="shared" si="115"/>
        <v>0</v>
      </c>
      <c r="AS159" s="1">
        <f t="shared" si="116"/>
        <v>0</v>
      </c>
      <c r="AT159" s="1">
        <f t="shared" si="119"/>
        <v>0</v>
      </c>
      <c r="AU159" s="1">
        <f t="shared" si="120"/>
        <v>0</v>
      </c>
      <c r="AV159" s="8">
        <f t="shared" si="121"/>
        <v>0</v>
      </c>
    </row>
    <row r="160" spans="1:48" ht="17.399999999999999">
      <c r="A160" s="168"/>
      <c r="B160" s="98"/>
      <c r="C160" s="171">
        <v>1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165">
        <f t="shared" si="117"/>
        <v>1</v>
      </c>
      <c r="V160" s="8"/>
      <c r="X160" s="8"/>
      <c r="AB160" s="46"/>
      <c r="AD160" s="2"/>
      <c r="AE160" s="51"/>
      <c r="AF160" s="10"/>
      <c r="AG160" s="10"/>
      <c r="AH160" s="8"/>
      <c r="AI160" s="10"/>
      <c r="AJ160" s="10"/>
      <c r="AK160" s="10"/>
      <c r="AL160" s="162"/>
      <c r="AM160" s="178">
        <f t="shared" si="118"/>
        <v>0</v>
      </c>
      <c r="AQ160" s="1">
        <f t="shared" si="114"/>
        <v>0</v>
      </c>
      <c r="AR160" s="1">
        <f t="shared" si="115"/>
        <v>0</v>
      </c>
      <c r="AS160" s="1">
        <f t="shared" si="116"/>
        <v>0</v>
      </c>
      <c r="AT160" s="1">
        <f t="shared" si="119"/>
        <v>0</v>
      </c>
      <c r="AU160" s="1">
        <f t="shared" si="120"/>
        <v>0</v>
      </c>
      <c r="AV160" s="8">
        <f t="shared" si="121"/>
        <v>0</v>
      </c>
    </row>
    <row r="161" spans="1:48" ht="17.399999999999999">
      <c r="A161" s="168"/>
      <c r="B161" s="98"/>
      <c r="C161" s="171">
        <v>1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165">
        <f t="shared" si="117"/>
        <v>1</v>
      </c>
      <c r="V161" s="8"/>
      <c r="X161" s="8"/>
      <c r="AB161" s="46"/>
      <c r="AD161" s="2"/>
      <c r="AE161" s="51"/>
      <c r="AF161" s="10"/>
      <c r="AG161" s="10"/>
      <c r="AH161" s="8"/>
      <c r="AI161" s="10"/>
      <c r="AJ161" s="10"/>
      <c r="AK161" s="10"/>
      <c r="AL161" s="162"/>
      <c r="AM161" s="178">
        <f t="shared" si="118"/>
        <v>0</v>
      </c>
      <c r="AQ161" s="1">
        <f t="shared" si="114"/>
        <v>0</v>
      </c>
      <c r="AR161" s="1">
        <f t="shared" si="115"/>
        <v>0</v>
      </c>
      <c r="AS161" s="1">
        <f t="shared" si="116"/>
        <v>0</v>
      </c>
      <c r="AT161" s="1">
        <f t="shared" si="119"/>
        <v>0</v>
      </c>
      <c r="AU161" s="1">
        <f t="shared" si="120"/>
        <v>0</v>
      </c>
      <c r="AV161" s="8">
        <f t="shared" si="121"/>
        <v>0</v>
      </c>
    </row>
    <row r="162" spans="1:48" ht="17.399999999999999">
      <c r="A162" s="168"/>
      <c r="B162" s="98"/>
      <c r="C162" s="171">
        <v>1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165">
        <f t="shared" si="117"/>
        <v>1</v>
      </c>
      <c r="V162" s="8"/>
      <c r="X162" s="8"/>
      <c r="AB162" s="46"/>
      <c r="AD162" s="2"/>
      <c r="AE162" s="51"/>
      <c r="AF162" s="10"/>
      <c r="AG162" s="10"/>
      <c r="AH162" s="8"/>
      <c r="AI162" s="10"/>
      <c r="AJ162" s="10"/>
      <c r="AK162" s="10"/>
      <c r="AL162" s="162"/>
      <c r="AM162" s="178">
        <f t="shared" si="118"/>
        <v>0</v>
      </c>
      <c r="AQ162" s="1">
        <f t="shared" si="114"/>
        <v>0</v>
      </c>
      <c r="AR162" s="1">
        <f t="shared" si="115"/>
        <v>0</v>
      </c>
      <c r="AS162" s="1">
        <f t="shared" si="116"/>
        <v>0</v>
      </c>
      <c r="AT162" s="1">
        <f t="shared" si="119"/>
        <v>0</v>
      </c>
      <c r="AU162" s="1">
        <f t="shared" si="120"/>
        <v>0</v>
      </c>
      <c r="AV162" s="8">
        <f t="shared" si="121"/>
        <v>0</v>
      </c>
    </row>
    <row r="163" spans="1:48" ht="17.399999999999999">
      <c r="A163" s="168"/>
      <c r="B163" s="98"/>
      <c r="C163" s="171">
        <v>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165">
        <f t="shared" si="117"/>
        <v>1</v>
      </c>
      <c r="V163" s="8"/>
      <c r="X163" s="8"/>
      <c r="AB163" s="46"/>
      <c r="AD163" s="2"/>
      <c r="AE163" s="51"/>
      <c r="AF163" s="10"/>
      <c r="AG163" s="10"/>
      <c r="AH163" s="8"/>
      <c r="AI163" s="10"/>
      <c r="AJ163" s="10"/>
      <c r="AK163" s="10"/>
      <c r="AL163" s="162"/>
      <c r="AM163" s="178">
        <f t="shared" si="118"/>
        <v>0</v>
      </c>
      <c r="AQ163" s="1">
        <f t="shared" si="114"/>
        <v>0</v>
      </c>
      <c r="AR163" s="1">
        <f t="shared" si="115"/>
        <v>0</v>
      </c>
      <c r="AS163" s="1">
        <f t="shared" si="116"/>
        <v>0</v>
      </c>
      <c r="AT163" s="1">
        <f t="shared" si="119"/>
        <v>0</v>
      </c>
      <c r="AU163" s="1">
        <f t="shared" si="120"/>
        <v>0</v>
      </c>
      <c r="AV163" s="8">
        <f t="shared" si="121"/>
        <v>0</v>
      </c>
    </row>
    <row r="164" spans="1:48" ht="17.399999999999999">
      <c r="A164" s="168"/>
      <c r="B164" s="98"/>
      <c r="C164" s="171">
        <v>1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165">
        <f t="shared" si="117"/>
        <v>1</v>
      </c>
      <c r="V164" s="8"/>
      <c r="X164" s="8"/>
      <c r="AB164" s="46"/>
      <c r="AD164" s="2"/>
      <c r="AE164" s="51"/>
      <c r="AF164" s="10"/>
      <c r="AG164" s="10"/>
      <c r="AH164" s="8"/>
      <c r="AI164" s="10"/>
      <c r="AJ164" s="10"/>
      <c r="AK164" s="10"/>
      <c r="AL164" s="162"/>
      <c r="AM164" s="178">
        <f t="shared" si="118"/>
        <v>0</v>
      </c>
      <c r="AQ164" s="1">
        <f t="shared" si="114"/>
        <v>0</v>
      </c>
      <c r="AR164" s="1">
        <f t="shared" si="115"/>
        <v>0</v>
      </c>
      <c r="AS164" s="1">
        <f t="shared" si="116"/>
        <v>0</v>
      </c>
      <c r="AT164" s="1">
        <f t="shared" si="119"/>
        <v>0</v>
      </c>
      <c r="AU164" s="1">
        <f t="shared" si="120"/>
        <v>0</v>
      </c>
      <c r="AV164" s="8">
        <f t="shared" si="121"/>
        <v>0</v>
      </c>
    </row>
    <row r="165" spans="1:48" ht="17.399999999999999">
      <c r="A165" s="168"/>
      <c r="B165" s="98"/>
      <c r="C165" s="171">
        <v>1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165">
        <f t="shared" si="117"/>
        <v>1</v>
      </c>
      <c r="V165" s="8"/>
      <c r="X165" s="8"/>
      <c r="AB165" s="46"/>
      <c r="AD165" s="2"/>
      <c r="AE165" s="51"/>
      <c r="AF165" s="10"/>
      <c r="AG165" s="10"/>
      <c r="AH165" s="8"/>
      <c r="AI165" s="10"/>
      <c r="AJ165" s="10"/>
      <c r="AK165" s="10"/>
      <c r="AL165" s="162"/>
      <c r="AM165" s="178">
        <f t="shared" si="118"/>
        <v>0</v>
      </c>
      <c r="AQ165" s="1">
        <f t="shared" si="114"/>
        <v>0</v>
      </c>
      <c r="AR165" s="1">
        <f t="shared" si="115"/>
        <v>0</v>
      </c>
      <c r="AS165" s="1">
        <f t="shared" si="116"/>
        <v>0</v>
      </c>
      <c r="AT165" s="1">
        <f t="shared" si="119"/>
        <v>0</v>
      </c>
      <c r="AU165" s="1">
        <f t="shared" si="120"/>
        <v>0</v>
      </c>
      <c r="AV165" s="8">
        <f t="shared" si="121"/>
        <v>0</v>
      </c>
    </row>
    <row r="166" spans="1:48" ht="17.399999999999999">
      <c r="A166" s="168"/>
      <c r="B166" s="98"/>
      <c r="C166" s="171">
        <v>1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9"/>
      <c r="T166" s="165">
        <f t="shared" si="117"/>
        <v>1</v>
      </c>
      <c r="V166" s="8"/>
      <c r="X166" s="8"/>
      <c r="AB166" s="46"/>
      <c r="AD166" s="2"/>
      <c r="AE166" s="51"/>
      <c r="AF166" s="10"/>
      <c r="AG166" s="10"/>
      <c r="AH166" s="8"/>
      <c r="AI166" s="10"/>
      <c r="AJ166" s="10"/>
      <c r="AK166" s="10"/>
      <c r="AL166" s="162"/>
      <c r="AM166" s="178">
        <f t="shared" si="118"/>
        <v>0</v>
      </c>
      <c r="AQ166" s="1">
        <f t="shared" si="114"/>
        <v>0</v>
      </c>
      <c r="AR166" s="1">
        <f t="shared" si="115"/>
        <v>0</v>
      </c>
      <c r="AS166" s="1">
        <f t="shared" si="116"/>
        <v>0</v>
      </c>
      <c r="AT166" s="1">
        <f t="shared" si="119"/>
        <v>0</v>
      </c>
      <c r="AU166" s="1">
        <f t="shared" si="120"/>
        <v>0</v>
      </c>
      <c r="AV166" s="8">
        <f t="shared" si="121"/>
        <v>0</v>
      </c>
    </row>
    <row r="167" spans="1:48" ht="17.399999999999999">
      <c r="A167" s="168"/>
      <c r="B167" s="98"/>
      <c r="C167" s="171">
        <v>1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9"/>
      <c r="T167" s="165">
        <f t="shared" si="117"/>
        <v>1</v>
      </c>
      <c r="V167" s="8"/>
      <c r="X167" s="8"/>
      <c r="AB167" s="46"/>
      <c r="AD167" s="2"/>
      <c r="AE167" s="51"/>
      <c r="AF167" s="10"/>
      <c r="AG167" s="10"/>
      <c r="AH167" s="8"/>
      <c r="AI167" s="10"/>
      <c r="AJ167" s="10"/>
      <c r="AK167" s="10"/>
      <c r="AL167" s="162"/>
      <c r="AM167" s="178">
        <f t="shared" si="118"/>
        <v>0</v>
      </c>
      <c r="AQ167" s="1">
        <f t="shared" si="114"/>
        <v>0</v>
      </c>
      <c r="AR167" s="1">
        <f t="shared" si="115"/>
        <v>0</v>
      </c>
      <c r="AS167" s="1">
        <f t="shared" si="116"/>
        <v>0</v>
      </c>
      <c r="AT167" s="1">
        <f t="shared" si="119"/>
        <v>0</v>
      </c>
      <c r="AU167" s="1">
        <f t="shared" si="120"/>
        <v>0</v>
      </c>
      <c r="AV167" s="8">
        <f t="shared" si="121"/>
        <v>0</v>
      </c>
    </row>
    <row r="168" spans="1:48" ht="17.399999999999999">
      <c r="A168" s="168"/>
      <c r="B168" s="98"/>
      <c r="C168" s="171">
        <v>1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9"/>
      <c r="T168" s="165">
        <f t="shared" si="117"/>
        <v>1</v>
      </c>
      <c r="V168" s="8"/>
      <c r="X168" s="8"/>
      <c r="AB168" s="46"/>
      <c r="AD168" s="2"/>
      <c r="AE168" s="51"/>
      <c r="AF168" s="10"/>
      <c r="AG168" s="10"/>
      <c r="AH168" s="8"/>
      <c r="AI168" s="10"/>
      <c r="AJ168" s="10"/>
      <c r="AK168" s="10"/>
      <c r="AL168" s="162"/>
      <c r="AM168" s="178">
        <f t="shared" si="118"/>
        <v>0</v>
      </c>
      <c r="AQ168" s="1">
        <f t="shared" si="114"/>
        <v>0</v>
      </c>
      <c r="AR168" s="1">
        <f t="shared" si="115"/>
        <v>0</v>
      </c>
      <c r="AS168" s="1">
        <f t="shared" si="116"/>
        <v>0</v>
      </c>
      <c r="AT168" s="1">
        <f t="shared" si="119"/>
        <v>0</v>
      </c>
      <c r="AU168" s="1">
        <f t="shared" si="120"/>
        <v>0</v>
      </c>
      <c r="AV168" s="8">
        <f t="shared" si="121"/>
        <v>0</v>
      </c>
    </row>
    <row r="169" spans="1:48" ht="17.399999999999999">
      <c r="A169" s="168"/>
      <c r="B169" s="98"/>
      <c r="C169" s="171">
        <v>1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9"/>
      <c r="T169" s="165">
        <f t="shared" si="117"/>
        <v>1</v>
      </c>
      <c r="V169" s="8"/>
      <c r="X169" s="8"/>
      <c r="AB169" s="46"/>
      <c r="AD169" s="2"/>
      <c r="AE169" s="51"/>
      <c r="AF169" s="10"/>
      <c r="AG169" s="10"/>
      <c r="AH169" s="8"/>
      <c r="AI169" s="10"/>
      <c r="AJ169" s="10"/>
      <c r="AK169" s="10"/>
      <c r="AL169" s="162"/>
      <c r="AM169" s="178">
        <f t="shared" si="118"/>
        <v>0</v>
      </c>
      <c r="AQ169" s="1">
        <f t="shared" si="114"/>
        <v>0</v>
      </c>
      <c r="AR169" s="1">
        <f t="shared" si="115"/>
        <v>0</v>
      </c>
      <c r="AS169" s="1">
        <f t="shared" si="116"/>
        <v>0</v>
      </c>
      <c r="AT169" s="1">
        <f t="shared" si="119"/>
        <v>0</v>
      </c>
      <c r="AU169" s="1">
        <f t="shared" si="120"/>
        <v>0</v>
      </c>
      <c r="AV169" s="8">
        <f t="shared" si="121"/>
        <v>0</v>
      </c>
    </row>
    <row r="170" spans="1:48" ht="17.399999999999999">
      <c r="A170" s="168"/>
      <c r="B170" s="98"/>
      <c r="C170" s="171">
        <v>1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9"/>
      <c r="T170" s="165">
        <f t="shared" si="117"/>
        <v>1</v>
      </c>
      <c r="V170" s="8"/>
      <c r="X170" s="8"/>
      <c r="AB170" s="46"/>
      <c r="AD170" s="2"/>
      <c r="AE170" s="51"/>
      <c r="AF170" s="10"/>
      <c r="AG170" s="10"/>
      <c r="AH170" s="8"/>
      <c r="AI170" s="10"/>
      <c r="AJ170" s="10"/>
      <c r="AK170" s="10"/>
      <c r="AL170" s="162"/>
      <c r="AM170" s="178">
        <f t="shared" si="118"/>
        <v>0</v>
      </c>
      <c r="AQ170" s="1">
        <f t="shared" ref="AQ170:AQ205" si="122" xml:space="preserve"> IF(C170=1,AG170,0.005)</f>
        <v>0</v>
      </c>
      <c r="AR170" s="1">
        <f t="shared" ref="AR170:AR205" si="123">IF(C170=1,0,1)</f>
        <v>0</v>
      </c>
      <c r="AS170" s="1">
        <f t="shared" ref="AS170:AS201" si="124">(AG170*AR170)</f>
        <v>0</v>
      </c>
      <c r="AT170" s="1">
        <f t="shared" si="119"/>
        <v>0</v>
      </c>
      <c r="AU170" s="1">
        <f t="shared" si="120"/>
        <v>0</v>
      </c>
      <c r="AV170" s="8">
        <f t="shared" si="121"/>
        <v>0</v>
      </c>
    </row>
    <row r="171" spans="1:48" ht="17.399999999999999">
      <c r="A171" s="168"/>
      <c r="B171" s="98"/>
      <c r="C171" s="171">
        <v>1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9"/>
      <c r="T171" s="165">
        <f t="shared" si="117"/>
        <v>1</v>
      </c>
      <c r="V171" s="8"/>
      <c r="X171" s="8"/>
      <c r="AB171" s="46"/>
      <c r="AD171" s="2"/>
      <c r="AE171" s="51"/>
      <c r="AF171" s="10"/>
      <c r="AG171" s="10"/>
      <c r="AH171" s="8"/>
      <c r="AI171" s="10"/>
      <c r="AJ171" s="10"/>
      <c r="AK171" s="10"/>
      <c r="AL171" s="162"/>
      <c r="AM171" s="178">
        <f t="shared" si="118"/>
        <v>0</v>
      </c>
      <c r="AQ171" s="1">
        <f t="shared" si="122"/>
        <v>0</v>
      </c>
      <c r="AR171" s="1">
        <f t="shared" si="123"/>
        <v>0</v>
      </c>
      <c r="AS171" s="1">
        <f t="shared" si="124"/>
        <v>0</v>
      </c>
      <c r="AT171" s="1">
        <f t="shared" si="119"/>
        <v>0</v>
      </c>
      <c r="AU171" s="1">
        <f t="shared" si="120"/>
        <v>0</v>
      </c>
      <c r="AV171" s="8">
        <f t="shared" si="121"/>
        <v>0</v>
      </c>
    </row>
    <row r="172" spans="1:48" ht="17.399999999999999">
      <c r="A172" s="168"/>
      <c r="B172" s="98"/>
      <c r="C172" s="171">
        <v>1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9"/>
      <c r="T172" s="165">
        <f t="shared" si="117"/>
        <v>1</v>
      </c>
      <c r="V172" s="8"/>
      <c r="X172" s="8"/>
      <c r="AB172" s="46"/>
      <c r="AD172" s="2"/>
      <c r="AE172" s="51"/>
      <c r="AF172" s="10"/>
      <c r="AG172" s="10"/>
      <c r="AH172" s="8"/>
      <c r="AI172" s="10"/>
      <c r="AJ172" s="10"/>
      <c r="AK172" s="10"/>
      <c r="AL172" s="162"/>
      <c r="AM172" s="178">
        <f t="shared" si="118"/>
        <v>0</v>
      </c>
      <c r="AQ172" s="1">
        <f t="shared" si="122"/>
        <v>0</v>
      </c>
      <c r="AR172" s="1">
        <f t="shared" si="123"/>
        <v>0</v>
      </c>
      <c r="AS172" s="1">
        <f t="shared" si="124"/>
        <v>0</v>
      </c>
      <c r="AT172" s="1">
        <f t="shared" si="119"/>
        <v>0</v>
      </c>
      <c r="AU172" s="1">
        <f t="shared" si="120"/>
        <v>0</v>
      </c>
      <c r="AV172" s="8">
        <f t="shared" si="121"/>
        <v>0</v>
      </c>
    </row>
    <row r="173" spans="1:48" ht="17.399999999999999">
      <c r="A173" s="168"/>
      <c r="B173" s="98"/>
      <c r="C173" s="171">
        <v>1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9"/>
      <c r="T173" s="165">
        <f t="shared" si="117"/>
        <v>1</v>
      </c>
      <c r="V173" s="8"/>
      <c r="X173" s="8"/>
      <c r="AB173" s="46"/>
      <c r="AD173" s="2"/>
      <c r="AE173" s="51"/>
      <c r="AF173" s="10"/>
      <c r="AG173" s="10"/>
      <c r="AH173" s="8"/>
      <c r="AI173" s="10"/>
      <c r="AJ173" s="10"/>
      <c r="AK173" s="10"/>
      <c r="AL173" s="162"/>
      <c r="AM173" s="178">
        <f t="shared" si="118"/>
        <v>0</v>
      </c>
      <c r="AQ173" s="1">
        <f t="shared" si="122"/>
        <v>0</v>
      </c>
      <c r="AR173" s="1">
        <f t="shared" si="123"/>
        <v>0</v>
      </c>
      <c r="AS173" s="1">
        <f t="shared" si="124"/>
        <v>0</v>
      </c>
      <c r="AT173" s="1">
        <f t="shared" si="119"/>
        <v>0</v>
      </c>
      <c r="AU173" s="1">
        <f t="shared" si="120"/>
        <v>0</v>
      </c>
      <c r="AV173" s="8">
        <f t="shared" si="121"/>
        <v>0</v>
      </c>
    </row>
    <row r="174" spans="1:48" ht="17.399999999999999">
      <c r="A174" s="168"/>
      <c r="B174" s="98"/>
      <c r="C174" s="171">
        <v>1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9"/>
      <c r="T174" s="165">
        <f t="shared" si="117"/>
        <v>1</v>
      </c>
      <c r="V174" s="8"/>
      <c r="X174" s="8"/>
      <c r="AB174" s="46"/>
      <c r="AD174" s="2"/>
      <c r="AE174" s="51"/>
      <c r="AF174" s="10"/>
      <c r="AG174" s="10"/>
      <c r="AH174" s="8"/>
      <c r="AI174" s="10"/>
      <c r="AJ174" s="10"/>
      <c r="AK174" s="10"/>
      <c r="AL174" s="162"/>
      <c r="AM174" s="178">
        <f t="shared" si="118"/>
        <v>0</v>
      </c>
      <c r="AQ174" s="1">
        <f t="shared" si="122"/>
        <v>0</v>
      </c>
      <c r="AR174" s="1">
        <f t="shared" si="123"/>
        <v>0</v>
      </c>
      <c r="AS174" s="1">
        <f t="shared" si="124"/>
        <v>0</v>
      </c>
      <c r="AT174" s="1">
        <f t="shared" si="119"/>
        <v>0</v>
      </c>
      <c r="AU174" s="1">
        <f t="shared" si="120"/>
        <v>0</v>
      </c>
      <c r="AV174" s="8">
        <f t="shared" si="121"/>
        <v>0</v>
      </c>
    </row>
    <row r="175" spans="1:48" ht="17.399999999999999">
      <c r="A175" s="168"/>
      <c r="B175" s="98"/>
      <c r="C175" s="171">
        <v>1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9"/>
      <c r="T175" s="165">
        <f t="shared" si="117"/>
        <v>1</v>
      </c>
      <c r="V175" s="8"/>
      <c r="X175" s="8"/>
      <c r="AB175" s="46"/>
      <c r="AD175" s="2"/>
      <c r="AE175" s="51"/>
      <c r="AF175" s="10"/>
      <c r="AG175" s="10"/>
      <c r="AH175" s="8"/>
      <c r="AI175" s="10"/>
      <c r="AJ175" s="10"/>
      <c r="AK175" s="10"/>
      <c r="AL175" s="162"/>
      <c r="AM175" s="178">
        <f t="shared" si="118"/>
        <v>0</v>
      </c>
      <c r="AQ175" s="1">
        <f t="shared" si="122"/>
        <v>0</v>
      </c>
      <c r="AR175" s="1">
        <f t="shared" si="123"/>
        <v>0</v>
      </c>
      <c r="AS175" s="1">
        <f t="shared" si="124"/>
        <v>0</v>
      </c>
      <c r="AT175" s="1">
        <f t="shared" si="119"/>
        <v>0</v>
      </c>
      <c r="AU175" s="1">
        <f t="shared" si="120"/>
        <v>0</v>
      </c>
      <c r="AV175" s="8">
        <f t="shared" si="121"/>
        <v>0</v>
      </c>
    </row>
    <row r="176" spans="1:48" ht="17.399999999999999">
      <c r="A176" s="168"/>
      <c r="B176" s="98"/>
      <c r="C176" s="171">
        <v>1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9"/>
      <c r="T176" s="165">
        <f t="shared" si="117"/>
        <v>1</v>
      </c>
      <c r="V176" s="8"/>
      <c r="X176" s="8"/>
      <c r="AB176" s="46"/>
      <c r="AD176" s="2"/>
      <c r="AE176" s="51"/>
      <c r="AF176" s="10"/>
      <c r="AG176" s="10"/>
      <c r="AH176" s="8"/>
      <c r="AI176" s="10"/>
      <c r="AJ176" s="10"/>
      <c r="AK176" s="10"/>
      <c r="AL176" s="162"/>
      <c r="AM176" s="178">
        <f t="shared" si="118"/>
        <v>0</v>
      </c>
      <c r="AQ176" s="1">
        <f t="shared" si="122"/>
        <v>0</v>
      </c>
      <c r="AR176" s="1">
        <f t="shared" si="123"/>
        <v>0</v>
      </c>
      <c r="AS176" s="1">
        <f t="shared" si="124"/>
        <v>0</v>
      </c>
      <c r="AT176" s="1">
        <f t="shared" si="119"/>
        <v>0</v>
      </c>
      <c r="AU176" s="1">
        <f t="shared" si="120"/>
        <v>0</v>
      </c>
      <c r="AV176" s="8">
        <f t="shared" si="121"/>
        <v>0</v>
      </c>
    </row>
    <row r="177" spans="1:48" ht="17.399999999999999">
      <c r="A177" s="168"/>
      <c r="B177" s="98"/>
      <c r="C177" s="171">
        <v>1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9"/>
      <c r="T177" s="165">
        <f t="shared" si="117"/>
        <v>1</v>
      </c>
      <c r="V177" s="8"/>
      <c r="X177" s="8"/>
      <c r="AB177" s="46"/>
      <c r="AD177" s="2"/>
      <c r="AE177" s="51"/>
      <c r="AF177" s="10"/>
      <c r="AG177" s="10"/>
      <c r="AH177" s="8"/>
      <c r="AI177" s="10"/>
      <c r="AJ177" s="10"/>
      <c r="AK177" s="10"/>
      <c r="AL177" s="162"/>
      <c r="AM177" s="178">
        <f t="shared" si="118"/>
        <v>0</v>
      </c>
      <c r="AQ177" s="1">
        <f t="shared" si="122"/>
        <v>0</v>
      </c>
      <c r="AR177" s="1">
        <f t="shared" si="123"/>
        <v>0</v>
      </c>
      <c r="AS177" s="1">
        <f t="shared" si="124"/>
        <v>0</v>
      </c>
      <c r="AT177" s="1">
        <f t="shared" si="119"/>
        <v>0</v>
      </c>
      <c r="AU177" s="1">
        <f t="shared" si="120"/>
        <v>0</v>
      </c>
      <c r="AV177" s="8">
        <f t="shared" si="121"/>
        <v>0</v>
      </c>
    </row>
    <row r="178" spans="1:48" ht="17.399999999999999">
      <c r="A178" s="168"/>
      <c r="B178" s="98"/>
      <c r="C178" s="171">
        <v>1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9"/>
      <c r="T178" s="165">
        <f t="shared" si="117"/>
        <v>1</v>
      </c>
      <c r="V178" s="8"/>
      <c r="X178" s="8"/>
      <c r="AB178" s="46"/>
      <c r="AD178" s="2"/>
      <c r="AE178" s="51"/>
      <c r="AF178" s="10"/>
      <c r="AG178" s="10"/>
      <c r="AH178" s="8"/>
      <c r="AI178" s="10"/>
      <c r="AJ178" s="10"/>
      <c r="AK178" s="10"/>
      <c r="AL178" s="162"/>
      <c r="AM178" s="178">
        <f t="shared" si="118"/>
        <v>0</v>
      </c>
      <c r="AQ178" s="1">
        <f t="shared" si="122"/>
        <v>0</v>
      </c>
      <c r="AR178" s="1">
        <f t="shared" si="123"/>
        <v>0</v>
      </c>
      <c r="AS178" s="1">
        <f t="shared" si="124"/>
        <v>0</v>
      </c>
      <c r="AT178" s="1">
        <f t="shared" si="119"/>
        <v>0</v>
      </c>
      <c r="AU178" s="1">
        <f t="shared" si="120"/>
        <v>0</v>
      </c>
      <c r="AV178" s="8">
        <f t="shared" si="121"/>
        <v>0</v>
      </c>
    </row>
    <row r="179" spans="1:48" ht="17.399999999999999">
      <c r="A179" s="168"/>
      <c r="B179" s="98"/>
      <c r="C179" s="171">
        <v>1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9"/>
      <c r="T179" s="165">
        <f t="shared" si="117"/>
        <v>1</v>
      </c>
      <c r="V179" s="8"/>
      <c r="X179" s="8"/>
      <c r="AB179" s="46"/>
      <c r="AD179" s="2"/>
      <c r="AE179" s="51"/>
      <c r="AF179" s="10"/>
      <c r="AG179" s="10"/>
      <c r="AH179" s="8"/>
      <c r="AI179" s="10"/>
      <c r="AJ179" s="10"/>
      <c r="AK179" s="10"/>
      <c r="AL179" s="162"/>
      <c r="AM179" s="178">
        <f t="shared" si="118"/>
        <v>0</v>
      </c>
      <c r="AQ179" s="1">
        <f t="shared" si="122"/>
        <v>0</v>
      </c>
      <c r="AR179" s="1">
        <f t="shared" si="123"/>
        <v>0</v>
      </c>
      <c r="AS179" s="1">
        <f t="shared" si="124"/>
        <v>0</v>
      </c>
      <c r="AT179" s="1">
        <f t="shared" si="119"/>
        <v>0</v>
      </c>
      <c r="AU179" s="1">
        <f t="shared" si="120"/>
        <v>0</v>
      </c>
      <c r="AV179" s="8">
        <f t="shared" si="121"/>
        <v>0</v>
      </c>
    </row>
    <row r="180" spans="1:48" ht="17.399999999999999">
      <c r="A180" s="168"/>
      <c r="B180" s="98"/>
      <c r="C180" s="171">
        <v>1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9"/>
      <c r="T180" s="165">
        <f t="shared" si="117"/>
        <v>1</v>
      </c>
      <c r="V180" s="8"/>
      <c r="X180" s="8"/>
      <c r="AB180" s="46"/>
      <c r="AD180" s="2"/>
      <c r="AE180" s="51"/>
      <c r="AF180" s="10"/>
      <c r="AG180" s="10"/>
      <c r="AH180" s="8"/>
      <c r="AI180" s="10"/>
      <c r="AJ180" s="10"/>
      <c r="AK180" s="10"/>
      <c r="AL180" s="162"/>
      <c r="AM180" s="178">
        <f t="shared" si="118"/>
        <v>0</v>
      </c>
      <c r="AQ180" s="1">
        <f t="shared" si="122"/>
        <v>0</v>
      </c>
      <c r="AR180" s="1">
        <f t="shared" si="123"/>
        <v>0</v>
      </c>
      <c r="AS180" s="1">
        <f t="shared" si="124"/>
        <v>0</v>
      </c>
      <c r="AT180" s="1">
        <f t="shared" si="119"/>
        <v>0</v>
      </c>
      <c r="AU180" s="1">
        <f t="shared" si="120"/>
        <v>0</v>
      </c>
      <c r="AV180" s="8">
        <f t="shared" si="121"/>
        <v>0</v>
      </c>
    </row>
    <row r="181" spans="1:48" ht="17.399999999999999">
      <c r="A181" s="168"/>
      <c r="B181" s="98"/>
      <c r="C181" s="171">
        <v>1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9"/>
      <c r="T181" s="165">
        <f t="shared" si="117"/>
        <v>1</v>
      </c>
      <c r="V181" s="8"/>
      <c r="X181" s="8"/>
      <c r="AB181" s="46"/>
      <c r="AD181" s="2"/>
      <c r="AE181" s="51"/>
      <c r="AF181" s="10"/>
      <c r="AG181" s="10"/>
      <c r="AH181" s="8"/>
      <c r="AI181" s="10"/>
      <c r="AJ181" s="10"/>
      <c r="AK181" s="10"/>
      <c r="AL181" s="162"/>
      <c r="AM181" s="178">
        <f t="shared" si="118"/>
        <v>0</v>
      </c>
      <c r="AQ181" s="1">
        <f t="shared" si="122"/>
        <v>0</v>
      </c>
      <c r="AR181" s="1">
        <f t="shared" si="123"/>
        <v>0</v>
      </c>
      <c r="AS181" s="1">
        <f t="shared" si="124"/>
        <v>0</v>
      </c>
      <c r="AT181" s="1">
        <f t="shared" si="119"/>
        <v>0</v>
      </c>
      <c r="AU181" s="1">
        <f t="shared" si="120"/>
        <v>0</v>
      </c>
      <c r="AV181" s="8">
        <f t="shared" si="121"/>
        <v>0</v>
      </c>
    </row>
    <row r="182" spans="1:48" ht="17.399999999999999">
      <c r="A182" s="168"/>
      <c r="B182" s="98"/>
      <c r="C182" s="171">
        <v>1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9"/>
      <c r="T182" s="165">
        <f t="shared" si="117"/>
        <v>1</v>
      </c>
      <c r="V182" s="8"/>
      <c r="X182" s="8"/>
      <c r="AB182" s="46"/>
      <c r="AD182" s="2"/>
      <c r="AE182" s="51"/>
      <c r="AF182" s="10"/>
      <c r="AG182" s="10"/>
      <c r="AH182" s="8"/>
      <c r="AI182" s="10"/>
      <c r="AJ182" s="10"/>
      <c r="AK182" s="10"/>
      <c r="AL182" s="162"/>
      <c r="AM182" s="178">
        <f t="shared" si="118"/>
        <v>0</v>
      </c>
      <c r="AQ182" s="1">
        <f t="shared" si="122"/>
        <v>0</v>
      </c>
      <c r="AR182" s="1">
        <f t="shared" si="123"/>
        <v>0</v>
      </c>
      <c r="AS182" s="1">
        <f t="shared" si="124"/>
        <v>0</v>
      </c>
      <c r="AT182" s="1">
        <f t="shared" si="119"/>
        <v>0</v>
      </c>
      <c r="AU182" s="1">
        <f t="shared" si="120"/>
        <v>0</v>
      </c>
      <c r="AV182" s="8">
        <f t="shared" si="121"/>
        <v>0</v>
      </c>
    </row>
    <row r="183" spans="1:48" ht="17.399999999999999">
      <c r="A183" s="168"/>
      <c r="B183" s="98"/>
      <c r="C183" s="171">
        <v>1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9"/>
      <c r="T183" s="165">
        <f t="shared" si="117"/>
        <v>1</v>
      </c>
      <c r="V183" s="8"/>
      <c r="X183" s="8"/>
      <c r="AB183" s="46"/>
      <c r="AD183" s="2"/>
      <c r="AE183" s="51"/>
      <c r="AF183" s="10"/>
      <c r="AG183" s="10"/>
      <c r="AH183" s="8"/>
      <c r="AI183" s="10"/>
      <c r="AJ183" s="10"/>
      <c r="AK183" s="10"/>
      <c r="AL183" s="162"/>
      <c r="AM183" s="178">
        <f t="shared" si="118"/>
        <v>0</v>
      </c>
      <c r="AQ183" s="1">
        <f t="shared" si="122"/>
        <v>0</v>
      </c>
      <c r="AR183" s="1">
        <f t="shared" si="123"/>
        <v>0</v>
      </c>
      <c r="AS183" s="1">
        <f t="shared" si="124"/>
        <v>0</v>
      </c>
      <c r="AT183" s="1">
        <f t="shared" si="119"/>
        <v>0</v>
      </c>
      <c r="AU183" s="1">
        <f t="shared" si="120"/>
        <v>0</v>
      </c>
      <c r="AV183" s="8">
        <f t="shared" si="121"/>
        <v>0</v>
      </c>
    </row>
    <row r="184" spans="1:48" ht="17.399999999999999">
      <c r="A184" s="168"/>
      <c r="B184" s="98"/>
      <c r="C184" s="171">
        <v>1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9"/>
      <c r="T184" s="165">
        <f t="shared" si="117"/>
        <v>1</v>
      </c>
      <c r="V184" s="8"/>
      <c r="X184" s="8"/>
      <c r="AB184" s="46"/>
      <c r="AD184" s="2"/>
      <c r="AE184" s="51"/>
      <c r="AF184" s="10"/>
      <c r="AG184" s="10"/>
      <c r="AH184" s="8"/>
      <c r="AI184" s="10"/>
      <c r="AJ184" s="10"/>
      <c r="AK184" s="10"/>
      <c r="AL184" s="162"/>
      <c r="AM184" s="178">
        <f t="shared" si="118"/>
        <v>0</v>
      </c>
      <c r="AQ184" s="1">
        <f t="shared" si="122"/>
        <v>0</v>
      </c>
      <c r="AR184" s="1">
        <f t="shared" si="123"/>
        <v>0</v>
      </c>
      <c r="AS184" s="1">
        <f t="shared" si="124"/>
        <v>0</v>
      </c>
      <c r="AT184" s="1">
        <f t="shared" si="119"/>
        <v>0</v>
      </c>
      <c r="AU184" s="1">
        <f t="shared" si="120"/>
        <v>0</v>
      </c>
      <c r="AV184" s="8">
        <f t="shared" si="121"/>
        <v>0</v>
      </c>
    </row>
    <row r="185" spans="1:48" ht="17.399999999999999">
      <c r="A185" s="168"/>
      <c r="B185" s="98"/>
      <c r="C185" s="171">
        <v>1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9"/>
      <c r="T185" s="165">
        <f t="shared" si="117"/>
        <v>1</v>
      </c>
      <c r="V185" s="8"/>
      <c r="X185" s="8"/>
      <c r="AB185" s="46"/>
      <c r="AD185" s="2"/>
      <c r="AE185" s="51"/>
      <c r="AF185" s="10"/>
      <c r="AG185" s="10"/>
      <c r="AH185" s="8"/>
      <c r="AI185" s="10"/>
      <c r="AJ185" s="10"/>
      <c r="AK185" s="10"/>
      <c r="AL185" s="162"/>
      <c r="AM185" s="178">
        <f t="shared" si="118"/>
        <v>0</v>
      </c>
      <c r="AQ185" s="1">
        <f t="shared" si="122"/>
        <v>0</v>
      </c>
      <c r="AR185" s="1">
        <f t="shared" si="123"/>
        <v>0</v>
      </c>
      <c r="AS185" s="1">
        <f t="shared" si="124"/>
        <v>0</v>
      </c>
      <c r="AT185" s="1">
        <f t="shared" si="119"/>
        <v>0</v>
      </c>
      <c r="AU185" s="1">
        <f t="shared" si="120"/>
        <v>0</v>
      </c>
      <c r="AV185" s="8">
        <f t="shared" si="121"/>
        <v>0</v>
      </c>
    </row>
    <row r="186" spans="1:48" ht="17.399999999999999">
      <c r="A186" s="168"/>
      <c r="B186" s="98"/>
      <c r="C186" s="171">
        <v>1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9"/>
      <c r="T186" s="165">
        <f t="shared" si="117"/>
        <v>1</v>
      </c>
      <c r="V186" s="8"/>
      <c r="X186" s="8"/>
      <c r="AB186" s="46"/>
      <c r="AD186" s="2"/>
      <c r="AE186" s="51"/>
      <c r="AF186" s="10"/>
      <c r="AG186" s="10"/>
      <c r="AH186" s="8"/>
      <c r="AI186" s="10"/>
      <c r="AJ186" s="10"/>
      <c r="AK186" s="10"/>
      <c r="AL186" s="162"/>
      <c r="AM186" s="178">
        <f t="shared" si="118"/>
        <v>0</v>
      </c>
      <c r="AQ186" s="1">
        <f t="shared" si="122"/>
        <v>0</v>
      </c>
      <c r="AR186" s="1">
        <f t="shared" si="123"/>
        <v>0</v>
      </c>
      <c r="AS186" s="1">
        <f t="shared" si="124"/>
        <v>0</v>
      </c>
      <c r="AT186" s="1">
        <f t="shared" si="119"/>
        <v>0</v>
      </c>
      <c r="AU186" s="1">
        <f t="shared" si="120"/>
        <v>0</v>
      </c>
      <c r="AV186" s="8">
        <f t="shared" si="121"/>
        <v>0</v>
      </c>
    </row>
    <row r="187" spans="1:48" ht="17.399999999999999">
      <c r="A187" s="168"/>
      <c r="B187" s="98"/>
      <c r="C187" s="171">
        <v>1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9"/>
      <c r="T187" s="165">
        <f t="shared" si="117"/>
        <v>1</v>
      </c>
      <c r="V187" s="8"/>
      <c r="X187" s="8"/>
      <c r="AB187" s="46"/>
      <c r="AD187" s="2"/>
      <c r="AE187" s="51"/>
      <c r="AF187" s="10"/>
      <c r="AG187" s="10"/>
      <c r="AH187" s="8"/>
      <c r="AI187" s="10"/>
      <c r="AJ187" s="10"/>
      <c r="AK187" s="10"/>
      <c r="AL187" s="162"/>
      <c r="AM187" s="178">
        <f t="shared" si="118"/>
        <v>0</v>
      </c>
      <c r="AQ187" s="1">
        <f t="shared" si="122"/>
        <v>0</v>
      </c>
      <c r="AR187" s="1">
        <f t="shared" si="123"/>
        <v>0</v>
      </c>
      <c r="AS187" s="1">
        <f t="shared" si="124"/>
        <v>0</v>
      </c>
      <c r="AT187" s="1">
        <f t="shared" si="119"/>
        <v>0</v>
      </c>
      <c r="AU187" s="1">
        <f t="shared" si="120"/>
        <v>0</v>
      </c>
      <c r="AV187" s="8">
        <f t="shared" si="121"/>
        <v>0</v>
      </c>
    </row>
    <row r="188" spans="1:48" ht="17.399999999999999">
      <c r="A188" s="168"/>
      <c r="B188" s="98"/>
      <c r="C188" s="171">
        <v>1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9"/>
      <c r="T188" s="165">
        <f t="shared" si="117"/>
        <v>1</v>
      </c>
      <c r="V188" s="8"/>
      <c r="X188" s="8"/>
      <c r="AB188" s="46"/>
      <c r="AD188" s="2"/>
      <c r="AE188" s="51"/>
      <c r="AF188" s="10"/>
      <c r="AG188" s="10"/>
      <c r="AH188" s="8"/>
      <c r="AI188" s="10"/>
      <c r="AJ188" s="10"/>
      <c r="AK188" s="10"/>
      <c r="AL188" s="162"/>
      <c r="AM188" s="178">
        <f t="shared" si="118"/>
        <v>0</v>
      </c>
      <c r="AQ188" s="1">
        <f t="shared" si="122"/>
        <v>0</v>
      </c>
      <c r="AR188" s="1">
        <f t="shared" si="123"/>
        <v>0</v>
      </c>
      <c r="AS188" s="1">
        <f t="shared" si="124"/>
        <v>0</v>
      </c>
      <c r="AT188" s="1">
        <f t="shared" si="119"/>
        <v>0</v>
      </c>
      <c r="AU188" s="1">
        <f t="shared" si="120"/>
        <v>0</v>
      </c>
      <c r="AV188" s="8">
        <f t="shared" si="121"/>
        <v>0</v>
      </c>
    </row>
    <row r="189" spans="1:48" ht="17.399999999999999">
      <c r="A189" s="168"/>
      <c r="B189" s="98"/>
      <c r="C189" s="171">
        <v>1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9"/>
      <c r="T189" s="165">
        <f t="shared" si="117"/>
        <v>1</v>
      </c>
      <c r="V189" s="8"/>
      <c r="X189" s="8"/>
      <c r="AB189" s="46"/>
      <c r="AD189" s="2"/>
      <c r="AE189" s="51"/>
      <c r="AF189" s="10"/>
      <c r="AG189" s="10"/>
      <c r="AH189" s="8"/>
      <c r="AI189" s="10"/>
      <c r="AJ189" s="10"/>
      <c r="AK189" s="10"/>
      <c r="AL189" s="162"/>
      <c r="AM189" s="178">
        <f t="shared" si="118"/>
        <v>0</v>
      </c>
      <c r="AQ189" s="1">
        <f t="shared" si="122"/>
        <v>0</v>
      </c>
      <c r="AR189" s="1">
        <f t="shared" si="123"/>
        <v>0</v>
      </c>
      <c r="AS189" s="1">
        <f t="shared" si="124"/>
        <v>0</v>
      </c>
      <c r="AT189" s="1">
        <f t="shared" si="119"/>
        <v>0</v>
      </c>
      <c r="AU189" s="1">
        <f t="shared" si="120"/>
        <v>0</v>
      </c>
      <c r="AV189" s="8">
        <f t="shared" si="121"/>
        <v>0</v>
      </c>
    </row>
    <row r="190" spans="1:48" ht="17.399999999999999">
      <c r="A190" s="168"/>
      <c r="B190" s="98"/>
      <c r="C190" s="171">
        <v>1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9"/>
      <c r="T190" s="165">
        <f t="shared" si="117"/>
        <v>1</v>
      </c>
      <c r="V190" s="8"/>
      <c r="X190" s="8"/>
      <c r="AB190" s="46"/>
      <c r="AD190" s="2"/>
      <c r="AE190" s="51"/>
      <c r="AF190" s="10"/>
      <c r="AG190" s="10"/>
      <c r="AH190" s="8"/>
      <c r="AI190" s="10"/>
      <c r="AJ190" s="10"/>
      <c r="AK190" s="10"/>
      <c r="AL190" s="162"/>
      <c r="AM190" s="178">
        <f t="shared" si="118"/>
        <v>0</v>
      </c>
      <c r="AQ190" s="1">
        <f t="shared" si="122"/>
        <v>0</v>
      </c>
      <c r="AR190" s="1">
        <f t="shared" si="123"/>
        <v>0</v>
      </c>
      <c r="AS190" s="1">
        <f t="shared" si="124"/>
        <v>0</v>
      </c>
      <c r="AT190" s="1">
        <f t="shared" si="119"/>
        <v>0</v>
      </c>
      <c r="AU190" s="1">
        <f t="shared" si="120"/>
        <v>0</v>
      </c>
      <c r="AV190" s="8">
        <f t="shared" si="121"/>
        <v>0</v>
      </c>
    </row>
    <row r="191" spans="1:48" ht="17.399999999999999">
      <c r="A191" s="168"/>
      <c r="B191" s="98"/>
      <c r="C191" s="171">
        <v>1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9"/>
      <c r="T191" s="165">
        <f t="shared" si="117"/>
        <v>1</v>
      </c>
      <c r="V191" s="8"/>
      <c r="X191" s="8"/>
      <c r="AB191" s="46"/>
      <c r="AD191" s="2"/>
      <c r="AE191" s="51"/>
      <c r="AF191" s="10"/>
      <c r="AG191" s="10"/>
      <c r="AH191" s="8"/>
      <c r="AI191" s="10"/>
      <c r="AJ191" s="10"/>
      <c r="AK191" s="10"/>
      <c r="AL191" s="162"/>
      <c r="AM191" s="178">
        <f t="shared" si="118"/>
        <v>0</v>
      </c>
      <c r="AQ191" s="1">
        <f t="shared" si="122"/>
        <v>0</v>
      </c>
      <c r="AR191" s="1">
        <f t="shared" si="123"/>
        <v>0</v>
      </c>
      <c r="AS191" s="1">
        <f t="shared" si="124"/>
        <v>0</v>
      </c>
      <c r="AT191" s="1">
        <f t="shared" si="119"/>
        <v>0</v>
      </c>
      <c r="AU191" s="1">
        <f t="shared" si="120"/>
        <v>0</v>
      </c>
      <c r="AV191" s="8">
        <f t="shared" si="121"/>
        <v>0</v>
      </c>
    </row>
    <row r="192" spans="1:48" ht="17.399999999999999">
      <c r="A192" s="168"/>
      <c r="B192" s="98"/>
      <c r="C192" s="171">
        <v>1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9"/>
      <c r="T192" s="165">
        <f t="shared" si="117"/>
        <v>1</v>
      </c>
      <c r="V192" s="8"/>
      <c r="X192" s="8"/>
      <c r="AB192" s="46"/>
      <c r="AD192" s="2"/>
      <c r="AE192" s="51"/>
      <c r="AF192" s="10"/>
      <c r="AG192" s="10"/>
      <c r="AH192" s="8"/>
      <c r="AI192" s="10"/>
      <c r="AJ192" s="10"/>
      <c r="AK192" s="10"/>
      <c r="AL192" s="162"/>
      <c r="AM192" s="178">
        <f t="shared" si="118"/>
        <v>0</v>
      </c>
      <c r="AQ192" s="1">
        <f t="shared" si="122"/>
        <v>0</v>
      </c>
      <c r="AR192" s="1">
        <f t="shared" si="123"/>
        <v>0</v>
      </c>
      <c r="AS192" s="1">
        <f t="shared" si="124"/>
        <v>0</v>
      </c>
      <c r="AT192" s="1">
        <f t="shared" si="119"/>
        <v>0</v>
      </c>
      <c r="AU192" s="1">
        <f t="shared" si="120"/>
        <v>0</v>
      </c>
      <c r="AV192" s="8">
        <f t="shared" si="121"/>
        <v>0</v>
      </c>
    </row>
    <row r="193" spans="1:48" ht="17.399999999999999">
      <c r="A193" s="168"/>
      <c r="B193" s="98"/>
      <c r="C193" s="171">
        <v>1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9"/>
      <c r="T193" s="165">
        <f t="shared" si="117"/>
        <v>1</v>
      </c>
      <c r="V193" s="8"/>
      <c r="X193" s="8"/>
      <c r="AB193" s="46"/>
      <c r="AD193" s="2"/>
      <c r="AE193" s="51"/>
      <c r="AF193" s="10"/>
      <c r="AG193" s="10"/>
      <c r="AH193" s="8"/>
      <c r="AI193" s="10"/>
      <c r="AJ193" s="10"/>
      <c r="AK193" s="10"/>
      <c r="AL193" s="162"/>
      <c r="AM193" s="178">
        <f t="shared" si="118"/>
        <v>0</v>
      </c>
      <c r="AQ193" s="1">
        <f t="shared" si="122"/>
        <v>0</v>
      </c>
      <c r="AR193" s="1">
        <f t="shared" si="123"/>
        <v>0</v>
      </c>
      <c r="AS193" s="1">
        <f t="shared" si="124"/>
        <v>0</v>
      </c>
      <c r="AT193" s="1">
        <f t="shared" si="119"/>
        <v>0</v>
      </c>
      <c r="AU193" s="1">
        <f t="shared" si="120"/>
        <v>0</v>
      </c>
      <c r="AV193" s="8">
        <f t="shared" si="121"/>
        <v>0</v>
      </c>
    </row>
    <row r="194" spans="1:48" ht="17.399999999999999">
      <c r="A194" s="168"/>
      <c r="B194" s="98"/>
      <c r="C194" s="171">
        <v>1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9"/>
      <c r="T194" s="165">
        <f t="shared" si="117"/>
        <v>1</v>
      </c>
      <c r="V194" s="8"/>
      <c r="X194" s="8"/>
      <c r="AB194" s="46"/>
      <c r="AD194" s="2"/>
      <c r="AE194" s="51"/>
      <c r="AF194" s="10"/>
      <c r="AG194" s="10"/>
      <c r="AH194" s="8"/>
      <c r="AI194" s="10"/>
      <c r="AJ194" s="10"/>
      <c r="AK194" s="10"/>
      <c r="AL194" s="162"/>
      <c r="AM194" s="178">
        <f t="shared" si="118"/>
        <v>0</v>
      </c>
      <c r="AQ194" s="1">
        <f t="shared" si="122"/>
        <v>0</v>
      </c>
      <c r="AR194" s="1">
        <f t="shared" si="123"/>
        <v>0</v>
      </c>
      <c r="AS194" s="1">
        <f t="shared" si="124"/>
        <v>0</v>
      </c>
      <c r="AT194" s="1">
        <f t="shared" si="119"/>
        <v>0</v>
      </c>
      <c r="AU194" s="1">
        <f t="shared" si="120"/>
        <v>0</v>
      </c>
      <c r="AV194" s="8">
        <f t="shared" si="121"/>
        <v>0</v>
      </c>
    </row>
    <row r="195" spans="1:48" ht="17.399999999999999">
      <c r="A195" s="168"/>
      <c r="B195" s="98"/>
      <c r="C195" s="171">
        <v>1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9"/>
      <c r="T195" s="165">
        <f t="shared" si="117"/>
        <v>1</v>
      </c>
      <c r="V195" s="8"/>
      <c r="X195" s="8"/>
      <c r="AB195" s="46"/>
      <c r="AD195" s="2"/>
      <c r="AE195" s="51"/>
      <c r="AF195" s="10"/>
      <c r="AG195" s="10"/>
      <c r="AH195" s="8"/>
      <c r="AI195" s="10"/>
      <c r="AJ195" s="10"/>
      <c r="AK195" s="10"/>
      <c r="AL195" s="162"/>
      <c r="AM195" s="178">
        <f t="shared" si="118"/>
        <v>0</v>
      </c>
      <c r="AQ195" s="1">
        <f t="shared" si="122"/>
        <v>0</v>
      </c>
      <c r="AR195" s="1">
        <f t="shared" si="123"/>
        <v>0</v>
      </c>
      <c r="AS195" s="1">
        <f t="shared" si="124"/>
        <v>0</v>
      </c>
      <c r="AT195" s="1">
        <f t="shared" si="119"/>
        <v>0</v>
      </c>
      <c r="AU195" s="1">
        <f t="shared" si="120"/>
        <v>0</v>
      </c>
      <c r="AV195" s="8">
        <f t="shared" si="121"/>
        <v>0</v>
      </c>
    </row>
    <row r="196" spans="1:48" ht="17.399999999999999">
      <c r="A196" s="168"/>
      <c r="B196" s="98"/>
      <c r="C196" s="171">
        <v>1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9"/>
      <c r="T196" s="165">
        <f t="shared" si="117"/>
        <v>1</v>
      </c>
      <c r="V196" s="8"/>
      <c r="X196" s="8"/>
      <c r="AB196" s="46"/>
      <c r="AD196" s="2"/>
      <c r="AE196" s="51"/>
      <c r="AF196" s="10"/>
      <c r="AG196" s="10"/>
      <c r="AH196" s="8"/>
      <c r="AI196" s="10"/>
      <c r="AJ196" s="10"/>
      <c r="AK196" s="10"/>
      <c r="AL196" s="162"/>
      <c r="AM196" s="178">
        <f t="shared" si="118"/>
        <v>0</v>
      </c>
      <c r="AQ196" s="1">
        <f t="shared" si="122"/>
        <v>0</v>
      </c>
      <c r="AR196" s="1">
        <f t="shared" si="123"/>
        <v>0</v>
      </c>
      <c r="AS196" s="1">
        <f t="shared" si="124"/>
        <v>0</v>
      </c>
      <c r="AT196" s="1">
        <f t="shared" si="119"/>
        <v>0</v>
      </c>
      <c r="AU196" s="1">
        <f t="shared" si="120"/>
        <v>0</v>
      </c>
      <c r="AV196" s="8">
        <f t="shared" si="121"/>
        <v>0</v>
      </c>
    </row>
    <row r="197" spans="1:48" ht="17.399999999999999">
      <c r="A197" s="168"/>
      <c r="B197" s="98"/>
      <c r="C197" s="171">
        <v>1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9"/>
      <c r="T197" s="165">
        <f t="shared" si="117"/>
        <v>1</v>
      </c>
      <c r="V197" s="8"/>
      <c r="X197" s="8"/>
      <c r="AB197" s="46"/>
      <c r="AD197" s="2"/>
      <c r="AE197" s="51"/>
      <c r="AF197" s="10"/>
      <c r="AG197" s="10"/>
      <c r="AH197" s="8"/>
      <c r="AI197" s="10"/>
      <c r="AJ197" s="10"/>
      <c r="AK197" s="10"/>
      <c r="AL197" s="162"/>
      <c r="AM197" s="178">
        <f t="shared" si="118"/>
        <v>0</v>
      </c>
      <c r="AQ197" s="1">
        <f t="shared" si="122"/>
        <v>0</v>
      </c>
      <c r="AR197" s="1">
        <f t="shared" si="123"/>
        <v>0</v>
      </c>
      <c r="AS197" s="1">
        <f t="shared" si="124"/>
        <v>0</v>
      </c>
      <c r="AT197" s="1">
        <f t="shared" si="119"/>
        <v>0</v>
      </c>
      <c r="AU197" s="1">
        <f t="shared" si="120"/>
        <v>0</v>
      </c>
      <c r="AV197" s="8">
        <f t="shared" si="121"/>
        <v>0</v>
      </c>
    </row>
    <row r="198" spans="1:48" ht="17.399999999999999">
      <c r="A198" s="168"/>
      <c r="B198" s="98"/>
      <c r="C198" s="171">
        <v>1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9"/>
      <c r="T198" s="165">
        <f t="shared" si="117"/>
        <v>1</v>
      </c>
      <c r="V198" s="8"/>
      <c r="X198" s="8"/>
      <c r="AB198" s="46"/>
      <c r="AD198" s="2"/>
      <c r="AE198" s="51"/>
      <c r="AF198" s="10"/>
      <c r="AG198" s="10"/>
      <c r="AH198" s="8"/>
      <c r="AI198" s="10"/>
      <c r="AJ198" s="10"/>
      <c r="AK198" s="10"/>
      <c r="AL198" s="162"/>
      <c r="AM198" s="178">
        <f t="shared" si="118"/>
        <v>0</v>
      </c>
      <c r="AQ198" s="1">
        <f t="shared" si="122"/>
        <v>0</v>
      </c>
      <c r="AR198" s="1">
        <f t="shared" si="123"/>
        <v>0</v>
      </c>
      <c r="AS198" s="1">
        <f t="shared" si="124"/>
        <v>0</v>
      </c>
      <c r="AT198" s="1">
        <f t="shared" si="119"/>
        <v>0</v>
      </c>
      <c r="AU198" s="1">
        <f t="shared" si="120"/>
        <v>0</v>
      </c>
      <c r="AV198" s="8">
        <f t="shared" si="121"/>
        <v>0</v>
      </c>
    </row>
    <row r="199" spans="1:48" ht="17.399999999999999">
      <c r="A199" s="168"/>
      <c r="B199" s="98"/>
      <c r="C199" s="171">
        <v>1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9"/>
      <c r="T199" s="165">
        <f t="shared" si="117"/>
        <v>1</v>
      </c>
      <c r="V199" s="8"/>
      <c r="X199" s="8"/>
      <c r="AB199" s="46"/>
      <c r="AD199" s="2"/>
      <c r="AE199" s="51"/>
      <c r="AF199" s="10"/>
      <c r="AG199" s="10"/>
      <c r="AH199" s="8"/>
      <c r="AI199" s="10"/>
      <c r="AJ199" s="10"/>
      <c r="AK199" s="10"/>
      <c r="AL199" s="162"/>
      <c r="AM199" s="178">
        <f t="shared" si="118"/>
        <v>0</v>
      </c>
      <c r="AQ199" s="1">
        <f t="shared" si="122"/>
        <v>0</v>
      </c>
      <c r="AR199" s="1">
        <f t="shared" si="123"/>
        <v>0</v>
      </c>
      <c r="AS199" s="1">
        <f t="shared" si="124"/>
        <v>0</v>
      </c>
      <c r="AT199" s="1">
        <f t="shared" si="119"/>
        <v>0</v>
      </c>
      <c r="AU199" s="1">
        <f t="shared" si="120"/>
        <v>0</v>
      </c>
      <c r="AV199" s="8">
        <f t="shared" si="121"/>
        <v>0</v>
      </c>
    </row>
    <row r="200" spans="1:48" ht="17.399999999999999">
      <c r="A200" s="168"/>
      <c r="B200" s="98"/>
      <c r="C200" s="171">
        <v>1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9"/>
      <c r="T200" s="165">
        <f t="shared" si="117"/>
        <v>1</v>
      </c>
      <c r="V200" s="8"/>
      <c r="X200" s="8"/>
      <c r="AB200" s="46"/>
      <c r="AD200" s="2"/>
      <c r="AE200" s="51"/>
      <c r="AF200" s="10"/>
      <c r="AG200" s="10"/>
      <c r="AH200" s="8"/>
      <c r="AI200" s="10"/>
      <c r="AJ200" s="10"/>
      <c r="AK200" s="10"/>
      <c r="AL200" s="162"/>
      <c r="AM200" s="178">
        <f t="shared" si="118"/>
        <v>0</v>
      </c>
      <c r="AQ200" s="1">
        <f t="shared" si="122"/>
        <v>0</v>
      </c>
      <c r="AR200" s="1">
        <f t="shared" si="123"/>
        <v>0</v>
      </c>
      <c r="AS200" s="1">
        <f t="shared" si="124"/>
        <v>0</v>
      </c>
      <c r="AT200" s="1">
        <f t="shared" si="119"/>
        <v>0</v>
      </c>
      <c r="AU200" s="1">
        <f t="shared" si="120"/>
        <v>0</v>
      </c>
      <c r="AV200" s="8">
        <f t="shared" si="121"/>
        <v>0</v>
      </c>
    </row>
    <row r="201" spans="1:48" ht="17.399999999999999">
      <c r="A201" s="168"/>
      <c r="B201" s="98"/>
      <c r="C201" s="171">
        <v>1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9"/>
      <c r="T201" s="165">
        <f t="shared" si="117"/>
        <v>1</v>
      </c>
      <c r="V201" s="8"/>
      <c r="X201" s="8"/>
      <c r="AB201" s="46"/>
      <c r="AD201" s="2"/>
      <c r="AE201" s="51"/>
      <c r="AF201" s="10"/>
      <c r="AG201" s="10"/>
      <c r="AH201" s="8"/>
      <c r="AI201" s="10"/>
      <c r="AJ201" s="10"/>
      <c r="AK201" s="10"/>
      <c r="AL201" s="162"/>
      <c r="AM201" s="178">
        <f t="shared" si="118"/>
        <v>0</v>
      </c>
      <c r="AQ201" s="1">
        <f t="shared" si="122"/>
        <v>0</v>
      </c>
      <c r="AR201" s="1">
        <f t="shared" si="123"/>
        <v>0</v>
      </c>
      <c r="AS201" s="1">
        <f t="shared" si="124"/>
        <v>0</v>
      </c>
      <c r="AT201" s="1">
        <f t="shared" si="119"/>
        <v>0</v>
      </c>
      <c r="AU201" s="1">
        <f t="shared" si="120"/>
        <v>0</v>
      </c>
      <c r="AV201" s="8">
        <f t="shared" si="121"/>
        <v>0</v>
      </c>
    </row>
    <row r="202" spans="1:48" ht="17.399999999999999">
      <c r="A202" s="168"/>
      <c r="B202" s="98"/>
      <c r="C202" s="171">
        <v>1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9"/>
      <c r="T202" s="165">
        <f t="shared" si="117"/>
        <v>1</v>
      </c>
      <c r="V202" s="8"/>
      <c r="X202" s="8"/>
      <c r="AB202" s="46"/>
      <c r="AD202" s="2"/>
      <c r="AE202" s="52"/>
      <c r="AF202" s="10"/>
      <c r="AG202" s="10"/>
      <c r="AH202" s="8"/>
      <c r="AI202" s="42"/>
      <c r="AJ202" s="10"/>
      <c r="AK202" s="10"/>
      <c r="AL202" s="162"/>
      <c r="AM202" s="178">
        <f t="shared" si="118"/>
        <v>0</v>
      </c>
      <c r="AQ202" s="1">
        <f t="shared" si="122"/>
        <v>0</v>
      </c>
      <c r="AR202" s="1">
        <f t="shared" si="123"/>
        <v>0</v>
      </c>
      <c r="AS202" s="1">
        <f t="shared" ref="AS202:AS205" si="125">(AG202*AR202)</f>
        <v>0</v>
      </c>
      <c r="AT202" s="1">
        <f t="shared" si="119"/>
        <v>0</v>
      </c>
      <c r="AU202" s="1">
        <f t="shared" si="120"/>
        <v>0</v>
      </c>
      <c r="AV202" s="8">
        <f t="shared" si="121"/>
        <v>0</v>
      </c>
    </row>
    <row r="203" spans="1:48" ht="17.399999999999999">
      <c r="A203" s="168"/>
      <c r="B203" s="98"/>
      <c r="C203" s="171">
        <v>1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9"/>
      <c r="T203" s="165">
        <f>C203</f>
        <v>1</v>
      </c>
      <c r="V203" s="8"/>
      <c r="X203" s="8"/>
      <c r="AB203" s="46"/>
      <c r="AD203" s="2"/>
      <c r="AE203" s="52"/>
      <c r="AF203" s="10"/>
      <c r="AG203" s="10"/>
      <c r="AH203" s="8"/>
      <c r="AI203" s="42"/>
      <c r="AJ203" s="10"/>
      <c r="AK203" s="10"/>
      <c r="AL203" s="162"/>
      <c r="AM203" s="178">
        <f t="shared" ref="AM203:AM205" si="126">IF(AQ203=0.0001,0,((AL203-AQ203)^2)^0.5)</f>
        <v>0</v>
      </c>
      <c r="AQ203" s="1">
        <f t="shared" si="122"/>
        <v>0</v>
      </c>
      <c r="AR203" s="1">
        <f t="shared" si="123"/>
        <v>0</v>
      </c>
      <c r="AS203" s="1">
        <f t="shared" si="125"/>
        <v>0</v>
      </c>
      <c r="AT203" s="1">
        <f t="shared" ref="AT203:AT205" si="127">B203</f>
        <v>0</v>
      </c>
      <c r="AU203" s="1">
        <f t="shared" ref="AU203:AU205" si="128">A203</f>
        <v>0</v>
      </c>
      <c r="AV203" s="8">
        <f t="shared" ref="AV203:AV205" si="129">IF(C203=1,D203,0.01)</f>
        <v>0</v>
      </c>
    </row>
    <row r="204" spans="1:48" ht="17.399999999999999">
      <c r="A204" s="168"/>
      <c r="B204" s="98"/>
      <c r="C204" s="171">
        <v>1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9"/>
      <c r="T204" s="165">
        <f>C204</f>
        <v>1</v>
      </c>
      <c r="V204" s="8"/>
      <c r="X204" s="8"/>
      <c r="AB204" s="46"/>
      <c r="AD204" s="2"/>
      <c r="AE204" s="52"/>
      <c r="AF204" s="10"/>
      <c r="AG204" s="10"/>
      <c r="AH204" s="8"/>
      <c r="AI204" s="42"/>
      <c r="AJ204" s="10"/>
      <c r="AK204" s="10"/>
      <c r="AL204" s="162"/>
      <c r="AM204" s="178">
        <f t="shared" si="126"/>
        <v>0</v>
      </c>
      <c r="AQ204" s="1">
        <f t="shared" si="122"/>
        <v>0</v>
      </c>
      <c r="AR204" s="1">
        <f t="shared" si="123"/>
        <v>0</v>
      </c>
      <c r="AS204" s="1">
        <f t="shared" si="125"/>
        <v>0</v>
      </c>
      <c r="AT204" s="1">
        <f t="shared" si="127"/>
        <v>0</v>
      </c>
      <c r="AU204" s="1">
        <f t="shared" si="128"/>
        <v>0</v>
      </c>
      <c r="AV204" s="8">
        <f t="shared" si="129"/>
        <v>0</v>
      </c>
    </row>
    <row r="205" spans="1:48" ht="17.399999999999999">
      <c r="A205" s="168"/>
      <c r="B205" s="98"/>
      <c r="C205" s="171">
        <v>1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9"/>
      <c r="T205" s="165">
        <f>C205</f>
        <v>1</v>
      </c>
      <c r="V205" s="8"/>
      <c r="X205" s="8"/>
      <c r="AB205" s="46"/>
      <c r="AD205" s="2"/>
      <c r="AE205" s="52"/>
      <c r="AF205" s="10"/>
      <c r="AG205" s="10"/>
      <c r="AH205" s="8"/>
      <c r="AI205" s="42"/>
      <c r="AJ205" s="10"/>
      <c r="AK205" s="10"/>
      <c r="AL205" s="162"/>
      <c r="AM205" s="178">
        <f t="shared" si="126"/>
        <v>0</v>
      </c>
      <c r="AQ205" s="1">
        <f t="shared" si="122"/>
        <v>0</v>
      </c>
      <c r="AR205" s="1">
        <f t="shared" si="123"/>
        <v>0</v>
      </c>
      <c r="AS205" s="1">
        <f t="shared" si="125"/>
        <v>0</v>
      </c>
      <c r="AT205" s="1">
        <f t="shared" si="127"/>
        <v>0</v>
      </c>
      <c r="AU205" s="1">
        <f t="shared" si="128"/>
        <v>0</v>
      </c>
      <c r="AV205" s="8">
        <f t="shared" si="129"/>
        <v>0</v>
      </c>
    </row>
    <row r="206" spans="1:48">
      <c r="A206" s="53"/>
      <c r="B206" s="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9"/>
      <c r="T206" s="9"/>
      <c r="V206" s="8"/>
      <c r="X206" s="8"/>
      <c r="AE206" s="51"/>
      <c r="AF206" s="7"/>
    </row>
    <row r="207" spans="1:48">
      <c r="A207" s="53"/>
      <c r="B207" s="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9"/>
      <c r="T207" s="9"/>
      <c r="V207" s="8"/>
      <c r="X207" s="8"/>
      <c r="AE207" s="51"/>
      <c r="AF207" s="7"/>
    </row>
    <row r="208" spans="1:48">
      <c r="A208" s="53"/>
      <c r="B208" s="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9"/>
      <c r="T208" s="9"/>
      <c r="V208" s="8"/>
      <c r="X208" s="8"/>
      <c r="AE208" s="52"/>
      <c r="AF208" s="41"/>
      <c r="AG208" s="5"/>
      <c r="AH208" s="5"/>
      <c r="AI208" s="5"/>
    </row>
    <row r="209" spans="1:35">
      <c r="A209" s="53"/>
      <c r="B209" s="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9"/>
      <c r="T209" s="9"/>
      <c r="V209" s="8"/>
      <c r="X209" s="8"/>
      <c r="AE209" s="52"/>
      <c r="AF209" s="41"/>
      <c r="AG209" s="5"/>
      <c r="AH209" s="5"/>
      <c r="AI209" s="5"/>
    </row>
    <row r="210" spans="1:35">
      <c r="AE210" s="53"/>
      <c r="AF210" s="5"/>
      <c r="AG210" s="5"/>
      <c r="AH210" s="5"/>
      <c r="AI210" s="5"/>
    </row>
    <row r="211" spans="1:35">
      <c r="AE211" s="52"/>
      <c r="AF211" s="5"/>
      <c r="AG211" s="5"/>
      <c r="AH211" s="5"/>
      <c r="AI211" s="5"/>
    </row>
    <row r="302" spans="1:21">
      <c r="C302" s="14" t="s">
        <v>47</v>
      </c>
    </row>
    <row r="303" spans="1:21">
      <c r="B303" s="1" t="s">
        <v>48</v>
      </c>
      <c r="D303" s="1" t="s">
        <v>10</v>
      </c>
      <c r="F303" s="1" t="s">
        <v>10</v>
      </c>
      <c r="I303" s="1" t="s">
        <v>48</v>
      </c>
      <c r="K303" s="1" t="s">
        <v>48</v>
      </c>
      <c r="N303" s="1" t="s">
        <v>48</v>
      </c>
    </row>
    <row r="304" spans="1:21">
      <c r="A304" s="54" t="str">
        <f>B9</f>
        <v>%BVocc</v>
      </c>
      <c r="B304" s="6" t="str">
        <f>A304</f>
        <v>%BVocc</v>
      </c>
      <c r="C304" s="7" t="str">
        <f>D9</f>
        <v>%BVoccCORR</v>
      </c>
      <c r="D304" s="6" t="str">
        <f>C304</f>
        <v>%BVoccCORR</v>
      </c>
      <c r="E304" s="1" t="str">
        <f>E9</f>
        <v>THOMEER BV1</v>
      </c>
      <c r="F304" s="6" t="str">
        <f>E304</f>
        <v>THOMEER BV1</v>
      </c>
      <c r="G304" s="1" t="str">
        <f>G9</f>
        <v>THOMEER BV2</v>
      </c>
      <c r="I304" s="6" t="str">
        <f>G304</f>
        <v>THOMEER BV2</v>
      </c>
      <c r="J304" s="1" t="str">
        <f>J9</f>
        <v xml:space="preserve"> BV1+BV2</v>
      </c>
      <c r="K304" s="6" t="str">
        <f>J304</f>
        <v xml:space="preserve"> BV1+BV2</v>
      </c>
      <c r="L304" s="85"/>
      <c r="N304" s="6" t="s">
        <v>21</v>
      </c>
      <c r="S304" s="1" t="s">
        <v>10</v>
      </c>
      <c r="T304" s="1" t="s">
        <v>88</v>
      </c>
      <c r="U304" s="1" t="s">
        <v>87</v>
      </c>
    </row>
    <row r="305" spans="1:22">
      <c r="A305" s="135">
        <f>IF(B10&lt;0.0001,0.01,IF(B10="",0.001,B10))</f>
        <v>0.01</v>
      </c>
      <c r="B305" s="1">
        <f>IF(A10&lt;0.0001,0.01,IF(A10="",0.001,A10))</f>
        <v>1.54</v>
      </c>
      <c r="C305" s="7">
        <f t="shared" ref="C305:C336" si="130">IF(D10&lt;0.0001,0.1,IF(D10="",0.001,D10))</f>
        <v>0.1</v>
      </c>
      <c r="D305" s="1">
        <f>IF(A10="",0.001,A10)</f>
        <v>1.54</v>
      </c>
      <c r="E305" s="8">
        <f t="shared" ref="E305:E336" si="131">IF(E10&lt;0.0001,0.1,IF(E10="",E304,E10))</f>
        <v>6.2435927989993212E-4</v>
      </c>
      <c r="F305" s="1">
        <f>IF(A10="",0.001,A10)</f>
        <v>1.54</v>
      </c>
      <c r="G305" s="10">
        <f t="shared" ref="G305:G336" si="132">IF(G10&lt;0.0001,0.1,IF(G10="",0.0001,G10))</f>
        <v>0.1</v>
      </c>
      <c r="H305" s="10"/>
      <c r="I305" s="1">
        <f>IF(A10="",0.0001,A10)</f>
        <v>1.54</v>
      </c>
      <c r="J305" s="8">
        <f>IF(J10&lt;0.0001,0.1,IF(J10="",0.0001,J10))</f>
        <v>6.2435927989993212E-4</v>
      </c>
      <c r="K305" s="1">
        <f>IF(A10="",0.001,A10)</f>
        <v>1.54</v>
      </c>
      <c r="M305" s="1">
        <f t="shared" ref="M305:M336" si="133">IF(O10&lt;0.0001,0.1,IF(O10="",0.0001,O10))</f>
        <v>6.2435927989993212E-4</v>
      </c>
      <c r="N305" s="1">
        <f>K305</f>
        <v>1.54</v>
      </c>
      <c r="S305" s="98">
        <v>26.55</v>
      </c>
      <c r="T305" s="2">
        <v>10</v>
      </c>
      <c r="U305" s="1">
        <v>8.0245620696968309</v>
      </c>
      <c r="V305" s="1">
        <v>1.0999999999999999E-2</v>
      </c>
    </row>
    <row r="306" spans="1:22">
      <c r="A306" s="135">
        <f t="shared" ref="A306:A337" si="134">IF(B11="",A305,IF(B11&lt;0.0001,0.1,B11))</f>
        <v>0.13356604965765839</v>
      </c>
      <c r="B306" s="1">
        <f t="shared" ref="B306:B337" si="135">IF(A11="",B305,A11)</f>
        <v>1.81</v>
      </c>
      <c r="C306" s="7">
        <f t="shared" si="130"/>
        <v>0.1</v>
      </c>
      <c r="D306" s="1">
        <f t="shared" ref="D306:D337" si="136">IF(A11="",B305,A11)</f>
        <v>1.81</v>
      </c>
      <c r="E306" s="8">
        <f t="shared" si="131"/>
        <v>8.5832979369703979E-2</v>
      </c>
      <c r="F306" s="1">
        <f t="shared" ref="F306:F337" si="137">IF(A11="",B305,A11)</f>
        <v>1.81</v>
      </c>
      <c r="G306" s="10">
        <f t="shared" si="132"/>
        <v>0.1</v>
      </c>
      <c r="H306" s="10"/>
      <c r="I306" s="1">
        <f t="shared" ref="I306:I337" si="138">IF(A11="",B305,A11)</f>
        <v>1.81</v>
      </c>
      <c r="J306" s="8">
        <f t="shared" ref="J306:J337" si="139">IF(J11&lt;0.0001,0.1,IF(J11="",J305,J11))</f>
        <v>8.5832979369703979E-2</v>
      </c>
      <c r="K306" s="1">
        <f t="shared" ref="K306:K337" si="140">IF(A11="",B305,A11)</f>
        <v>1.81</v>
      </c>
      <c r="M306" s="1">
        <f t="shared" si="133"/>
        <v>8.5832979369703979E-2</v>
      </c>
      <c r="N306" s="1">
        <f t="shared" ref="N306:N369" si="141">K306</f>
        <v>1.81</v>
      </c>
      <c r="S306" s="98">
        <v>28.89</v>
      </c>
      <c r="T306" s="2">
        <v>10</v>
      </c>
      <c r="U306" s="1">
        <v>7.3745975406871178</v>
      </c>
      <c r="V306" s="1">
        <v>1.0999999999999999E-2</v>
      </c>
    </row>
    <row r="307" spans="1:22">
      <c r="A307" s="135">
        <f t="shared" si="134"/>
        <v>0.26713209931531678</v>
      </c>
      <c r="B307" s="1">
        <f t="shared" si="135"/>
        <v>1.95</v>
      </c>
      <c r="C307" s="7">
        <f t="shared" si="130"/>
        <v>6.7132099315316773E-2</v>
      </c>
      <c r="D307" s="1">
        <f t="shared" si="136"/>
        <v>1.95</v>
      </c>
      <c r="E307" s="8">
        <f t="shared" si="131"/>
        <v>0.2216627277643157</v>
      </c>
      <c r="F307" s="1">
        <f t="shared" si="137"/>
        <v>1.95</v>
      </c>
      <c r="G307" s="10">
        <f t="shared" si="132"/>
        <v>0.1</v>
      </c>
      <c r="H307" s="10"/>
      <c r="I307" s="1">
        <f t="shared" si="138"/>
        <v>1.95</v>
      </c>
      <c r="J307" s="8">
        <f t="shared" si="139"/>
        <v>0.2216627277643157</v>
      </c>
      <c r="K307" s="1">
        <f t="shared" si="140"/>
        <v>1.95</v>
      </c>
      <c r="M307" s="1">
        <f t="shared" si="133"/>
        <v>0.2216627277643157</v>
      </c>
      <c r="N307" s="1">
        <f t="shared" si="141"/>
        <v>1.95</v>
      </c>
      <c r="S307" s="98">
        <v>31.69</v>
      </c>
      <c r="T307" s="2">
        <v>10</v>
      </c>
      <c r="U307" s="1">
        <v>6.7230079820274806</v>
      </c>
      <c r="V307" s="1">
        <v>1.0999999999999999E-2</v>
      </c>
    </row>
    <row r="308" spans="1:22">
      <c r="A308" s="135">
        <f t="shared" si="134"/>
        <v>0.5787862151831864</v>
      </c>
      <c r="B308" s="1">
        <f t="shared" si="135"/>
        <v>2.16</v>
      </c>
      <c r="C308" s="7">
        <f t="shared" si="130"/>
        <v>0.37878621518318639</v>
      </c>
      <c r="D308" s="1">
        <f t="shared" si="136"/>
        <v>2.16</v>
      </c>
      <c r="E308" s="8">
        <f t="shared" si="131"/>
        <v>0.51808882160937131</v>
      </c>
      <c r="F308" s="1">
        <f t="shared" si="137"/>
        <v>2.16</v>
      </c>
      <c r="G308" s="10">
        <f t="shared" si="132"/>
        <v>0.1</v>
      </c>
      <c r="H308" s="10"/>
      <c r="I308" s="1">
        <f t="shared" si="138"/>
        <v>2.16</v>
      </c>
      <c r="J308" s="8">
        <f t="shared" si="139"/>
        <v>0.51808882160937131</v>
      </c>
      <c r="K308" s="1">
        <f t="shared" si="140"/>
        <v>2.16</v>
      </c>
      <c r="M308" s="1">
        <f t="shared" si="133"/>
        <v>0.51808882160937131</v>
      </c>
      <c r="N308" s="1">
        <f t="shared" si="141"/>
        <v>2.16</v>
      </c>
      <c r="S308" s="98">
        <v>34.880000000000003</v>
      </c>
      <c r="T308" s="2">
        <v>10</v>
      </c>
      <c r="U308" s="1">
        <v>6.1081457267904478</v>
      </c>
      <c r="V308" s="1">
        <v>1.0999999999999999E-2</v>
      </c>
    </row>
    <row r="309" spans="1:22">
      <c r="A309" s="135">
        <f t="shared" si="134"/>
        <v>0.97948436415616169</v>
      </c>
      <c r="B309" s="1">
        <f t="shared" si="135"/>
        <v>2.35</v>
      </c>
      <c r="C309" s="7">
        <f t="shared" si="130"/>
        <v>0.77948436415616174</v>
      </c>
      <c r="D309" s="1">
        <f t="shared" si="136"/>
        <v>2.35</v>
      </c>
      <c r="E309" s="8">
        <f t="shared" si="131"/>
        <v>0.83665435031322333</v>
      </c>
      <c r="F309" s="1">
        <f t="shared" si="137"/>
        <v>2.35</v>
      </c>
      <c r="G309" s="10">
        <f t="shared" si="132"/>
        <v>0.1</v>
      </c>
      <c r="H309" s="10"/>
      <c r="I309" s="1">
        <f t="shared" si="138"/>
        <v>2.35</v>
      </c>
      <c r="J309" s="8">
        <f t="shared" si="139"/>
        <v>0.83665435031322333</v>
      </c>
      <c r="K309" s="1">
        <f t="shared" si="140"/>
        <v>2.35</v>
      </c>
      <c r="M309" s="1">
        <f t="shared" si="133"/>
        <v>0.83665435031322333</v>
      </c>
      <c r="N309" s="1">
        <f t="shared" si="141"/>
        <v>2.35</v>
      </c>
      <c r="S309" s="98">
        <v>37.869999999999997</v>
      </c>
      <c r="T309" s="2">
        <v>10</v>
      </c>
      <c r="U309" s="1">
        <v>5.6258812503419824</v>
      </c>
      <c r="V309" s="1">
        <v>1.0999999999999999E-2</v>
      </c>
    </row>
    <row r="310" spans="1:22">
      <c r="A310" s="135">
        <f t="shared" si="134"/>
        <v>1.513748562786795</v>
      </c>
      <c r="B310" s="1">
        <f t="shared" si="135"/>
        <v>2.57</v>
      </c>
      <c r="C310" s="7">
        <f t="shared" si="130"/>
        <v>1.3137485627867951</v>
      </c>
      <c r="D310" s="1">
        <f t="shared" si="136"/>
        <v>2.57</v>
      </c>
      <c r="E310" s="8">
        <f t="shared" si="131"/>
        <v>1.2222053968018198</v>
      </c>
      <c r="F310" s="1">
        <f t="shared" si="137"/>
        <v>2.57</v>
      </c>
      <c r="G310" s="10">
        <f t="shared" si="132"/>
        <v>0.1</v>
      </c>
      <c r="H310" s="10"/>
      <c r="I310" s="1">
        <f t="shared" si="138"/>
        <v>2.57</v>
      </c>
      <c r="J310" s="8">
        <f t="shared" si="139"/>
        <v>1.2222053968018198</v>
      </c>
      <c r="K310" s="1">
        <f t="shared" si="140"/>
        <v>2.57</v>
      </c>
      <c r="M310" s="1">
        <f t="shared" si="133"/>
        <v>1.2222053968018198</v>
      </c>
      <c r="N310" s="1">
        <f t="shared" si="141"/>
        <v>2.57</v>
      </c>
    </row>
    <row r="311" spans="1:22">
      <c r="A311" s="135">
        <f t="shared" si="134"/>
        <v>1.9144467117597703</v>
      </c>
      <c r="B311" s="1">
        <f t="shared" si="135"/>
        <v>2.81</v>
      </c>
      <c r="C311" s="7">
        <f t="shared" si="130"/>
        <v>1.7144467117597704</v>
      </c>
      <c r="D311" s="1">
        <f t="shared" si="136"/>
        <v>2.81</v>
      </c>
      <c r="E311" s="8">
        <f t="shared" si="131"/>
        <v>1.6340642738265678</v>
      </c>
      <c r="F311" s="1">
        <f t="shared" si="137"/>
        <v>2.81</v>
      </c>
      <c r="G311" s="10">
        <f t="shared" si="132"/>
        <v>0.1</v>
      </c>
      <c r="H311" s="10"/>
      <c r="I311" s="1">
        <f t="shared" si="138"/>
        <v>2.81</v>
      </c>
      <c r="J311" s="8">
        <f t="shared" si="139"/>
        <v>1.6340642738265678</v>
      </c>
      <c r="K311" s="1">
        <f t="shared" si="140"/>
        <v>2.81</v>
      </c>
      <c r="M311" s="1">
        <f t="shared" si="133"/>
        <v>1.6340642738265678</v>
      </c>
      <c r="N311" s="1">
        <f t="shared" si="141"/>
        <v>2.81</v>
      </c>
    </row>
    <row r="312" spans="1:22">
      <c r="A312" s="135">
        <f t="shared" si="134"/>
        <v>2.3596668772852984</v>
      </c>
      <c r="B312" s="1">
        <f t="shared" si="135"/>
        <v>3.08</v>
      </c>
      <c r="C312" s="7">
        <f t="shared" si="130"/>
        <v>2.1596668772852983</v>
      </c>
      <c r="D312" s="1">
        <f t="shared" si="136"/>
        <v>3.08</v>
      </c>
      <c r="E312" s="8">
        <f t="shared" si="131"/>
        <v>2.0686064318313768</v>
      </c>
      <c r="F312" s="1">
        <f t="shared" si="137"/>
        <v>3.08</v>
      </c>
      <c r="G312" s="10">
        <f t="shared" si="132"/>
        <v>0.1</v>
      </c>
      <c r="H312" s="10"/>
      <c r="I312" s="1">
        <f t="shared" si="138"/>
        <v>3.08</v>
      </c>
      <c r="J312" s="8">
        <f t="shared" si="139"/>
        <v>2.0686064318313768</v>
      </c>
      <c r="K312" s="1">
        <f t="shared" si="140"/>
        <v>3.08</v>
      </c>
      <c r="M312" s="1">
        <f t="shared" si="133"/>
        <v>2.0686064318313768</v>
      </c>
      <c r="N312" s="1">
        <f t="shared" si="141"/>
        <v>3.08</v>
      </c>
    </row>
    <row r="313" spans="1:22">
      <c r="A313" s="135">
        <f t="shared" si="134"/>
        <v>2.7826260345345504</v>
      </c>
      <c r="B313" s="1">
        <f t="shared" si="135"/>
        <v>3.37</v>
      </c>
      <c r="C313" s="7">
        <f t="shared" si="130"/>
        <v>2.5826260345345502</v>
      </c>
      <c r="D313" s="1">
        <f t="shared" si="136"/>
        <v>3.37</v>
      </c>
      <c r="E313" s="8">
        <f t="shared" si="131"/>
        <v>2.4943501200226024</v>
      </c>
      <c r="F313" s="1">
        <f t="shared" si="137"/>
        <v>3.37</v>
      </c>
      <c r="G313" s="10">
        <f t="shared" si="132"/>
        <v>0.1</v>
      </c>
      <c r="H313" s="10"/>
      <c r="I313" s="1">
        <f t="shared" si="138"/>
        <v>3.37</v>
      </c>
      <c r="J313" s="8">
        <f t="shared" si="139"/>
        <v>2.4943501200226024</v>
      </c>
      <c r="K313" s="1">
        <f t="shared" si="140"/>
        <v>3.37</v>
      </c>
      <c r="M313" s="1">
        <f t="shared" si="133"/>
        <v>2.4943501200226024</v>
      </c>
      <c r="N313" s="1">
        <f t="shared" si="141"/>
        <v>3.37</v>
      </c>
    </row>
    <row r="314" spans="1:22">
      <c r="A314" s="135">
        <f t="shared" si="134"/>
        <v>3.1833241835075259</v>
      </c>
      <c r="B314" s="1">
        <f t="shared" si="135"/>
        <v>3.67</v>
      </c>
      <c r="C314" s="7">
        <f t="shared" si="130"/>
        <v>2.9833241835075257</v>
      </c>
      <c r="D314" s="1">
        <f t="shared" si="136"/>
        <v>3.67</v>
      </c>
      <c r="E314" s="8">
        <f t="shared" si="131"/>
        <v>2.8905422532916676</v>
      </c>
      <c r="F314" s="1">
        <f t="shared" si="137"/>
        <v>3.67</v>
      </c>
      <c r="G314" s="10">
        <f t="shared" si="132"/>
        <v>0.1</v>
      </c>
      <c r="H314" s="10"/>
      <c r="I314" s="1">
        <f t="shared" si="138"/>
        <v>3.67</v>
      </c>
      <c r="J314" s="8">
        <f t="shared" si="139"/>
        <v>2.8905422532916676</v>
      </c>
      <c r="K314" s="1">
        <f t="shared" si="140"/>
        <v>3.67</v>
      </c>
      <c r="M314" s="1">
        <f t="shared" si="133"/>
        <v>2.8905422532916676</v>
      </c>
      <c r="N314" s="1">
        <f t="shared" si="141"/>
        <v>3.67</v>
      </c>
    </row>
    <row r="315" spans="1:22">
      <c r="A315" s="135">
        <f t="shared" si="134"/>
        <v>3.5617613242042241</v>
      </c>
      <c r="B315" s="1">
        <f t="shared" si="135"/>
        <v>4.03</v>
      </c>
      <c r="C315" s="7">
        <f t="shared" si="130"/>
        <v>3.3617613242042239</v>
      </c>
      <c r="D315" s="1">
        <f t="shared" si="136"/>
        <v>4.03</v>
      </c>
      <c r="E315" s="8">
        <f t="shared" si="131"/>
        <v>3.3122566726467553</v>
      </c>
      <c r="F315" s="1">
        <f t="shared" si="137"/>
        <v>4.03</v>
      </c>
      <c r="G315" s="10">
        <f t="shared" si="132"/>
        <v>0.1</v>
      </c>
      <c r="H315" s="10"/>
      <c r="I315" s="1">
        <f t="shared" si="138"/>
        <v>4.03</v>
      </c>
      <c r="J315" s="8">
        <f t="shared" si="139"/>
        <v>3.3122566726467553</v>
      </c>
      <c r="K315" s="1">
        <f t="shared" si="140"/>
        <v>4.03</v>
      </c>
      <c r="M315" s="1">
        <f t="shared" si="133"/>
        <v>3.3122566726467553</v>
      </c>
      <c r="N315" s="1">
        <f t="shared" si="141"/>
        <v>4.03</v>
      </c>
    </row>
    <row r="316" spans="1:22">
      <c r="A316" s="135">
        <f t="shared" si="134"/>
        <v>3.9401984649009236</v>
      </c>
      <c r="B316" s="1">
        <f t="shared" si="135"/>
        <v>4.4000000000000004</v>
      </c>
      <c r="C316" s="7">
        <f t="shared" si="130"/>
        <v>3.7401984649009234</v>
      </c>
      <c r="D316" s="1">
        <f t="shared" si="136"/>
        <v>4.4000000000000004</v>
      </c>
      <c r="E316" s="8">
        <f t="shared" si="131"/>
        <v>3.6930234860895319</v>
      </c>
      <c r="F316" s="1">
        <f t="shared" si="137"/>
        <v>4.4000000000000004</v>
      </c>
      <c r="G316" s="10">
        <f t="shared" si="132"/>
        <v>0.1</v>
      </c>
      <c r="H316" s="10"/>
      <c r="I316" s="1">
        <f t="shared" si="138"/>
        <v>4.4000000000000004</v>
      </c>
      <c r="J316" s="8">
        <f t="shared" si="139"/>
        <v>3.6930234860895319</v>
      </c>
      <c r="K316" s="1">
        <f t="shared" si="140"/>
        <v>4.4000000000000004</v>
      </c>
      <c r="M316" s="1">
        <f t="shared" si="133"/>
        <v>3.6930234860895319</v>
      </c>
      <c r="N316" s="1">
        <f t="shared" si="141"/>
        <v>4.4000000000000004</v>
      </c>
    </row>
    <row r="317" spans="1:22">
      <c r="A317" s="135">
        <f t="shared" si="134"/>
        <v>4.3186356055976223</v>
      </c>
      <c r="B317" s="1">
        <f t="shared" si="135"/>
        <v>4.8099999999999996</v>
      </c>
      <c r="C317" s="7">
        <f t="shared" si="130"/>
        <v>4.1186356055976221</v>
      </c>
      <c r="D317" s="1">
        <f t="shared" si="136"/>
        <v>4.8099999999999996</v>
      </c>
      <c r="E317" s="8">
        <f t="shared" si="131"/>
        <v>4.0628695237932506</v>
      </c>
      <c r="F317" s="1">
        <f t="shared" si="137"/>
        <v>4.8099999999999996</v>
      </c>
      <c r="G317" s="10">
        <f t="shared" si="132"/>
        <v>0.1</v>
      </c>
      <c r="H317" s="10"/>
      <c r="I317" s="1">
        <f t="shared" si="138"/>
        <v>4.8099999999999996</v>
      </c>
      <c r="J317" s="8">
        <f t="shared" si="139"/>
        <v>4.0628695237932506</v>
      </c>
      <c r="K317" s="1">
        <f t="shared" si="140"/>
        <v>4.8099999999999996</v>
      </c>
      <c r="M317" s="1">
        <f t="shared" si="133"/>
        <v>4.0628695237932506</v>
      </c>
      <c r="N317" s="1">
        <f t="shared" si="141"/>
        <v>4.8099999999999996</v>
      </c>
    </row>
    <row r="318" spans="1:22">
      <c r="A318" s="135">
        <f t="shared" si="134"/>
        <v>4.6748117380180441</v>
      </c>
      <c r="B318" s="1">
        <f t="shared" si="135"/>
        <v>5.26</v>
      </c>
      <c r="C318" s="7">
        <f t="shared" si="130"/>
        <v>4.4748117380180439</v>
      </c>
      <c r="D318" s="1">
        <f t="shared" si="136"/>
        <v>5.26</v>
      </c>
      <c r="E318" s="8">
        <f t="shared" si="131"/>
        <v>4.4170063649426039</v>
      </c>
      <c r="F318" s="1">
        <f t="shared" si="137"/>
        <v>5.26</v>
      </c>
      <c r="G318" s="10">
        <f t="shared" si="132"/>
        <v>0.1</v>
      </c>
      <c r="H318" s="10"/>
      <c r="I318" s="1">
        <f t="shared" si="138"/>
        <v>5.26</v>
      </c>
      <c r="J318" s="8">
        <f t="shared" si="139"/>
        <v>4.4170063649426039</v>
      </c>
      <c r="K318" s="1">
        <f t="shared" si="140"/>
        <v>5.26</v>
      </c>
      <c r="M318" s="1">
        <f t="shared" si="133"/>
        <v>4.4170063649426039</v>
      </c>
      <c r="N318" s="1">
        <f t="shared" si="141"/>
        <v>5.26</v>
      </c>
    </row>
    <row r="319" spans="1:22">
      <c r="A319" s="135">
        <f t="shared" si="134"/>
        <v>4.9864658538859139</v>
      </c>
      <c r="B319" s="1">
        <f t="shared" si="135"/>
        <v>5.76</v>
      </c>
      <c r="C319" s="7">
        <f t="shared" si="130"/>
        <v>4.7864658538859137</v>
      </c>
      <c r="D319" s="1">
        <f t="shared" si="136"/>
        <v>5.76</v>
      </c>
      <c r="E319" s="8">
        <f t="shared" si="131"/>
        <v>4.7590254183180782</v>
      </c>
      <c r="F319" s="1">
        <f t="shared" si="137"/>
        <v>5.76</v>
      </c>
      <c r="G319" s="10">
        <f t="shared" si="132"/>
        <v>0.1</v>
      </c>
      <c r="H319" s="10"/>
      <c r="I319" s="1">
        <f t="shared" si="138"/>
        <v>5.76</v>
      </c>
      <c r="J319" s="8">
        <f t="shared" si="139"/>
        <v>4.7590254183180782</v>
      </c>
      <c r="K319" s="1">
        <f t="shared" si="140"/>
        <v>5.76</v>
      </c>
      <c r="M319" s="1">
        <f t="shared" si="133"/>
        <v>4.7590254183180782</v>
      </c>
      <c r="N319" s="1">
        <f t="shared" si="141"/>
        <v>5.76</v>
      </c>
    </row>
    <row r="320" spans="1:22">
      <c r="A320" s="135">
        <f t="shared" si="134"/>
        <v>5.2535979532012309</v>
      </c>
      <c r="B320" s="1">
        <f t="shared" si="135"/>
        <v>6.3</v>
      </c>
      <c r="C320" s="7">
        <f t="shared" si="130"/>
        <v>5.0535979532012307</v>
      </c>
      <c r="D320" s="1">
        <f t="shared" si="136"/>
        <v>6.3</v>
      </c>
      <c r="E320" s="8">
        <f t="shared" si="131"/>
        <v>5.0795810596396374</v>
      </c>
      <c r="F320" s="1">
        <f t="shared" si="137"/>
        <v>6.3</v>
      </c>
      <c r="G320" s="10">
        <f t="shared" si="132"/>
        <v>0.1</v>
      </c>
      <c r="H320" s="10"/>
      <c r="I320" s="1">
        <f t="shared" si="138"/>
        <v>6.3</v>
      </c>
      <c r="J320" s="8">
        <f t="shared" si="139"/>
        <v>5.0795810596396374</v>
      </c>
      <c r="K320" s="1">
        <f t="shared" si="140"/>
        <v>6.3</v>
      </c>
      <c r="M320" s="1">
        <f t="shared" si="133"/>
        <v>5.0795810596396374</v>
      </c>
      <c r="N320" s="1">
        <f t="shared" si="141"/>
        <v>6.3</v>
      </c>
    </row>
    <row r="321" spans="1:23">
      <c r="A321" s="135">
        <f t="shared" si="134"/>
        <v>5.5429910607928239</v>
      </c>
      <c r="B321" s="1">
        <f t="shared" si="135"/>
        <v>6.89</v>
      </c>
      <c r="C321" s="7">
        <f t="shared" si="130"/>
        <v>5.3429910607928237</v>
      </c>
      <c r="D321" s="1">
        <f t="shared" si="136"/>
        <v>6.89</v>
      </c>
      <c r="E321" s="8">
        <f t="shared" si="131"/>
        <v>5.3835820485756196</v>
      </c>
      <c r="F321" s="1">
        <f t="shared" si="137"/>
        <v>6.89</v>
      </c>
      <c r="G321" s="10">
        <f t="shared" si="132"/>
        <v>0.1</v>
      </c>
      <c r="H321" s="10"/>
      <c r="I321" s="1">
        <f t="shared" si="138"/>
        <v>6.89</v>
      </c>
      <c r="J321" s="8">
        <f t="shared" si="139"/>
        <v>5.3835820485756196</v>
      </c>
      <c r="K321" s="1">
        <f t="shared" si="140"/>
        <v>6.89</v>
      </c>
      <c r="M321" s="1">
        <f t="shared" si="133"/>
        <v>5.3835820485756196</v>
      </c>
      <c r="N321" s="1">
        <f t="shared" si="141"/>
        <v>6.89</v>
      </c>
    </row>
    <row r="322" spans="1:23">
      <c r="A322" s="135">
        <f t="shared" si="134"/>
        <v>5.8323841683844169</v>
      </c>
      <c r="B322" s="1">
        <f t="shared" si="135"/>
        <v>7.53</v>
      </c>
      <c r="C322" s="7">
        <f t="shared" si="130"/>
        <v>5.6323841683844167</v>
      </c>
      <c r="D322" s="1">
        <f t="shared" si="136"/>
        <v>7.53</v>
      </c>
      <c r="E322" s="8">
        <f t="shared" si="131"/>
        <v>5.6698951771539381</v>
      </c>
      <c r="F322" s="1">
        <f t="shared" si="137"/>
        <v>7.53</v>
      </c>
      <c r="G322" s="10">
        <f t="shared" si="132"/>
        <v>0.1</v>
      </c>
      <c r="H322" s="10"/>
      <c r="I322" s="1">
        <f t="shared" si="138"/>
        <v>7.53</v>
      </c>
      <c r="J322" s="8">
        <f t="shared" si="139"/>
        <v>5.6698951771539381</v>
      </c>
      <c r="K322" s="1">
        <f t="shared" si="140"/>
        <v>7.53</v>
      </c>
      <c r="M322" s="1">
        <f t="shared" si="133"/>
        <v>5.6698951771539381</v>
      </c>
      <c r="N322" s="1">
        <f t="shared" si="141"/>
        <v>7.53</v>
      </c>
    </row>
    <row r="323" spans="1:23">
      <c r="A323" s="135">
        <f t="shared" si="134"/>
        <v>6.1217772759760107</v>
      </c>
      <c r="B323" s="1">
        <f t="shared" si="135"/>
        <v>8.24</v>
      </c>
      <c r="C323" s="7">
        <f t="shared" si="130"/>
        <v>5.9217772759760106</v>
      </c>
      <c r="D323" s="1">
        <f t="shared" si="136"/>
        <v>8.24</v>
      </c>
      <c r="E323" s="8">
        <f t="shared" si="131"/>
        <v>5.9455414422275528</v>
      </c>
      <c r="F323" s="1">
        <f t="shared" si="137"/>
        <v>8.24</v>
      </c>
      <c r="G323" s="10">
        <f t="shared" si="132"/>
        <v>0.1</v>
      </c>
      <c r="H323" s="10"/>
      <c r="I323" s="1">
        <f t="shared" si="138"/>
        <v>8.24</v>
      </c>
      <c r="J323" s="8">
        <f t="shared" si="139"/>
        <v>5.9455414422275528</v>
      </c>
      <c r="K323" s="1">
        <f t="shared" si="140"/>
        <v>8.24</v>
      </c>
      <c r="M323" s="1">
        <f t="shared" si="133"/>
        <v>5.9455414422275528</v>
      </c>
      <c r="N323" s="1">
        <f t="shared" si="141"/>
        <v>8.24</v>
      </c>
    </row>
    <row r="324" spans="1:23">
      <c r="A324" s="135">
        <f t="shared" si="134"/>
        <v>6.5002144166727085</v>
      </c>
      <c r="B324" s="1">
        <f t="shared" si="135"/>
        <v>9.02</v>
      </c>
      <c r="C324" s="7">
        <f t="shared" si="130"/>
        <v>6.3002144166727083</v>
      </c>
      <c r="D324" s="1">
        <f t="shared" si="136"/>
        <v>9.02</v>
      </c>
      <c r="E324" s="8">
        <f t="shared" si="131"/>
        <v>6.2080680921161147</v>
      </c>
      <c r="F324" s="1">
        <f t="shared" si="137"/>
        <v>9.02</v>
      </c>
      <c r="G324" s="10">
        <f t="shared" si="132"/>
        <v>0.1</v>
      </c>
      <c r="H324" s="10"/>
      <c r="I324" s="1">
        <f t="shared" si="138"/>
        <v>9.02</v>
      </c>
      <c r="J324" s="8">
        <f t="shared" si="139"/>
        <v>6.2080680921161147</v>
      </c>
      <c r="K324" s="1">
        <f t="shared" si="140"/>
        <v>9.02</v>
      </c>
      <c r="M324" s="1">
        <f t="shared" si="133"/>
        <v>6.2080680921161147</v>
      </c>
      <c r="N324" s="1">
        <f t="shared" si="141"/>
        <v>9.02</v>
      </c>
    </row>
    <row r="325" spans="1:23">
      <c r="A325" s="135">
        <f t="shared" si="134"/>
        <v>6.7896075242643015</v>
      </c>
      <c r="B325" s="1">
        <f t="shared" si="135"/>
        <v>9.86</v>
      </c>
      <c r="C325" s="7">
        <f t="shared" si="130"/>
        <v>6.5896075242643013</v>
      </c>
      <c r="D325" s="1">
        <f t="shared" si="136"/>
        <v>9.86</v>
      </c>
      <c r="E325" s="8">
        <f t="shared" si="131"/>
        <v>6.4534814920550811</v>
      </c>
      <c r="F325" s="1">
        <f t="shared" si="137"/>
        <v>9.86</v>
      </c>
      <c r="G325" s="10">
        <f t="shared" si="132"/>
        <v>0.1</v>
      </c>
      <c r="H325" s="10"/>
      <c r="I325" s="1">
        <f t="shared" si="138"/>
        <v>9.86</v>
      </c>
      <c r="J325" s="8">
        <f t="shared" si="139"/>
        <v>6.4534814920550811</v>
      </c>
      <c r="K325" s="1">
        <f t="shared" si="140"/>
        <v>9.86</v>
      </c>
      <c r="M325" s="1">
        <f t="shared" si="133"/>
        <v>6.4534814920550811</v>
      </c>
      <c r="N325" s="1">
        <f t="shared" si="141"/>
        <v>9.86</v>
      </c>
    </row>
    <row r="326" spans="1:23">
      <c r="A326" s="135">
        <f t="shared" si="134"/>
        <v>6.9676955904745137</v>
      </c>
      <c r="B326" s="1">
        <f t="shared" si="135"/>
        <v>10.78</v>
      </c>
      <c r="C326" s="7">
        <f t="shared" si="130"/>
        <v>6.7676955904745135</v>
      </c>
      <c r="D326" s="1">
        <f t="shared" si="136"/>
        <v>10.78</v>
      </c>
      <c r="E326" s="8">
        <f t="shared" si="131"/>
        <v>6.6871542542864573</v>
      </c>
      <c r="F326" s="1">
        <f t="shared" si="137"/>
        <v>10.78</v>
      </c>
      <c r="G326" s="10">
        <f t="shared" si="132"/>
        <v>0.1</v>
      </c>
      <c r="H326" s="10"/>
      <c r="I326" s="1">
        <f t="shared" si="138"/>
        <v>10.78</v>
      </c>
      <c r="J326" s="8">
        <f t="shared" si="139"/>
        <v>6.6871542542864573</v>
      </c>
      <c r="K326" s="1">
        <f t="shared" si="140"/>
        <v>10.78</v>
      </c>
      <c r="M326" s="1">
        <f t="shared" si="133"/>
        <v>6.6871542542864573</v>
      </c>
      <c r="N326" s="1">
        <f t="shared" si="141"/>
        <v>10.78</v>
      </c>
    </row>
    <row r="327" spans="1:23">
      <c r="A327" s="135">
        <f t="shared" si="134"/>
        <v>7.1903056732372779</v>
      </c>
      <c r="B327" s="1">
        <f t="shared" si="135"/>
        <v>11.77</v>
      </c>
      <c r="C327" s="7">
        <f t="shared" si="130"/>
        <v>6.9903056732372777</v>
      </c>
      <c r="D327" s="1">
        <f t="shared" si="136"/>
        <v>11.77</v>
      </c>
      <c r="E327" s="8">
        <f t="shared" si="131"/>
        <v>6.9061012586566903</v>
      </c>
      <c r="F327" s="1">
        <f t="shared" si="137"/>
        <v>11.77</v>
      </c>
      <c r="G327" s="10">
        <f t="shared" si="132"/>
        <v>0.1</v>
      </c>
      <c r="H327" s="10"/>
      <c r="I327" s="1">
        <f t="shared" si="138"/>
        <v>11.77</v>
      </c>
      <c r="J327" s="8">
        <f t="shared" si="139"/>
        <v>6.9061012586566903</v>
      </c>
      <c r="K327" s="1">
        <f t="shared" si="140"/>
        <v>11.77</v>
      </c>
      <c r="M327" s="1">
        <f t="shared" si="133"/>
        <v>6.9061012586566903</v>
      </c>
      <c r="N327" s="1">
        <f t="shared" si="141"/>
        <v>11.77</v>
      </c>
    </row>
    <row r="328" spans="1:23">
      <c r="A328" s="135">
        <f t="shared" si="134"/>
        <v>7.3906547477237643</v>
      </c>
      <c r="B328" s="1">
        <f t="shared" si="135"/>
        <v>12.87</v>
      </c>
      <c r="C328" s="7">
        <f t="shared" si="130"/>
        <v>7.1906547477237641</v>
      </c>
      <c r="D328" s="1">
        <f t="shared" si="136"/>
        <v>12.87</v>
      </c>
      <c r="E328" s="8">
        <f t="shared" si="131"/>
        <v>7.1180502263846135</v>
      </c>
      <c r="F328" s="1">
        <f t="shared" si="137"/>
        <v>12.87</v>
      </c>
      <c r="G328" s="10">
        <f t="shared" si="132"/>
        <v>0.1</v>
      </c>
      <c r="H328" s="10"/>
      <c r="I328" s="1">
        <f t="shared" si="138"/>
        <v>12.87</v>
      </c>
      <c r="J328" s="8">
        <f t="shared" si="139"/>
        <v>7.1180502263846135</v>
      </c>
      <c r="K328" s="1">
        <f t="shared" si="140"/>
        <v>12.87</v>
      </c>
      <c r="M328" s="1">
        <f t="shared" si="133"/>
        <v>7.1180502263846135</v>
      </c>
      <c r="N328" s="1">
        <f t="shared" si="141"/>
        <v>12.87</v>
      </c>
    </row>
    <row r="329" spans="1:23">
      <c r="A329" s="135">
        <f t="shared" si="134"/>
        <v>7.6132648304865294</v>
      </c>
      <c r="B329" s="1">
        <f t="shared" si="135"/>
        <v>14.16</v>
      </c>
      <c r="C329" s="7">
        <f t="shared" si="130"/>
        <v>7.4132648304865292</v>
      </c>
      <c r="D329" s="1">
        <f t="shared" si="136"/>
        <v>14.16</v>
      </c>
      <c r="E329" s="8">
        <f t="shared" si="131"/>
        <v>7.3334819708042671</v>
      </c>
      <c r="F329" s="1">
        <f t="shared" si="137"/>
        <v>14.16</v>
      </c>
      <c r="G329" s="10">
        <f t="shared" si="132"/>
        <v>0.1</v>
      </c>
      <c r="H329" s="10"/>
      <c r="I329" s="1">
        <f t="shared" si="138"/>
        <v>14.16</v>
      </c>
      <c r="J329" s="8">
        <f t="shared" si="139"/>
        <v>7.3334819708042671</v>
      </c>
      <c r="K329" s="1">
        <f t="shared" si="140"/>
        <v>14.16</v>
      </c>
      <c r="M329" s="1">
        <f t="shared" si="133"/>
        <v>7.3334819708042671</v>
      </c>
      <c r="N329" s="1">
        <f t="shared" si="141"/>
        <v>14.16</v>
      </c>
    </row>
    <row r="330" spans="1:23">
      <c r="A330" s="135">
        <f t="shared" si="134"/>
        <v>7.8136139049730176</v>
      </c>
      <c r="B330" s="1">
        <f t="shared" si="135"/>
        <v>15.45</v>
      </c>
      <c r="C330" s="7">
        <f t="shared" si="130"/>
        <v>7.6136139049730174</v>
      </c>
      <c r="D330" s="1">
        <f t="shared" si="136"/>
        <v>15.45</v>
      </c>
      <c r="E330" s="8">
        <f t="shared" si="131"/>
        <v>7.5206809740666625</v>
      </c>
      <c r="F330" s="1">
        <f t="shared" si="137"/>
        <v>15.45</v>
      </c>
      <c r="G330" s="10">
        <f t="shared" si="132"/>
        <v>0.1</v>
      </c>
      <c r="H330" s="10"/>
      <c r="I330" s="1">
        <f t="shared" si="138"/>
        <v>15.45</v>
      </c>
      <c r="J330" s="8">
        <f t="shared" si="139"/>
        <v>7.5206809740666625</v>
      </c>
      <c r="K330" s="1">
        <f t="shared" si="140"/>
        <v>15.45</v>
      </c>
      <c r="M330" s="1">
        <f t="shared" si="133"/>
        <v>7.5206809740666625</v>
      </c>
      <c r="N330" s="1">
        <f t="shared" si="141"/>
        <v>15.45</v>
      </c>
    </row>
    <row r="331" spans="1:23" ht="22.8">
      <c r="A331" s="135">
        <f t="shared" si="134"/>
        <v>8.0139629794595031</v>
      </c>
      <c r="B331" s="1">
        <f t="shared" si="135"/>
        <v>16.850000000000001</v>
      </c>
      <c r="C331" s="7">
        <f t="shared" si="130"/>
        <v>7.8139629794595029</v>
      </c>
      <c r="D331" s="1">
        <f t="shared" si="136"/>
        <v>16.850000000000001</v>
      </c>
      <c r="E331" s="8">
        <f t="shared" si="131"/>
        <v>7.6985459353313725</v>
      </c>
      <c r="F331" s="1">
        <f t="shared" si="137"/>
        <v>16.850000000000001</v>
      </c>
      <c r="G331" s="10">
        <f t="shared" si="132"/>
        <v>0.1</v>
      </c>
      <c r="H331" s="10"/>
      <c r="I331" s="1">
        <f t="shared" si="138"/>
        <v>16.850000000000001</v>
      </c>
      <c r="J331" s="8">
        <f t="shared" si="139"/>
        <v>7.6985459353313725</v>
      </c>
      <c r="K331" s="1">
        <f t="shared" si="140"/>
        <v>16.850000000000001</v>
      </c>
      <c r="M331" s="1">
        <f t="shared" si="133"/>
        <v>7.6985459353313725</v>
      </c>
      <c r="N331" s="1">
        <f t="shared" si="141"/>
        <v>16.850000000000001</v>
      </c>
      <c r="S331" s="15" t="s">
        <v>49</v>
      </c>
      <c r="V331" s="15" t="s">
        <v>50</v>
      </c>
    </row>
    <row r="332" spans="1:23">
      <c r="A332" s="135">
        <f t="shared" si="134"/>
        <v>8.2365730622222681</v>
      </c>
      <c r="B332" s="1">
        <f t="shared" si="135"/>
        <v>18.489999999999998</v>
      </c>
      <c r="C332" s="7">
        <f t="shared" si="130"/>
        <v>8.0365730622222689</v>
      </c>
      <c r="D332" s="1">
        <f t="shared" si="136"/>
        <v>18.489999999999998</v>
      </c>
      <c r="E332" s="8">
        <f t="shared" si="131"/>
        <v>7.8803068831475764</v>
      </c>
      <c r="F332" s="1">
        <f t="shared" si="137"/>
        <v>18.489999999999998</v>
      </c>
      <c r="G332" s="10">
        <f t="shared" si="132"/>
        <v>0.1</v>
      </c>
      <c r="H332" s="10"/>
      <c r="I332" s="1">
        <f t="shared" si="138"/>
        <v>18.489999999999998</v>
      </c>
      <c r="J332" s="8">
        <f t="shared" si="139"/>
        <v>7.8803068831475764</v>
      </c>
      <c r="K332" s="1">
        <f t="shared" si="140"/>
        <v>18.489999999999998</v>
      </c>
      <c r="M332" s="1">
        <f t="shared" si="133"/>
        <v>7.8803068831475764</v>
      </c>
      <c r="N332" s="1">
        <f t="shared" si="141"/>
        <v>18.489999999999998</v>
      </c>
      <c r="S332" s="1">
        <v>10</v>
      </c>
      <c r="T332" s="16">
        <f>($X$3*COS($Z$3*PI()/180)/($X$4*ABS(COS($Z$4*PI()/180))*0.434*($V$5-$V$6))*S332)</f>
        <v>2.9242994832712341</v>
      </c>
      <c r="U332" s="17"/>
      <c r="V332" s="1">
        <v>0.1</v>
      </c>
      <c r="W332" s="4">
        <f>V332/$Q$4*100</f>
        <v>0.46511627906976744</v>
      </c>
    </row>
    <row r="333" spans="1:23">
      <c r="A333" s="135">
        <f t="shared" si="134"/>
        <v>8.4146611284324795</v>
      </c>
      <c r="B333" s="1">
        <f t="shared" si="135"/>
        <v>20.28</v>
      </c>
      <c r="C333" s="7">
        <f t="shared" si="130"/>
        <v>8.2146611284324802</v>
      </c>
      <c r="D333" s="1">
        <f t="shared" si="136"/>
        <v>20.28</v>
      </c>
      <c r="E333" s="8">
        <f t="shared" si="131"/>
        <v>8.0527793739148912</v>
      </c>
      <c r="F333" s="1">
        <f t="shared" si="137"/>
        <v>20.28</v>
      </c>
      <c r="G333" s="10">
        <f t="shared" si="132"/>
        <v>0.1</v>
      </c>
      <c r="H333" s="10"/>
      <c r="I333" s="1">
        <f t="shared" si="138"/>
        <v>20.28</v>
      </c>
      <c r="J333" s="8">
        <f t="shared" si="139"/>
        <v>8.0527793739148912</v>
      </c>
      <c r="K333" s="1">
        <f t="shared" si="140"/>
        <v>20.28</v>
      </c>
      <c r="M333" s="1">
        <f t="shared" si="133"/>
        <v>8.0527793739148912</v>
      </c>
      <c r="N333" s="1">
        <f t="shared" si="141"/>
        <v>20.28</v>
      </c>
      <c r="S333" s="1">
        <v>100</v>
      </c>
      <c r="T333" s="16">
        <f>($X$3*COS($Z$3*PI()/180)/($X$4*ABS(COS($Z$4*PI()/180))*0.434*($V$5-$V$6))*S333)</f>
        <v>29.242994832712345</v>
      </c>
      <c r="U333" s="17"/>
      <c r="V333" s="1">
        <v>1</v>
      </c>
      <c r="W333" s="4">
        <f>V333/$Q$4*100</f>
        <v>4.6511627906976747</v>
      </c>
    </row>
    <row r="334" spans="1:23">
      <c r="A334" s="135">
        <f t="shared" si="134"/>
        <v>8.5704881863664131</v>
      </c>
      <c r="B334" s="1">
        <f t="shared" si="135"/>
        <v>22.17</v>
      </c>
      <c r="C334" s="7">
        <f t="shared" si="130"/>
        <v>8.3704881863664138</v>
      </c>
      <c r="D334" s="1">
        <f t="shared" si="136"/>
        <v>22.17</v>
      </c>
      <c r="E334" s="8">
        <f t="shared" si="131"/>
        <v>8.2116878043622599</v>
      </c>
      <c r="F334" s="1">
        <f t="shared" si="137"/>
        <v>22.17</v>
      </c>
      <c r="G334" s="10">
        <f t="shared" si="132"/>
        <v>0.1</v>
      </c>
      <c r="H334" s="10"/>
      <c r="I334" s="1">
        <f t="shared" si="138"/>
        <v>22.17</v>
      </c>
      <c r="J334" s="8">
        <f t="shared" si="139"/>
        <v>8.2116878043622599</v>
      </c>
      <c r="K334" s="1">
        <f t="shared" si="140"/>
        <v>22.17</v>
      </c>
      <c r="M334" s="1">
        <f t="shared" si="133"/>
        <v>8.2116878043622599</v>
      </c>
      <c r="N334" s="1">
        <f t="shared" si="141"/>
        <v>22.17</v>
      </c>
      <c r="S334" s="1">
        <v>1000</v>
      </c>
      <c r="T334" s="16">
        <f>($X$3*COS($Z$3*PI()/180)/($X$4*ABS(COS($Z$4*PI()/180))*0.434*($V$5-$V$6))*S334)</f>
        <v>292.42994832712344</v>
      </c>
      <c r="U334" s="17"/>
      <c r="V334" s="1">
        <v>10</v>
      </c>
      <c r="W334" s="4">
        <f>V334/$Q$4*100</f>
        <v>46.511627906976742</v>
      </c>
    </row>
    <row r="335" spans="1:23">
      <c r="A335" s="135">
        <f t="shared" si="134"/>
        <v>8.7485762525766262</v>
      </c>
      <c r="B335" s="1">
        <f t="shared" si="135"/>
        <v>24.29</v>
      </c>
      <c r="C335" s="7">
        <f t="shared" si="130"/>
        <v>8.5485762525766269</v>
      </c>
      <c r="D335" s="1">
        <f t="shared" si="136"/>
        <v>24.29</v>
      </c>
      <c r="E335" s="8">
        <f t="shared" si="131"/>
        <v>8.367475305527309</v>
      </c>
      <c r="F335" s="1">
        <f t="shared" si="137"/>
        <v>24.29</v>
      </c>
      <c r="G335" s="10">
        <f t="shared" si="132"/>
        <v>0.1</v>
      </c>
      <c r="H335" s="10"/>
      <c r="I335" s="1">
        <f t="shared" si="138"/>
        <v>24.29</v>
      </c>
      <c r="J335" s="8">
        <f t="shared" si="139"/>
        <v>8.367475305527309</v>
      </c>
      <c r="K335" s="1">
        <f t="shared" si="140"/>
        <v>24.29</v>
      </c>
      <c r="M335" s="1">
        <f t="shared" si="133"/>
        <v>8.367475305527309</v>
      </c>
      <c r="N335" s="1">
        <f t="shared" si="141"/>
        <v>24.29</v>
      </c>
      <c r="S335" s="1">
        <v>10000</v>
      </c>
      <c r="T335" s="16">
        <f>($X$3*COS($Z$3*PI()/180)/($X$4*ABS(COS($Z$4*PI()/180))*0.434*($V$5-$V$6))*S335)</f>
        <v>2924.2994832712343</v>
      </c>
      <c r="U335" s="17"/>
      <c r="V335" s="1">
        <v>100</v>
      </c>
      <c r="W335" s="4">
        <f>V335/$Q$4*100</f>
        <v>465.11627906976747</v>
      </c>
    </row>
    <row r="336" spans="1:23">
      <c r="A336" s="135">
        <f t="shared" si="134"/>
        <v>8.8821423022342838</v>
      </c>
      <c r="B336" s="1">
        <f t="shared" si="135"/>
        <v>26.55</v>
      </c>
      <c r="C336" s="7">
        <f t="shared" si="130"/>
        <v>8.6821423022342845</v>
      </c>
      <c r="D336" s="1">
        <f t="shared" si="136"/>
        <v>26.55</v>
      </c>
      <c r="E336" s="8">
        <f t="shared" si="131"/>
        <v>8.5127593817922005</v>
      </c>
      <c r="F336" s="1">
        <f t="shared" si="137"/>
        <v>26.55</v>
      </c>
      <c r="G336" s="10">
        <f t="shared" si="132"/>
        <v>0.1</v>
      </c>
      <c r="H336" s="10"/>
      <c r="I336" s="1">
        <f t="shared" si="138"/>
        <v>26.55</v>
      </c>
      <c r="J336" s="8">
        <f t="shared" si="139"/>
        <v>8.5127593817922005</v>
      </c>
      <c r="K336" s="1">
        <f t="shared" si="140"/>
        <v>26.55</v>
      </c>
      <c r="M336" s="1">
        <f t="shared" si="133"/>
        <v>8.5127593817922005</v>
      </c>
      <c r="N336" s="1">
        <f t="shared" si="141"/>
        <v>26.55</v>
      </c>
    </row>
    <row r="337" spans="1:23">
      <c r="A337" s="135">
        <f t="shared" si="134"/>
        <v>9.0379693601682192</v>
      </c>
      <c r="B337" s="1">
        <f t="shared" si="135"/>
        <v>28.89</v>
      </c>
      <c r="C337" s="7">
        <f t="shared" ref="C337:C368" si="142">IF(D42&lt;0.0001,0.1,IF(D42="",0.001,D42))</f>
        <v>8.8379693601682199</v>
      </c>
      <c r="D337" s="1">
        <f t="shared" si="136"/>
        <v>28.89</v>
      </c>
      <c r="E337" s="8">
        <f t="shared" ref="E337:E368" si="143">IF(E42&lt;0.0001,0.1,IF(E42="",E336,E42))</f>
        <v>8.645124449697585</v>
      </c>
      <c r="F337" s="1">
        <f t="shared" si="137"/>
        <v>28.89</v>
      </c>
      <c r="G337" s="10">
        <f t="shared" ref="G337:G368" si="144">IF(G42&lt;0.0001,0.1,IF(G42="",0.0001,G42))</f>
        <v>0.1</v>
      </c>
      <c r="H337" s="10"/>
      <c r="I337" s="1">
        <f t="shared" si="138"/>
        <v>28.89</v>
      </c>
      <c r="J337" s="8">
        <f t="shared" si="139"/>
        <v>8.645124449697585</v>
      </c>
      <c r="K337" s="1">
        <f t="shared" si="140"/>
        <v>28.89</v>
      </c>
      <c r="M337" s="1">
        <f t="shared" ref="M337:M368" si="145">IF(O42&lt;0.0001,0.1,IF(O42="",0.0001,O42))</f>
        <v>8.645124449697585</v>
      </c>
      <c r="N337" s="1">
        <f t="shared" si="141"/>
        <v>28.89</v>
      </c>
      <c r="T337" s="1" t="s">
        <v>51</v>
      </c>
      <c r="W337" s="1" t="s">
        <v>52</v>
      </c>
    </row>
    <row r="338" spans="1:23">
      <c r="A338" s="135">
        <f t="shared" ref="A338:A369" si="146">IF(B43="",A337,IF(B43&lt;0.0001,0.1,B43))</f>
        <v>9.1715354098258768</v>
      </c>
      <c r="B338" s="1">
        <f t="shared" ref="B338:B369" si="147">IF(A43="",B337,A43)</f>
        <v>31.69</v>
      </c>
      <c r="C338" s="7">
        <f t="shared" si="142"/>
        <v>8.9715354098258775</v>
      </c>
      <c r="D338" s="1">
        <f t="shared" ref="D338:D369" si="148">IF(A43="",B337,A43)</f>
        <v>31.69</v>
      </c>
      <c r="E338" s="8">
        <f t="shared" si="143"/>
        <v>8.7842219576435863</v>
      </c>
      <c r="F338" s="1">
        <f t="shared" ref="F338:F369" si="149">IF(A43="",B337,A43)</f>
        <v>31.69</v>
      </c>
      <c r="G338" s="10">
        <f t="shared" si="144"/>
        <v>0.1</v>
      </c>
      <c r="H338" s="10"/>
      <c r="I338" s="1">
        <f t="shared" ref="I338:I369" si="150">IF(A43="",B337,A43)</f>
        <v>31.69</v>
      </c>
      <c r="J338" s="8">
        <f t="shared" ref="J338:J369" si="151">IF(J43&lt;0.0001,0.1,IF(J43="",J337,J43))</f>
        <v>8.7842219576435863</v>
      </c>
      <c r="K338" s="1">
        <f t="shared" ref="K338:K369" si="152">IF(A43="",B337,A43)</f>
        <v>31.69</v>
      </c>
      <c r="M338" s="1">
        <f t="shared" si="145"/>
        <v>8.7842219576435863</v>
      </c>
      <c r="N338" s="1">
        <f t="shared" si="141"/>
        <v>31.69</v>
      </c>
      <c r="S338" s="1">
        <v>100</v>
      </c>
      <c r="T338" s="16">
        <v>10</v>
      </c>
      <c r="V338" s="1">
        <v>1</v>
      </c>
      <c r="W338" s="1">
        <v>100000</v>
      </c>
    </row>
    <row r="339" spans="1:23">
      <c r="A339" s="135">
        <f t="shared" si="146"/>
        <v>9.305101459483538</v>
      </c>
      <c r="B339" s="1">
        <f t="shared" si="147"/>
        <v>34.880000000000003</v>
      </c>
      <c r="C339" s="7">
        <f t="shared" si="142"/>
        <v>9.1051014594835387</v>
      </c>
      <c r="D339" s="1">
        <f t="shared" si="148"/>
        <v>34.880000000000003</v>
      </c>
      <c r="E339" s="8">
        <f t="shared" si="143"/>
        <v>8.9223441035857594</v>
      </c>
      <c r="F339" s="1">
        <f t="shared" si="149"/>
        <v>34.880000000000003</v>
      </c>
      <c r="G339" s="10">
        <f t="shared" si="144"/>
        <v>0.1</v>
      </c>
      <c r="H339" s="10"/>
      <c r="I339" s="1">
        <f t="shared" si="150"/>
        <v>34.880000000000003</v>
      </c>
      <c r="J339" s="8">
        <f t="shared" si="151"/>
        <v>8.9223441035857594</v>
      </c>
      <c r="K339" s="1">
        <f t="shared" si="152"/>
        <v>34.880000000000003</v>
      </c>
      <c r="M339" s="1">
        <f t="shared" si="145"/>
        <v>8.9223441035857594</v>
      </c>
      <c r="N339" s="1">
        <f t="shared" si="141"/>
        <v>34.880000000000003</v>
      </c>
      <c r="S339" s="1">
        <v>100</v>
      </c>
      <c r="T339" s="16">
        <v>100</v>
      </c>
      <c r="V339" s="1">
        <v>10</v>
      </c>
      <c r="W339" s="1">
        <v>100000</v>
      </c>
    </row>
    <row r="340" spans="1:23">
      <c r="A340" s="135">
        <f t="shared" si="146"/>
        <v>9.4386675091411956</v>
      </c>
      <c r="B340" s="1">
        <f t="shared" si="147"/>
        <v>37.869999999999997</v>
      </c>
      <c r="C340" s="7">
        <f t="shared" si="142"/>
        <v>9.2386675091411963</v>
      </c>
      <c r="D340" s="1">
        <f t="shared" si="148"/>
        <v>37.869999999999997</v>
      </c>
      <c r="E340" s="8">
        <f t="shared" si="143"/>
        <v>9.0361235071195694</v>
      </c>
      <c r="F340" s="1">
        <f t="shared" si="149"/>
        <v>37.869999999999997</v>
      </c>
      <c r="G340" s="10">
        <f t="shared" si="144"/>
        <v>0.1</v>
      </c>
      <c r="H340" s="10"/>
      <c r="I340" s="1">
        <f t="shared" si="150"/>
        <v>37.869999999999997</v>
      </c>
      <c r="J340" s="8">
        <f t="shared" si="151"/>
        <v>9.0361235071195694</v>
      </c>
      <c r="K340" s="1">
        <f t="shared" si="152"/>
        <v>37.869999999999997</v>
      </c>
      <c r="M340" s="1">
        <f t="shared" si="145"/>
        <v>9.0361235071195694</v>
      </c>
      <c r="N340" s="1">
        <f t="shared" si="141"/>
        <v>37.869999999999997</v>
      </c>
      <c r="S340" s="1">
        <v>100</v>
      </c>
      <c r="T340" s="16">
        <v>1000</v>
      </c>
      <c r="V340" s="1">
        <v>100</v>
      </c>
      <c r="W340" s="1">
        <v>100000</v>
      </c>
    </row>
    <row r="341" spans="1:23">
      <c r="A341" s="135">
        <f t="shared" si="146"/>
        <v>9.549972550522579</v>
      </c>
      <c r="B341" s="1">
        <f t="shared" si="147"/>
        <v>41.14</v>
      </c>
      <c r="C341" s="7">
        <f t="shared" si="142"/>
        <v>9.3499725505225797</v>
      </c>
      <c r="D341" s="1">
        <f t="shared" si="148"/>
        <v>41.14</v>
      </c>
      <c r="E341" s="8">
        <f t="shared" si="143"/>
        <v>9.1465875584274823</v>
      </c>
      <c r="F341" s="1">
        <f t="shared" si="149"/>
        <v>41.14</v>
      </c>
      <c r="G341" s="10">
        <f t="shared" si="144"/>
        <v>0.1</v>
      </c>
      <c r="H341" s="10"/>
      <c r="I341" s="1">
        <f t="shared" si="150"/>
        <v>41.14</v>
      </c>
      <c r="J341" s="8">
        <f t="shared" si="151"/>
        <v>9.1465875584274823</v>
      </c>
      <c r="K341" s="1">
        <f t="shared" si="152"/>
        <v>41.14</v>
      </c>
      <c r="M341" s="1">
        <f t="shared" si="145"/>
        <v>9.1465875584274823</v>
      </c>
      <c r="N341" s="1">
        <f t="shared" si="141"/>
        <v>41.14</v>
      </c>
      <c r="S341" s="1">
        <v>100</v>
      </c>
      <c r="T341" s="16">
        <v>10000</v>
      </c>
    </row>
    <row r="342" spans="1:23">
      <c r="A342" s="135">
        <f t="shared" si="146"/>
        <v>9.6835386001802366</v>
      </c>
      <c r="B342" s="1">
        <f t="shared" si="147"/>
        <v>44.64</v>
      </c>
      <c r="C342" s="7">
        <f t="shared" si="142"/>
        <v>9.4835386001802373</v>
      </c>
      <c r="D342" s="1">
        <f t="shared" si="148"/>
        <v>44.64</v>
      </c>
      <c r="E342" s="8">
        <f t="shared" si="143"/>
        <v>9.2516541974278628</v>
      </c>
      <c r="F342" s="1">
        <f t="shared" si="149"/>
        <v>44.64</v>
      </c>
      <c r="G342" s="10">
        <f t="shared" si="144"/>
        <v>0.1</v>
      </c>
      <c r="H342" s="10"/>
      <c r="I342" s="1">
        <f t="shared" si="150"/>
        <v>44.64</v>
      </c>
      <c r="J342" s="8">
        <f t="shared" si="151"/>
        <v>9.2516541974278628</v>
      </c>
      <c r="K342" s="1">
        <f t="shared" si="152"/>
        <v>44.64</v>
      </c>
      <c r="M342" s="1">
        <f t="shared" si="145"/>
        <v>9.2516541974278628</v>
      </c>
      <c r="N342" s="1">
        <f t="shared" si="141"/>
        <v>44.64</v>
      </c>
    </row>
    <row r="343" spans="1:23">
      <c r="A343" s="135">
        <f t="shared" si="146"/>
        <v>9.79484364156162</v>
      </c>
      <c r="B343" s="1">
        <f t="shared" si="147"/>
        <v>49.24</v>
      </c>
      <c r="C343" s="7">
        <f t="shared" si="142"/>
        <v>9.5948436415616207</v>
      </c>
      <c r="D343" s="1">
        <f t="shared" si="148"/>
        <v>49.24</v>
      </c>
      <c r="E343" s="8">
        <f t="shared" si="143"/>
        <v>9.3730939988423625</v>
      </c>
      <c r="F343" s="1">
        <f t="shared" si="149"/>
        <v>49.24</v>
      </c>
      <c r="G343" s="10">
        <f t="shared" si="144"/>
        <v>0.1</v>
      </c>
      <c r="H343" s="10"/>
      <c r="I343" s="1">
        <f t="shared" si="150"/>
        <v>49.24</v>
      </c>
      <c r="J343" s="8">
        <f t="shared" si="151"/>
        <v>9.3730939988423625</v>
      </c>
      <c r="K343" s="1">
        <f t="shared" si="152"/>
        <v>49.24</v>
      </c>
      <c r="M343" s="1">
        <f t="shared" si="145"/>
        <v>9.3730939988423625</v>
      </c>
      <c r="N343" s="1">
        <f t="shared" si="141"/>
        <v>49.24</v>
      </c>
    </row>
    <row r="344" spans="1:23">
      <c r="A344" s="135">
        <f t="shared" si="146"/>
        <v>9.9061486829429999</v>
      </c>
      <c r="B344" s="1">
        <f t="shared" si="147"/>
        <v>53.96</v>
      </c>
      <c r="C344" s="7">
        <f t="shared" si="142"/>
        <v>9.7061486829430006</v>
      </c>
      <c r="D344" s="1">
        <f t="shared" si="148"/>
        <v>53.96</v>
      </c>
      <c r="E344" s="8">
        <f t="shared" si="143"/>
        <v>9.4819994424332918</v>
      </c>
      <c r="F344" s="1">
        <f t="shared" si="149"/>
        <v>53.96</v>
      </c>
      <c r="G344" s="10">
        <f t="shared" si="144"/>
        <v>0.1</v>
      </c>
      <c r="H344" s="10"/>
      <c r="I344" s="1">
        <f t="shared" si="150"/>
        <v>53.96</v>
      </c>
      <c r="J344" s="8">
        <f t="shared" si="151"/>
        <v>9.4819994424332918</v>
      </c>
      <c r="K344" s="1">
        <f t="shared" si="152"/>
        <v>53.96</v>
      </c>
      <c r="M344" s="1">
        <f t="shared" si="145"/>
        <v>9.4819994424332918</v>
      </c>
      <c r="N344" s="1">
        <f t="shared" si="141"/>
        <v>53.96</v>
      </c>
    </row>
    <row r="345" spans="1:23">
      <c r="A345" s="135">
        <f t="shared" si="146"/>
        <v>9.9951927160481056</v>
      </c>
      <c r="B345" s="1">
        <f t="shared" si="147"/>
        <v>59.13</v>
      </c>
      <c r="C345" s="7">
        <f t="shared" si="142"/>
        <v>9.7951927160481063</v>
      </c>
      <c r="D345" s="1">
        <f t="shared" si="148"/>
        <v>59.13</v>
      </c>
      <c r="E345" s="8">
        <f t="shared" si="143"/>
        <v>9.5868111493963344</v>
      </c>
      <c r="F345" s="1">
        <f t="shared" si="149"/>
        <v>59.13</v>
      </c>
      <c r="G345" s="10">
        <f t="shared" si="144"/>
        <v>0.1</v>
      </c>
      <c r="H345" s="10"/>
      <c r="I345" s="1">
        <f t="shared" si="150"/>
        <v>59.13</v>
      </c>
      <c r="J345" s="8">
        <f t="shared" si="151"/>
        <v>9.5868111493963344</v>
      </c>
      <c r="K345" s="1">
        <f t="shared" si="152"/>
        <v>59.13</v>
      </c>
      <c r="M345" s="1">
        <f t="shared" si="145"/>
        <v>9.5868111493963344</v>
      </c>
      <c r="N345" s="1">
        <f t="shared" si="141"/>
        <v>59.13</v>
      </c>
    </row>
    <row r="346" spans="1:23">
      <c r="A346" s="135">
        <f t="shared" si="146"/>
        <v>10.106497757429489</v>
      </c>
      <c r="B346" s="1">
        <f t="shared" si="147"/>
        <v>64.53</v>
      </c>
      <c r="C346" s="7">
        <f t="shared" si="142"/>
        <v>9.9064977574294897</v>
      </c>
      <c r="D346" s="1">
        <f t="shared" si="148"/>
        <v>64.53</v>
      </c>
      <c r="E346" s="8">
        <f t="shared" si="143"/>
        <v>9.683344526435226</v>
      </c>
      <c r="F346" s="1">
        <f t="shared" si="149"/>
        <v>64.53</v>
      </c>
      <c r="G346" s="10">
        <f t="shared" si="144"/>
        <v>0.1</v>
      </c>
      <c r="H346" s="10"/>
      <c r="I346" s="1">
        <f t="shared" si="150"/>
        <v>64.53</v>
      </c>
      <c r="J346" s="8">
        <f t="shared" si="151"/>
        <v>9.683344526435226</v>
      </c>
      <c r="K346" s="1">
        <f t="shared" si="152"/>
        <v>64.53</v>
      </c>
      <c r="M346" s="1">
        <f t="shared" si="145"/>
        <v>9.683344526435226</v>
      </c>
      <c r="N346" s="1">
        <f t="shared" si="141"/>
        <v>64.53</v>
      </c>
    </row>
    <row r="347" spans="1:23">
      <c r="A347" s="135">
        <f t="shared" si="146"/>
        <v>10.195541790534593</v>
      </c>
      <c r="B347" s="1">
        <f t="shared" si="147"/>
        <v>71.12</v>
      </c>
      <c r="C347" s="7">
        <f t="shared" si="142"/>
        <v>9.9955417905345936</v>
      </c>
      <c r="D347" s="1">
        <f t="shared" si="148"/>
        <v>71.12</v>
      </c>
      <c r="E347" s="8">
        <f t="shared" si="143"/>
        <v>9.7868626500569231</v>
      </c>
      <c r="F347" s="1">
        <f t="shared" si="149"/>
        <v>71.12</v>
      </c>
      <c r="G347" s="10">
        <f t="shared" si="144"/>
        <v>0.1</v>
      </c>
      <c r="H347" s="10"/>
      <c r="I347" s="1">
        <f t="shared" si="150"/>
        <v>71.12</v>
      </c>
      <c r="J347" s="8">
        <f t="shared" si="151"/>
        <v>9.7868626500569231</v>
      </c>
      <c r="K347" s="1">
        <f t="shared" si="152"/>
        <v>71.12</v>
      </c>
      <c r="M347" s="1">
        <f t="shared" si="145"/>
        <v>9.7868626500569231</v>
      </c>
      <c r="N347" s="1">
        <f t="shared" si="141"/>
        <v>71.12</v>
      </c>
    </row>
    <row r="348" spans="1:23">
      <c r="A348" s="135">
        <f t="shared" si="146"/>
        <v>10.284585823639699</v>
      </c>
      <c r="B348" s="1">
        <f t="shared" si="147"/>
        <v>77.180000000000007</v>
      </c>
      <c r="C348" s="7">
        <f t="shared" si="142"/>
        <v>10.084585823639699</v>
      </c>
      <c r="D348" s="1">
        <f t="shared" si="148"/>
        <v>77.180000000000007</v>
      </c>
      <c r="E348" s="8">
        <f t="shared" si="143"/>
        <v>9.8709015235327904</v>
      </c>
      <c r="F348" s="1">
        <f t="shared" si="149"/>
        <v>77.180000000000007</v>
      </c>
      <c r="G348" s="10">
        <f t="shared" si="144"/>
        <v>0.1</v>
      </c>
      <c r="H348" s="10"/>
      <c r="I348" s="1">
        <f t="shared" si="150"/>
        <v>77.180000000000007</v>
      </c>
      <c r="J348" s="8">
        <f t="shared" si="151"/>
        <v>9.8709015235327904</v>
      </c>
      <c r="K348" s="1">
        <f t="shared" si="152"/>
        <v>77.180000000000007</v>
      </c>
      <c r="M348" s="1">
        <f t="shared" si="145"/>
        <v>9.8709015235327904</v>
      </c>
      <c r="N348" s="1">
        <f t="shared" si="141"/>
        <v>77.180000000000007</v>
      </c>
    </row>
    <row r="349" spans="1:23">
      <c r="A349" s="135">
        <f t="shared" si="146"/>
        <v>10.373629856744804</v>
      </c>
      <c r="B349" s="1">
        <f t="shared" si="147"/>
        <v>84.97</v>
      </c>
      <c r="C349" s="7">
        <f t="shared" si="142"/>
        <v>10.173629856744805</v>
      </c>
      <c r="D349" s="1">
        <f t="shared" si="148"/>
        <v>84.97</v>
      </c>
      <c r="E349" s="8">
        <f t="shared" si="143"/>
        <v>9.9663826035013887</v>
      </c>
      <c r="F349" s="1">
        <f t="shared" si="149"/>
        <v>84.97</v>
      </c>
      <c r="G349" s="10">
        <f t="shared" si="144"/>
        <v>0.1</v>
      </c>
      <c r="H349" s="10"/>
      <c r="I349" s="1">
        <f t="shared" si="150"/>
        <v>84.97</v>
      </c>
      <c r="J349" s="8">
        <f t="shared" si="151"/>
        <v>9.9663826035013887</v>
      </c>
      <c r="K349" s="1">
        <f t="shared" si="152"/>
        <v>84.97</v>
      </c>
      <c r="M349" s="1">
        <f t="shared" si="145"/>
        <v>9.9663826035013887</v>
      </c>
      <c r="N349" s="1">
        <f t="shared" si="141"/>
        <v>84.97</v>
      </c>
    </row>
    <row r="350" spans="1:23">
      <c r="A350" s="135">
        <f t="shared" si="146"/>
        <v>10.462673889849908</v>
      </c>
      <c r="B350" s="1">
        <f t="shared" si="147"/>
        <v>92.98</v>
      </c>
      <c r="C350" s="7">
        <f t="shared" si="142"/>
        <v>10.262673889849909</v>
      </c>
      <c r="D350" s="1">
        <f t="shared" si="148"/>
        <v>92.98</v>
      </c>
      <c r="E350" s="8">
        <f t="shared" si="143"/>
        <v>10.052717316508829</v>
      </c>
      <c r="F350" s="1">
        <f t="shared" si="149"/>
        <v>92.98</v>
      </c>
      <c r="G350" s="10">
        <f t="shared" si="144"/>
        <v>0.1</v>
      </c>
      <c r="H350" s="10"/>
      <c r="I350" s="1">
        <f t="shared" si="150"/>
        <v>92.98</v>
      </c>
      <c r="J350" s="8">
        <f t="shared" si="151"/>
        <v>10.052717316508829</v>
      </c>
      <c r="K350" s="1">
        <f t="shared" si="152"/>
        <v>92.98</v>
      </c>
      <c r="M350" s="1">
        <f t="shared" si="145"/>
        <v>10.052717316508829</v>
      </c>
      <c r="N350" s="1">
        <f t="shared" si="141"/>
        <v>92.98</v>
      </c>
    </row>
    <row r="351" spans="1:23">
      <c r="A351" s="135">
        <f t="shared" si="146"/>
        <v>10.551717922955014</v>
      </c>
      <c r="B351" s="1">
        <f t="shared" si="147"/>
        <v>101.81</v>
      </c>
      <c r="C351" s="7">
        <f t="shared" si="142"/>
        <v>10.351717922955014</v>
      </c>
      <c r="D351" s="1">
        <f t="shared" si="148"/>
        <v>101.81</v>
      </c>
      <c r="E351" s="8">
        <f t="shared" si="143"/>
        <v>10.136767533677043</v>
      </c>
      <c r="F351" s="1">
        <f t="shared" si="149"/>
        <v>101.81</v>
      </c>
      <c r="G351" s="10">
        <f t="shared" si="144"/>
        <v>0.1</v>
      </c>
      <c r="H351" s="10"/>
      <c r="I351" s="1">
        <f t="shared" si="150"/>
        <v>101.81</v>
      </c>
      <c r="J351" s="8">
        <f t="shared" si="151"/>
        <v>10.136767533677043</v>
      </c>
      <c r="K351" s="1">
        <f t="shared" si="152"/>
        <v>101.81</v>
      </c>
      <c r="M351" s="1">
        <f t="shared" si="145"/>
        <v>10.136767533677043</v>
      </c>
      <c r="N351" s="1">
        <f t="shared" si="141"/>
        <v>101.81</v>
      </c>
    </row>
    <row r="352" spans="1:23">
      <c r="A352" s="135">
        <f t="shared" si="146"/>
        <v>10.663022964336397</v>
      </c>
      <c r="B352" s="1">
        <f t="shared" si="147"/>
        <v>110.91</v>
      </c>
      <c r="C352" s="7">
        <f t="shared" si="142"/>
        <v>10.463022964336398</v>
      </c>
      <c r="D352" s="1">
        <f t="shared" si="148"/>
        <v>110.91</v>
      </c>
      <c r="E352" s="8">
        <f t="shared" si="143"/>
        <v>10.213542087765369</v>
      </c>
      <c r="F352" s="1">
        <f t="shared" si="149"/>
        <v>110.91</v>
      </c>
      <c r="G352" s="10">
        <f t="shared" si="144"/>
        <v>0.1</v>
      </c>
      <c r="H352" s="10"/>
      <c r="I352" s="1">
        <f t="shared" si="150"/>
        <v>110.91</v>
      </c>
      <c r="J352" s="8">
        <f t="shared" si="151"/>
        <v>10.213542087765369</v>
      </c>
      <c r="K352" s="1">
        <f t="shared" si="152"/>
        <v>110.91</v>
      </c>
      <c r="M352" s="1">
        <f t="shared" si="145"/>
        <v>10.213542087765369</v>
      </c>
      <c r="N352" s="1">
        <f t="shared" si="141"/>
        <v>110.91</v>
      </c>
    </row>
    <row r="353" spans="1:14">
      <c r="A353" s="135">
        <f t="shared" si="146"/>
        <v>10.752066997441501</v>
      </c>
      <c r="B353" s="1">
        <f t="shared" si="147"/>
        <v>120.98</v>
      </c>
      <c r="C353" s="7">
        <f t="shared" si="142"/>
        <v>10.552066997441502</v>
      </c>
      <c r="D353" s="1">
        <f t="shared" si="148"/>
        <v>120.98</v>
      </c>
      <c r="E353" s="8">
        <f t="shared" si="143"/>
        <v>10.289073566526939</v>
      </c>
      <c r="F353" s="1">
        <f t="shared" si="149"/>
        <v>120.98</v>
      </c>
      <c r="G353" s="10">
        <f t="shared" si="144"/>
        <v>0.1</v>
      </c>
      <c r="H353" s="10"/>
      <c r="I353" s="1">
        <f t="shared" si="150"/>
        <v>120.98</v>
      </c>
      <c r="J353" s="8">
        <f t="shared" si="151"/>
        <v>10.289073566526939</v>
      </c>
      <c r="K353" s="1">
        <f t="shared" si="152"/>
        <v>120.98</v>
      </c>
      <c r="M353" s="1">
        <f t="shared" si="145"/>
        <v>10.289073566526939</v>
      </c>
      <c r="N353" s="1">
        <f t="shared" si="141"/>
        <v>120.98</v>
      </c>
    </row>
    <row r="354" spans="1:14">
      <c r="A354" s="135">
        <f t="shared" si="146"/>
        <v>10.885633047099159</v>
      </c>
      <c r="B354" s="1">
        <f t="shared" si="147"/>
        <v>133.49</v>
      </c>
      <c r="C354" s="7">
        <f t="shared" si="142"/>
        <v>10.685633047099159</v>
      </c>
      <c r="D354" s="1">
        <f t="shared" si="148"/>
        <v>133.49</v>
      </c>
      <c r="E354" s="8">
        <f t="shared" si="143"/>
        <v>10.371807698347697</v>
      </c>
      <c r="F354" s="1">
        <f t="shared" si="149"/>
        <v>133.49</v>
      </c>
      <c r="G354" s="10">
        <f t="shared" si="144"/>
        <v>0.1</v>
      </c>
      <c r="H354" s="10"/>
      <c r="I354" s="1">
        <f t="shared" si="150"/>
        <v>133.49</v>
      </c>
      <c r="J354" s="8">
        <f t="shared" si="151"/>
        <v>10.371807698347697</v>
      </c>
      <c r="K354" s="1">
        <f t="shared" si="152"/>
        <v>133.49</v>
      </c>
      <c r="M354" s="1">
        <f t="shared" si="145"/>
        <v>10.371807698347697</v>
      </c>
      <c r="N354" s="1">
        <f t="shared" si="141"/>
        <v>133.49</v>
      </c>
    </row>
    <row r="355" spans="1:14">
      <c r="A355" s="135">
        <f t="shared" si="146"/>
        <v>11.01919909675682</v>
      </c>
      <c r="B355" s="1">
        <f t="shared" si="147"/>
        <v>145.86000000000001</v>
      </c>
      <c r="C355" s="7">
        <f t="shared" si="142"/>
        <v>10.819199096756821</v>
      </c>
      <c r="D355" s="1">
        <f t="shared" si="148"/>
        <v>145.86000000000001</v>
      </c>
      <c r="E355" s="8">
        <f t="shared" si="143"/>
        <v>10.443902599085398</v>
      </c>
      <c r="F355" s="1">
        <f t="shared" si="149"/>
        <v>145.86000000000001</v>
      </c>
      <c r="G355" s="10">
        <f t="shared" si="144"/>
        <v>0.1</v>
      </c>
      <c r="H355" s="10"/>
      <c r="I355" s="1">
        <f t="shared" si="150"/>
        <v>145.86000000000001</v>
      </c>
      <c r="J355" s="8">
        <f t="shared" si="151"/>
        <v>10.443902599085398</v>
      </c>
      <c r="K355" s="1">
        <f t="shared" si="152"/>
        <v>145.86000000000001</v>
      </c>
      <c r="M355" s="1">
        <f t="shared" si="145"/>
        <v>10.443902599085398</v>
      </c>
      <c r="N355" s="1">
        <f t="shared" si="141"/>
        <v>145.86000000000001</v>
      </c>
    </row>
    <row r="356" spans="1:14">
      <c r="A356" s="135">
        <f t="shared" si="146"/>
        <v>11.175026154690752</v>
      </c>
      <c r="B356" s="1">
        <f t="shared" si="147"/>
        <v>159.34</v>
      </c>
      <c r="C356" s="7">
        <f t="shared" si="142"/>
        <v>10.975026154690752</v>
      </c>
      <c r="D356" s="1">
        <f t="shared" si="148"/>
        <v>159.34</v>
      </c>
      <c r="E356" s="8">
        <f t="shared" si="143"/>
        <v>10.513637148141836</v>
      </c>
      <c r="F356" s="1">
        <f t="shared" si="149"/>
        <v>159.34</v>
      </c>
      <c r="G356" s="10">
        <f t="shared" si="144"/>
        <v>0.1</v>
      </c>
      <c r="H356" s="10"/>
      <c r="I356" s="1">
        <f t="shared" si="150"/>
        <v>159.34</v>
      </c>
      <c r="J356" s="8">
        <f t="shared" si="151"/>
        <v>10.513637148141836</v>
      </c>
      <c r="K356" s="1">
        <f t="shared" si="152"/>
        <v>159.34</v>
      </c>
      <c r="M356" s="1">
        <f t="shared" si="145"/>
        <v>10.513637148141836</v>
      </c>
      <c r="N356" s="1">
        <f t="shared" si="141"/>
        <v>159.34</v>
      </c>
    </row>
    <row r="357" spans="1:14">
      <c r="A357" s="135">
        <f t="shared" si="146"/>
        <v>11.353114220900967</v>
      </c>
      <c r="B357" s="1">
        <f t="shared" si="147"/>
        <v>173.72</v>
      </c>
      <c r="C357" s="7">
        <f t="shared" si="142"/>
        <v>11.153114220900967</v>
      </c>
      <c r="D357" s="1">
        <f t="shared" si="148"/>
        <v>173.72</v>
      </c>
      <c r="E357" s="8">
        <f t="shared" si="143"/>
        <v>10.57979506168064</v>
      </c>
      <c r="F357" s="1">
        <f t="shared" si="149"/>
        <v>173.72</v>
      </c>
      <c r="G357" s="10">
        <f t="shared" si="144"/>
        <v>0.1</v>
      </c>
      <c r="H357" s="10"/>
      <c r="I357" s="1">
        <f t="shared" si="150"/>
        <v>173.72</v>
      </c>
      <c r="J357" s="8">
        <f t="shared" si="151"/>
        <v>10.57979506168064</v>
      </c>
      <c r="K357" s="1">
        <f t="shared" si="152"/>
        <v>173.72</v>
      </c>
      <c r="M357" s="1">
        <f t="shared" si="145"/>
        <v>10.57979506168064</v>
      </c>
      <c r="N357" s="1">
        <f t="shared" si="141"/>
        <v>173.72</v>
      </c>
    </row>
    <row r="358" spans="1:14">
      <c r="A358" s="135">
        <f t="shared" si="146"/>
        <v>11.575724303663728</v>
      </c>
      <c r="B358" s="1">
        <f t="shared" si="147"/>
        <v>190.46</v>
      </c>
      <c r="C358" s="7">
        <f t="shared" si="142"/>
        <v>11.375724303663729</v>
      </c>
      <c r="D358" s="1">
        <f t="shared" si="148"/>
        <v>190.46</v>
      </c>
      <c r="E358" s="8">
        <f t="shared" si="143"/>
        <v>10.648148567015808</v>
      </c>
      <c r="F358" s="1">
        <f t="shared" si="149"/>
        <v>190.46</v>
      </c>
      <c r="G358" s="10">
        <f t="shared" si="144"/>
        <v>0.1</v>
      </c>
      <c r="H358" s="10"/>
      <c r="I358" s="1">
        <f t="shared" si="150"/>
        <v>190.46</v>
      </c>
      <c r="J358" s="8">
        <f t="shared" si="151"/>
        <v>10.648148567015808</v>
      </c>
      <c r="K358" s="1">
        <f t="shared" si="152"/>
        <v>190.46</v>
      </c>
      <c r="M358" s="1">
        <f t="shared" si="145"/>
        <v>10.648148567015808</v>
      </c>
      <c r="N358" s="1">
        <f t="shared" si="141"/>
        <v>190.46</v>
      </c>
    </row>
    <row r="359" spans="1:14">
      <c r="A359" s="135">
        <f t="shared" si="146"/>
        <v>11.865117411255325</v>
      </c>
      <c r="B359" s="1">
        <f t="shared" si="147"/>
        <v>207.72</v>
      </c>
      <c r="C359" s="7">
        <f t="shared" si="142"/>
        <v>11.665117411255325</v>
      </c>
      <c r="D359" s="1">
        <f t="shared" si="148"/>
        <v>207.72</v>
      </c>
      <c r="E359" s="8">
        <f t="shared" si="143"/>
        <v>10.710715309686957</v>
      </c>
      <c r="F359" s="1">
        <f t="shared" si="149"/>
        <v>207.72</v>
      </c>
      <c r="G359" s="10">
        <f t="shared" si="144"/>
        <v>5.2850153412798598E-2</v>
      </c>
      <c r="H359" s="10"/>
      <c r="I359" s="1">
        <f t="shared" si="150"/>
        <v>207.72</v>
      </c>
      <c r="J359" s="8">
        <f t="shared" si="151"/>
        <v>10.763565463099756</v>
      </c>
      <c r="K359" s="1">
        <f t="shared" si="152"/>
        <v>207.72</v>
      </c>
      <c r="M359" s="1">
        <f t="shared" si="145"/>
        <v>10.763565463099756</v>
      </c>
      <c r="N359" s="1">
        <f t="shared" si="141"/>
        <v>207.72</v>
      </c>
    </row>
    <row r="360" spans="1:14">
      <c r="A360" s="135">
        <f t="shared" si="146"/>
        <v>12.243554551952023</v>
      </c>
      <c r="B360" s="1">
        <f t="shared" si="147"/>
        <v>229.21</v>
      </c>
      <c r="C360" s="7">
        <f t="shared" si="142"/>
        <v>12.043554551952024</v>
      </c>
      <c r="D360" s="1">
        <f t="shared" si="148"/>
        <v>229.21</v>
      </c>
      <c r="E360" s="8">
        <f t="shared" si="143"/>
        <v>10.779598626109468</v>
      </c>
      <c r="F360" s="1">
        <f t="shared" si="149"/>
        <v>229.21</v>
      </c>
      <c r="G360" s="10">
        <f t="shared" si="144"/>
        <v>0.60478266531713376</v>
      </c>
      <c r="H360" s="10"/>
      <c r="I360" s="1">
        <f t="shared" si="150"/>
        <v>229.21</v>
      </c>
      <c r="J360" s="8">
        <f t="shared" si="151"/>
        <v>11.384381291426601</v>
      </c>
      <c r="K360" s="1">
        <f t="shared" si="152"/>
        <v>229.21</v>
      </c>
      <c r="M360" s="1">
        <f t="shared" si="145"/>
        <v>11.384381291426601</v>
      </c>
      <c r="N360" s="1">
        <f t="shared" si="141"/>
        <v>229.21</v>
      </c>
    </row>
    <row r="361" spans="1:14">
      <c r="A361" s="135">
        <f t="shared" si="146"/>
        <v>12.62199169264872</v>
      </c>
      <c r="B361" s="1">
        <f t="shared" si="147"/>
        <v>250.12</v>
      </c>
      <c r="C361" s="7">
        <f t="shared" si="142"/>
        <v>12.421991692648721</v>
      </c>
      <c r="D361" s="1">
        <f t="shared" si="148"/>
        <v>250.12</v>
      </c>
      <c r="E361" s="8">
        <f t="shared" si="143"/>
        <v>10.838877732158789</v>
      </c>
      <c r="F361" s="1">
        <f t="shared" si="149"/>
        <v>250.12</v>
      </c>
      <c r="G361" s="10">
        <f t="shared" si="144"/>
        <v>1.2191662781175403</v>
      </c>
      <c r="H361" s="10"/>
      <c r="I361" s="1">
        <f t="shared" si="150"/>
        <v>250.12</v>
      </c>
      <c r="J361" s="8">
        <f t="shared" si="151"/>
        <v>12.05804401027633</v>
      </c>
      <c r="K361" s="1">
        <f t="shared" si="152"/>
        <v>250.12</v>
      </c>
      <c r="M361" s="1">
        <f t="shared" si="145"/>
        <v>12.05804401027633</v>
      </c>
      <c r="N361" s="1">
        <f t="shared" si="141"/>
        <v>250.12</v>
      </c>
    </row>
    <row r="362" spans="1:14">
      <c r="A362" s="135">
        <f t="shared" si="146"/>
        <v>13.022689841621698</v>
      </c>
      <c r="B362" s="1">
        <f t="shared" si="147"/>
        <v>273.99</v>
      </c>
      <c r="C362" s="7">
        <f t="shared" si="142"/>
        <v>12.822689841621699</v>
      </c>
      <c r="D362" s="1">
        <f t="shared" si="148"/>
        <v>273.99</v>
      </c>
      <c r="E362" s="8">
        <f t="shared" si="143"/>
        <v>10.899036444059185</v>
      </c>
      <c r="F362" s="1">
        <f t="shared" si="149"/>
        <v>273.99</v>
      </c>
      <c r="G362" s="10">
        <f t="shared" si="144"/>
        <v>1.7741223245250879</v>
      </c>
      <c r="H362" s="10"/>
      <c r="I362" s="1">
        <f t="shared" si="150"/>
        <v>273.99</v>
      </c>
      <c r="J362" s="8">
        <f t="shared" si="151"/>
        <v>12.673158768584273</v>
      </c>
      <c r="K362" s="1">
        <f t="shared" si="152"/>
        <v>273.99</v>
      </c>
      <c r="M362" s="1">
        <f t="shared" si="145"/>
        <v>12.673158768584273</v>
      </c>
      <c r="N362" s="1">
        <f t="shared" si="141"/>
        <v>273.99</v>
      </c>
    </row>
    <row r="363" spans="1:14">
      <c r="A363" s="135">
        <f t="shared" si="146"/>
        <v>13.423387990594673</v>
      </c>
      <c r="B363" s="1">
        <f t="shared" si="147"/>
        <v>300.2</v>
      </c>
      <c r="C363" s="7">
        <f t="shared" si="142"/>
        <v>13.223387990594674</v>
      </c>
      <c r="D363" s="1">
        <f t="shared" si="148"/>
        <v>300.2</v>
      </c>
      <c r="E363" s="8">
        <f t="shared" si="143"/>
        <v>10.957627709604088</v>
      </c>
      <c r="F363" s="1">
        <f t="shared" si="149"/>
        <v>300.2</v>
      </c>
      <c r="G363" s="10">
        <f t="shared" si="144"/>
        <v>2.2239358252369104</v>
      </c>
      <c r="H363" s="10"/>
      <c r="I363" s="1">
        <f t="shared" si="150"/>
        <v>300.2</v>
      </c>
      <c r="J363" s="8">
        <f t="shared" si="151"/>
        <v>13.181563534840999</v>
      </c>
      <c r="K363" s="1">
        <f t="shared" si="152"/>
        <v>300.2</v>
      </c>
      <c r="M363" s="1">
        <f t="shared" si="145"/>
        <v>13.181563534840999</v>
      </c>
      <c r="N363" s="1">
        <f t="shared" si="141"/>
        <v>300.2</v>
      </c>
    </row>
    <row r="364" spans="1:14">
      <c r="A364" s="135">
        <f t="shared" si="146"/>
        <v>13.801825131291373</v>
      </c>
      <c r="B364" s="1">
        <f t="shared" si="147"/>
        <v>327.71</v>
      </c>
      <c r="C364" s="7">
        <f t="shared" si="142"/>
        <v>13.601825131291374</v>
      </c>
      <c r="D364" s="1">
        <f t="shared" si="148"/>
        <v>327.71</v>
      </c>
      <c r="E364" s="8">
        <f t="shared" si="143"/>
        <v>11.012322046063447</v>
      </c>
      <c r="F364" s="1">
        <f t="shared" si="149"/>
        <v>327.71</v>
      </c>
      <c r="G364" s="10">
        <f t="shared" si="144"/>
        <v>2.5726161083170958</v>
      </c>
      <c r="H364" s="10"/>
      <c r="I364" s="1">
        <f t="shared" si="150"/>
        <v>327.71</v>
      </c>
      <c r="J364" s="8">
        <f t="shared" si="151"/>
        <v>13.584938154380543</v>
      </c>
      <c r="K364" s="1">
        <f t="shared" si="152"/>
        <v>327.71</v>
      </c>
      <c r="M364" s="1">
        <f t="shared" si="145"/>
        <v>13.584938154380543</v>
      </c>
      <c r="N364" s="1">
        <f t="shared" si="141"/>
        <v>327.71</v>
      </c>
    </row>
    <row r="365" spans="1:14">
      <c r="A365" s="135">
        <f t="shared" si="146"/>
        <v>14.158001263711794</v>
      </c>
      <c r="B365" s="1">
        <f t="shared" si="147"/>
        <v>358.1</v>
      </c>
      <c r="C365" s="7">
        <f t="shared" si="142"/>
        <v>13.958001263711795</v>
      </c>
      <c r="D365" s="1">
        <f t="shared" si="148"/>
        <v>358.1</v>
      </c>
      <c r="E365" s="8">
        <f t="shared" si="143"/>
        <v>11.066170317078178</v>
      </c>
      <c r="F365" s="1">
        <f t="shared" si="149"/>
        <v>358.1</v>
      </c>
      <c r="G365" s="10">
        <f t="shared" si="144"/>
        <v>2.861203305200783</v>
      </c>
      <c r="H365" s="10"/>
      <c r="I365" s="1">
        <f t="shared" si="150"/>
        <v>358.1</v>
      </c>
      <c r="J365" s="8">
        <f t="shared" si="151"/>
        <v>13.927373622278962</v>
      </c>
      <c r="K365" s="1">
        <f t="shared" si="152"/>
        <v>358.1</v>
      </c>
      <c r="M365" s="1">
        <f t="shared" si="145"/>
        <v>13.927373622278962</v>
      </c>
      <c r="N365" s="1">
        <f t="shared" si="141"/>
        <v>358.1</v>
      </c>
    </row>
    <row r="366" spans="1:14">
      <c r="A366" s="135">
        <f t="shared" si="146"/>
        <v>14.491916387855941</v>
      </c>
      <c r="B366" s="1">
        <f t="shared" si="147"/>
        <v>392.54</v>
      </c>
      <c r="C366" s="7">
        <f t="shared" si="142"/>
        <v>14.291916387855942</v>
      </c>
      <c r="D366" s="1">
        <f t="shared" si="148"/>
        <v>392.54</v>
      </c>
      <c r="E366" s="8">
        <f t="shared" si="143"/>
        <v>11.120428824894395</v>
      </c>
      <c r="F366" s="1">
        <f t="shared" si="149"/>
        <v>392.54</v>
      </c>
      <c r="G366" s="10">
        <f t="shared" si="144"/>
        <v>3.1078871870319129</v>
      </c>
      <c r="H366" s="10"/>
      <c r="I366" s="1">
        <f t="shared" si="150"/>
        <v>392.54</v>
      </c>
      <c r="J366" s="8">
        <f t="shared" si="151"/>
        <v>14.228316011926308</v>
      </c>
      <c r="K366" s="1">
        <f t="shared" si="152"/>
        <v>392.54</v>
      </c>
      <c r="M366" s="1">
        <f t="shared" si="145"/>
        <v>14.228316011926308</v>
      </c>
      <c r="N366" s="1">
        <f t="shared" si="141"/>
        <v>392.54</v>
      </c>
    </row>
    <row r="367" spans="1:14">
      <c r="A367" s="135">
        <f t="shared" si="146"/>
        <v>14.803570503723812</v>
      </c>
      <c r="B367" s="1">
        <f t="shared" si="147"/>
        <v>428.32</v>
      </c>
      <c r="C367" s="7">
        <f t="shared" si="142"/>
        <v>14.603570503723812</v>
      </c>
      <c r="D367" s="1">
        <f t="shared" si="148"/>
        <v>428.32</v>
      </c>
      <c r="E367" s="8">
        <f t="shared" si="143"/>
        <v>11.170616012958384</v>
      </c>
      <c r="F367" s="1">
        <f t="shared" si="149"/>
        <v>428.32</v>
      </c>
      <c r="G367" s="10">
        <f t="shared" si="144"/>
        <v>3.3042189824582437</v>
      </c>
      <c r="H367" s="10"/>
      <c r="I367" s="1">
        <f t="shared" si="150"/>
        <v>428.32</v>
      </c>
      <c r="J367" s="8">
        <f t="shared" si="151"/>
        <v>14.474834995416627</v>
      </c>
      <c r="K367" s="1">
        <f t="shared" si="152"/>
        <v>428.32</v>
      </c>
      <c r="M367" s="1">
        <f t="shared" si="145"/>
        <v>14.474834995416627</v>
      </c>
      <c r="N367" s="1">
        <f t="shared" si="141"/>
        <v>428.32</v>
      </c>
    </row>
    <row r="368" spans="1:14">
      <c r="A368" s="135">
        <f t="shared" si="146"/>
        <v>15.070702603039129</v>
      </c>
      <c r="B368" s="1">
        <f t="shared" si="147"/>
        <v>471.12</v>
      </c>
      <c r="C368" s="7">
        <f t="shared" si="142"/>
        <v>14.870702603039129</v>
      </c>
      <c r="D368" s="1">
        <f t="shared" si="148"/>
        <v>471.12</v>
      </c>
      <c r="E368" s="8">
        <f t="shared" si="143"/>
        <v>11.223961471038939</v>
      </c>
      <c r="F368" s="1">
        <f t="shared" si="149"/>
        <v>471.12</v>
      </c>
      <c r="G368" s="10">
        <f t="shared" si="144"/>
        <v>3.4856083548325874</v>
      </c>
      <c r="H368" s="10"/>
      <c r="I368" s="1">
        <f t="shared" si="150"/>
        <v>471.12</v>
      </c>
      <c r="J368" s="8">
        <f t="shared" si="151"/>
        <v>14.709569825871526</v>
      </c>
      <c r="K368" s="1">
        <f t="shared" si="152"/>
        <v>471.12</v>
      </c>
      <c r="M368" s="1">
        <f t="shared" si="145"/>
        <v>14.709569825871526</v>
      </c>
      <c r="N368" s="1">
        <f t="shared" si="141"/>
        <v>471.12</v>
      </c>
    </row>
    <row r="369" spans="1:14">
      <c r="A369" s="135">
        <f t="shared" si="146"/>
        <v>15.31557369407817</v>
      </c>
      <c r="B369" s="1">
        <f t="shared" si="147"/>
        <v>512</v>
      </c>
      <c r="C369" s="7">
        <f t="shared" ref="C369:C400" si="153">IF(D74&lt;0.0001,0.1,IF(D74="",0.001,D74))</f>
        <v>15.11557369407817</v>
      </c>
      <c r="D369" s="1">
        <f t="shared" si="148"/>
        <v>512</v>
      </c>
      <c r="E369" s="8">
        <f t="shared" ref="E369:E400" si="154">IF(E74&lt;0.0001,0.1,IF(E74="",E368,E74))</f>
        <v>11.269376269600569</v>
      </c>
      <c r="F369" s="1">
        <f t="shared" si="149"/>
        <v>512</v>
      </c>
      <c r="G369" s="10">
        <f t="shared" ref="G369:G400" si="155">IF(G74&lt;0.0001,0.1,IF(G74="",0.0001,G74))</f>
        <v>3.6216474423876579</v>
      </c>
      <c r="H369" s="10"/>
      <c r="I369" s="1">
        <f t="shared" si="150"/>
        <v>512</v>
      </c>
      <c r="J369" s="8">
        <f t="shared" si="151"/>
        <v>14.891023711988227</v>
      </c>
      <c r="K369" s="1">
        <f t="shared" si="152"/>
        <v>512</v>
      </c>
      <c r="M369" s="1">
        <f t="shared" ref="M369:M400" si="156">IF(O74&lt;0.0001,0.1,IF(O74="",0.0001,O74))</f>
        <v>14.891023711988227</v>
      </c>
      <c r="N369" s="1">
        <f t="shared" si="141"/>
        <v>512</v>
      </c>
    </row>
    <row r="370" spans="1:14">
      <c r="A370" s="135">
        <f t="shared" ref="A370:A401" si="157">IF(B75="",A369,IF(B75&lt;0.0001,0.1,B75))</f>
        <v>15.493661760288379</v>
      </c>
      <c r="B370" s="1">
        <f t="shared" ref="B370:B401" si="158">IF(A75="",B369,A75)</f>
        <v>561.94000000000005</v>
      </c>
      <c r="C370" s="7">
        <f t="shared" si="153"/>
        <v>15.29366176028838</v>
      </c>
      <c r="D370" s="1">
        <f t="shared" ref="D370:D401" si="159">IF(A75="",B369,A75)</f>
        <v>561.94000000000005</v>
      </c>
      <c r="E370" s="8">
        <f t="shared" si="154"/>
        <v>11.318904422312581</v>
      </c>
      <c r="F370" s="1">
        <f t="shared" ref="F370:F401" si="160">IF(A75="",B369,A75)</f>
        <v>561.94000000000005</v>
      </c>
      <c r="G370" s="10">
        <f t="shared" si="155"/>
        <v>3.7538801131300605</v>
      </c>
      <c r="H370" s="10"/>
      <c r="I370" s="1">
        <f t="shared" ref="I370:I401" si="161">IF(A75="",B369,A75)</f>
        <v>561.94000000000005</v>
      </c>
      <c r="J370" s="8">
        <f t="shared" ref="J370:J401" si="162">IF(J75&lt;0.0001,0.1,IF(J75="",J369,J75))</f>
        <v>15.072784535442642</v>
      </c>
      <c r="K370" s="1">
        <f t="shared" ref="K370:K401" si="163">IF(A75="",B369,A75)</f>
        <v>561.94000000000005</v>
      </c>
      <c r="M370" s="1">
        <f t="shared" si="156"/>
        <v>15.072784535442642</v>
      </c>
      <c r="N370" s="1">
        <f t="shared" ref="N370:N433" si="164">K370</f>
        <v>561.94000000000005</v>
      </c>
    </row>
    <row r="371" spans="1:14">
      <c r="A371" s="135">
        <f t="shared" si="157"/>
        <v>15.649488818222318</v>
      </c>
      <c r="B371" s="1">
        <f t="shared" si="158"/>
        <v>614.97</v>
      </c>
      <c r="C371" s="7">
        <f t="shared" si="153"/>
        <v>15.449488818222319</v>
      </c>
      <c r="D371" s="1">
        <f t="shared" si="159"/>
        <v>614.97</v>
      </c>
      <c r="E371" s="8">
        <f t="shared" si="154"/>
        <v>11.365664261158402</v>
      </c>
      <c r="F371" s="1">
        <f t="shared" si="160"/>
        <v>614.97</v>
      </c>
      <c r="G371" s="10">
        <f t="shared" si="155"/>
        <v>3.8655949608000908</v>
      </c>
      <c r="H371" s="10"/>
      <c r="I371" s="1">
        <f t="shared" si="161"/>
        <v>614.97</v>
      </c>
      <c r="J371" s="8">
        <f t="shared" si="162"/>
        <v>15.231259221958492</v>
      </c>
      <c r="K371" s="1">
        <f t="shared" si="163"/>
        <v>614.97</v>
      </c>
      <c r="M371" s="1">
        <f t="shared" si="156"/>
        <v>15.231259221958492</v>
      </c>
      <c r="N371" s="1">
        <f t="shared" si="164"/>
        <v>614.97</v>
      </c>
    </row>
    <row r="372" spans="1:14">
      <c r="A372" s="135">
        <f t="shared" si="157"/>
        <v>15.783054867879976</v>
      </c>
      <c r="B372" s="1">
        <f t="shared" si="158"/>
        <v>671.44</v>
      </c>
      <c r="C372" s="7">
        <f t="shared" si="153"/>
        <v>15.583054867879977</v>
      </c>
      <c r="D372" s="1">
        <f t="shared" si="159"/>
        <v>671.44</v>
      </c>
      <c r="E372" s="8">
        <f t="shared" si="154"/>
        <v>11.410097105083274</v>
      </c>
      <c r="F372" s="1">
        <f t="shared" si="160"/>
        <v>671.44</v>
      </c>
      <c r="G372" s="10">
        <f t="shared" si="155"/>
        <v>3.9616297778733855</v>
      </c>
      <c r="H372" s="10"/>
      <c r="I372" s="1">
        <f t="shared" si="161"/>
        <v>671.44</v>
      </c>
      <c r="J372" s="8">
        <f t="shared" si="162"/>
        <v>15.37172688295666</v>
      </c>
      <c r="K372" s="1">
        <f t="shared" si="163"/>
        <v>671.44</v>
      </c>
      <c r="M372" s="1">
        <f t="shared" si="156"/>
        <v>15.37172688295666</v>
      </c>
      <c r="N372" s="1">
        <f t="shared" si="164"/>
        <v>671.44</v>
      </c>
    </row>
    <row r="373" spans="1:14">
      <c r="A373" s="135">
        <f t="shared" si="157"/>
        <v>15.916620917537633</v>
      </c>
      <c r="B373" s="1">
        <f t="shared" si="158"/>
        <v>735.37</v>
      </c>
      <c r="C373" s="7">
        <f t="shared" si="153"/>
        <v>15.716620917537634</v>
      </c>
      <c r="D373" s="1">
        <f t="shared" si="159"/>
        <v>735.37</v>
      </c>
      <c r="E373" s="8">
        <f t="shared" si="154"/>
        <v>11.454974407189829</v>
      </c>
      <c r="F373" s="1">
        <f t="shared" si="160"/>
        <v>735.37</v>
      </c>
      <c r="G373" s="10">
        <f t="shared" si="155"/>
        <v>4.0499490305036723</v>
      </c>
      <c r="H373" s="10"/>
      <c r="I373" s="1">
        <f t="shared" si="161"/>
        <v>735.37</v>
      </c>
      <c r="J373" s="8">
        <f t="shared" si="162"/>
        <v>15.504923437693501</v>
      </c>
      <c r="K373" s="1">
        <f t="shared" si="163"/>
        <v>735.37</v>
      </c>
      <c r="M373" s="1">
        <f t="shared" si="156"/>
        <v>15.504923437693501</v>
      </c>
      <c r="N373" s="1">
        <f t="shared" si="164"/>
        <v>735.37</v>
      </c>
    </row>
    <row r="374" spans="1:14">
      <c r="A374" s="135">
        <f t="shared" si="157"/>
        <v>16.050186967195295</v>
      </c>
      <c r="B374" s="1">
        <f t="shared" si="158"/>
        <v>807.43</v>
      </c>
      <c r="C374" s="7">
        <f t="shared" si="153"/>
        <v>15.850186967195295</v>
      </c>
      <c r="D374" s="1">
        <f t="shared" si="159"/>
        <v>807.43</v>
      </c>
      <c r="E374" s="8">
        <f t="shared" si="154"/>
        <v>11.499955123779467</v>
      </c>
      <c r="F374" s="1">
        <f t="shared" si="160"/>
        <v>807.43</v>
      </c>
      <c r="G374" s="10">
        <f t="shared" si="155"/>
        <v>4.1308300547926446</v>
      </c>
      <c r="H374" s="10"/>
      <c r="I374" s="1">
        <f t="shared" si="161"/>
        <v>807.43</v>
      </c>
      <c r="J374" s="8">
        <f t="shared" si="162"/>
        <v>15.630785178572111</v>
      </c>
      <c r="K374" s="1">
        <f t="shared" si="163"/>
        <v>807.43</v>
      </c>
      <c r="M374" s="1">
        <f t="shared" si="156"/>
        <v>15.630785178572111</v>
      </c>
      <c r="N374" s="1">
        <f t="shared" si="164"/>
        <v>807.43</v>
      </c>
    </row>
    <row r="375" spans="1:14">
      <c r="A375" s="135">
        <f t="shared" si="157"/>
        <v>16.183753016852954</v>
      </c>
      <c r="B375" s="1">
        <f t="shared" si="158"/>
        <v>883.16</v>
      </c>
      <c r="C375" s="7">
        <f t="shared" si="153"/>
        <v>15.983753016852955</v>
      </c>
      <c r="D375" s="1">
        <f t="shared" si="159"/>
        <v>883.16</v>
      </c>
      <c r="E375" s="8">
        <f t="shared" si="154"/>
        <v>11.542039357647219</v>
      </c>
      <c r="F375" s="1">
        <f t="shared" si="160"/>
        <v>883.16</v>
      </c>
      <c r="G375" s="10">
        <f t="shared" si="155"/>
        <v>4.2004073699039051</v>
      </c>
      <c r="H375" s="10"/>
      <c r="I375" s="1">
        <f t="shared" si="161"/>
        <v>883.16</v>
      </c>
      <c r="J375" s="8">
        <f t="shared" si="162"/>
        <v>15.742446727551124</v>
      </c>
      <c r="K375" s="1">
        <f t="shared" si="163"/>
        <v>883.16</v>
      </c>
      <c r="M375" s="1">
        <f t="shared" si="156"/>
        <v>15.744894445653729</v>
      </c>
      <c r="N375" s="1">
        <f t="shared" si="164"/>
        <v>883.16</v>
      </c>
    </row>
    <row r="376" spans="1:14">
      <c r="A376" s="135">
        <f t="shared" si="157"/>
        <v>16.339580074786888</v>
      </c>
      <c r="B376" s="1">
        <f t="shared" si="158"/>
        <v>965.85</v>
      </c>
      <c r="C376" s="7">
        <f t="shared" si="153"/>
        <v>16.139580074786888</v>
      </c>
      <c r="D376" s="1">
        <f t="shared" si="159"/>
        <v>965.85</v>
      </c>
      <c r="E376" s="8">
        <f t="shared" si="154"/>
        <v>11.583062990178076</v>
      </c>
      <c r="F376" s="1">
        <f t="shared" si="160"/>
        <v>965.85</v>
      </c>
      <c r="G376" s="10">
        <f t="shared" si="155"/>
        <v>4.2631988391066375</v>
      </c>
      <c r="H376" s="10"/>
      <c r="I376" s="1">
        <f t="shared" si="161"/>
        <v>965.85</v>
      </c>
      <c r="J376" s="8">
        <f t="shared" si="162"/>
        <v>15.846261829284714</v>
      </c>
      <c r="K376" s="1">
        <f t="shared" si="163"/>
        <v>965.85</v>
      </c>
      <c r="M376" s="1">
        <f t="shared" si="156"/>
        <v>16.01141533040969</v>
      </c>
      <c r="N376" s="1">
        <f t="shared" si="164"/>
        <v>965.85</v>
      </c>
    </row>
    <row r="377" spans="1:14">
      <c r="A377" s="135">
        <f t="shared" si="157"/>
        <v>16.517668140997099</v>
      </c>
      <c r="B377" s="1">
        <f t="shared" si="158"/>
        <v>1048.8800000000001</v>
      </c>
      <c r="C377" s="7">
        <f t="shared" si="153"/>
        <v>16.3176681409971</v>
      </c>
      <c r="D377" s="1">
        <f t="shared" si="159"/>
        <v>1048.8800000000001</v>
      </c>
      <c r="E377" s="8">
        <f t="shared" si="154"/>
        <v>11.62001621367112</v>
      </c>
      <c r="F377" s="1">
        <f t="shared" si="160"/>
        <v>1048.8800000000001</v>
      </c>
      <c r="G377" s="10">
        <f t="shared" si="155"/>
        <v>4.3159432584953494</v>
      </c>
      <c r="H377" s="10"/>
      <c r="I377" s="1">
        <f t="shared" si="161"/>
        <v>1048.8800000000001</v>
      </c>
      <c r="J377" s="8">
        <f t="shared" si="162"/>
        <v>15.93595947216647</v>
      </c>
      <c r="K377" s="1">
        <f t="shared" si="163"/>
        <v>1048.8800000000001</v>
      </c>
      <c r="M377" s="1">
        <f t="shared" si="156"/>
        <v>16.270678068754702</v>
      </c>
      <c r="N377" s="1">
        <f t="shared" si="164"/>
        <v>1048.8800000000001</v>
      </c>
    </row>
    <row r="378" spans="1:14">
      <c r="A378" s="135">
        <f t="shared" si="157"/>
        <v>16.695756207207307</v>
      </c>
      <c r="B378" s="1">
        <f t="shared" si="158"/>
        <v>1148.8499999999999</v>
      </c>
      <c r="C378" s="7">
        <f t="shared" si="153"/>
        <v>16.495756207207307</v>
      </c>
      <c r="D378" s="1">
        <f t="shared" si="159"/>
        <v>1148.8499999999999</v>
      </c>
      <c r="E378" s="8">
        <f t="shared" si="154"/>
        <v>11.659897313981732</v>
      </c>
      <c r="F378" s="1">
        <f t="shared" si="160"/>
        <v>1148.8499999999999</v>
      </c>
      <c r="G378" s="10">
        <f t="shared" si="155"/>
        <v>4.3692039887025453</v>
      </c>
      <c r="H378" s="10"/>
      <c r="I378" s="1">
        <f t="shared" si="161"/>
        <v>1148.8499999999999</v>
      </c>
      <c r="J378" s="8">
        <f t="shared" si="162"/>
        <v>16.029101302684278</v>
      </c>
      <c r="K378" s="1">
        <f t="shared" si="163"/>
        <v>1148.8499999999999</v>
      </c>
      <c r="M378" s="1">
        <f t="shared" si="156"/>
        <v>16.495018046913753</v>
      </c>
      <c r="N378" s="1">
        <f t="shared" si="164"/>
        <v>1148.8499999999999</v>
      </c>
    </row>
    <row r="379" spans="1:14">
      <c r="A379" s="135">
        <f t="shared" si="157"/>
        <v>16.851583265141244</v>
      </c>
      <c r="B379" s="1">
        <f t="shared" si="158"/>
        <v>1264.97</v>
      </c>
      <c r="C379" s="7">
        <f t="shared" si="153"/>
        <v>16.651583265141245</v>
      </c>
      <c r="D379" s="1">
        <f t="shared" si="159"/>
        <v>1264.97</v>
      </c>
      <c r="E379" s="8">
        <f t="shared" si="154"/>
        <v>11.701072065144617</v>
      </c>
      <c r="F379" s="1">
        <f t="shared" si="160"/>
        <v>1264.97</v>
      </c>
      <c r="G379" s="10">
        <f t="shared" si="155"/>
        <v>4.420580720958962</v>
      </c>
      <c r="H379" s="10"/>
      <c r="I379" s="1">
        <f t="shared" si="161"/>
        <v>1264.97</v>
      </c>
      <c r="J379" s="8">
        <f t="shared" si="162"/>
        <v>16.121652786103578</v>
      </c>
      <c r="K379" s="1">
        <f t="shared" si="163"/>
        <v>1264.97</v>
      </c>
      <c r="M379" s="1">
        <f t="shared" si="156"/>
        <v>16.682236964637458</v>
      </c>
      <c r="N379" s="1">
        <f t="shared" si="164"/>
        <v>1264.97</v>
      </c>
    </row>
    <row r="380" spans="1:14">
      <c r="A380" s="135">
        <f t="shared" si="157"/>
        <v>16.985149314798903</v>
      </c>
      <c r="B380" s="1">
        <f t="shared" si="158"/>
        <v>1377.45</v>
      </c>
      <c r="C380" s="7">
        <f t="shared" si="153"/>
        <v>16.785149314798904</v>
      </c>
      <c r="D380" s="1">
        <f t="shared" si="159"/>
        <v>1377.45</v>
      </c>
      <c r="E380" s="8">
        <f t="shared" si="154"/>
        <v>11.736667142423599</v>
      </c>
      <c r="F380" s="1">
        <f t="shared" si="160"/>
        <v>1377.45</v>
      </c>
      <c r="G380" s="10">
        <f t="shared" si="155"/>
        <v>4.4623076001322959</v>
      </c>
      <c r="H380" s="10"/>
      <c r="I380" s="1">
        <f t="shared" si="161"/>
        <v>1377.45</v>
      </c>
      <c r="J380" s="8">
        <f t="shared" si="162"/>
        <v>16.198974742555894</v>
      </c>
      <c r="K380" s="1">
        <f t="shared" si="163"/>
        <v>1377.45</v>
      </c>
      <c r="M380" s="1">
        <f t="shared" si="156"/>
        <v>16.819836835004811</v>
      </c>
      <c r="N380" s="1">
        <f t="shared" si="164"/>
        <v>1377.45</v>
      </c>
    </row>
    <row r="381" spans="1:14">
      <c r="A381" s="135">
        <f t="shared" si="157"/>
        <v>17.096454356180288</v>
      </c>
      <c r="B381" s="1">
        <f t="shared" si="158"/>
        <v>1509.84</v>
      </c>
      <c r="C381" s="7">
        <f t="shared" si="153"/>
        <v>16.896454356180289</v>
      </c>
      <c r="D381" s="1">
        <f t="shared" si="159"/>
        <v>1509.84</v>
      </c>
      <c r="E381" s="8">
        <f t="shared" si="154"/>
        <v>11.774168541160133</v>
      </c>
      <c r="F381" s="1">
        <f t="shared" si="160"/>
        <v>1509.84</v>
      </c>
      <c r="G381" s="10">
        <f t="shared" si="155"/>
        <v>4.5038071726521736</v>
      </c>
      <c r="H381" s="10"/>
      <c r="I381" s="1">
        <f t="shared" si="161"/>
        <v>1509.84</v>
      </c>
      <c r="J381" s="8">
        <f t="shared" si="162"/>
        <v>16.277975713812307</v>
      </c>
      <c r="K381" s="1">
        <f t="shared" si="163"/>
        <v>1509.84</v>
      </c>
      <c r="M381" s="1">
        <f t="shared" si="156"/>
        <v>16.947953603990154</v>
      </c>
      <c r="N381" s="1">
        <f t="shared" si="164"/>
        <v>1509.84</v>
      </c>
    </row>
    <row r="382" spans="1:14">
      <c r="A382" s="135">
        <f t="shared" si="157"/>
        <v>17.20775939756167</v>
      </c>
      <c r="B382" s="1">
        <f t="shared" si="158"/>
        <v>1649.69</v>
      </c>
      <c r="C382" s="7">
        <f t="shared" si="153"/>
        <v>17.007759397561671</v>
      </c>
      <c r="D382" s="1">
        <f t="shared" si="159"/>
        <v>1649.69</v>
      </c>
      <c r="E382" s="8">
        <f t="shared" si="154"/>
        <v>11.809563776510981</v>
      </c>
      <c r="F382" s="1">
        <f t="shared" si="160"/>
        <v>1649.69</v>
      </c>
      <c r="G382" s="10">
        <f t="shared" si="155"/>
        <v>4.5408449019616999</v>
      </c>
      <c r="H382" s="10"/>
      <c r="I382" s="1">
        <f t="shared" si="161"/>
        <v>1649.69</v>
      </c>
      <c r="J382" s="8">
        <f t="shared" si="162"/>
        <v>16.350408678472682</v>
      </c>
      <c r="K382" s="1">
        <f t="shared" si="163"/>
        <v>1649.69</v>
      </c>
      <c r="M382" s="1">
        <f t="shared" si="156"/>
        <v>17.057209226590405</v>
      </c>
      <c r="N382" s="1">
        <f t="shared" si="164"/>
        <v>1649.69</v>
      </c>
    </row>
    <row r="383" spans="1:14">
      <c r="A383" s="135">
        <f t="shared" si="157"/>
        <v>17.296803430666774</v>
      </c>
      <c r="B383" s="1">
        <f t="shared" si="158"/>
        <v>1808.4</v>
      </c>
      <c r="C383" s="7">
        <f t="shared" si="153"/>
        <v>17.096803430666775</v>
      </c>
      <c r="D383" s="1">
        <f t="shared" si="159"/>
        <v>1808.4</v>
      </c>
      <c r="E383" s="8">
        <f t="shared" si="154"/>
        <v>11.84545934298604</v>
      </c>
      <c r="F383" s="1">
        <f t="shared" si="160"/>
        <v>1808.4</v>
      </c>
      <c r="G383" s="10">
        <f t="shared" si="155"/>
        <v>4.5764586403396805</v>
      </c>
      <c r="H383" s="10"/>
      <c r="I383" s="1">
        <f t="shared" si="161"/>
        <v>1808.4</v>
      </c>
      <c r="J383" s="8">
        <f t="shared" si="162"/>
        <v>16.42191798332572</v>
      </c>
      <c r="K383" s="1">
        <f t="shared" si="163"/>
        <v>1808.4</v>
      </c>
      <c r="M383" s="1">
        <f t="shared" si="156"/>
        <v>17.159198424723517</v>
      </c>
      <c r="N383" s="1">
        <f t="shared" si="164"/>
        <v>1808.4</v>
      </c>
    </row>
    <row r="384" spans="1:14">
      <c r="A384" s="135">
        <f t="shared" si="157"/>
        <v>17.385847463771881</v>
      </c>
      <c r="B384" s="1">
        <f t="shared" si="158"/>
        <v>1977.94</v>
      </c>
      <c r="C384" s="7">
        <f t="shared" si="153"/>
        <v>17.185847463771882</v>
      </c>
      <c r="D384" s="1">
        <f t="shared" si="159"/>
        <v>1977.94</v>
      </c>
      <c r="E384" s="8">
        <f t="shared" si="154"/>
        <v>11.879712903448645</v>
      </c>
      <c r="F384" s="1">
        <f t="shared" si="160"/>
        <v>1977.94</v>
      </c>
      <c r="G384" s="10">
        <f t="shared" si="155"/>
        <v>4.6087507529201668</v>
      </c>
      <c r="H384" s="10"/>
      <c r="I384" s="1">
        <f t="shared" si="161"/>
        <v>1977.94</v>
      </c>
      <c r="J384" s="8">
        <f t="shared" si="162"/>
        <v>16.488463656368811</v>
      </c>
      <c r="K384" s="1">
        <f t="shared" si="163"/>
        <v>1977.94</v>
      </c>
      <c r="M384" s="1">
        <f t="shared" si="156"/>
        <v>17.249976994170883</v>
      </c>
      <c r="N384" s="1">
        <f t="shared" si="164"/>
        <v>1977.94</v>
      </c>
    </row>
    <row r="385" spans="1:14">
      <c r="A385" s="135">
        <f t="shared" si="157"/>
        <v>17.452630488600708</v>
      </c>
      <c r="B385" s="1">
        <f t="shared" si="158"/>
        <v>2161.91</v>
      </c>
      <c r="C385" s="7">
        <f t="shared" si="153"/>
        <v>17.252630488600708</v>
      </c>
      <c r="D385" s="1">
        <f t="shared" si="159"/>
        <v>2161.91</v>
      </c>
      <c r="E385" s="8">
        <f t="shared" si="154"/>
        <v>11.912983602298354</v>
      </c>
      <c r="F385" s="1">
        <f t="shared" si="160"/>
        <v>2161.91</v>
      </c>
      <c r="G385" s="10">
        <f t="shared" si="155"/>
        <v>4.6386467591632448</v>
      </c>
      <c r="H385" s="10"/>
      <c r="I385" s="1">
        <f t="shared" si="161"/>
        <v>2161.91</v>
      </c>
      <c r="J385" s="8">
        <f t="shared" si="162"/>
        <v>16.551630361461598</v>
      </c>
      <c r="K385" s="1">
        <f t="shared" si="163"/>
        <v>2161.91</v>
      </c>
      <c r="M385" s="1">
        <f t="shared" si="156"/>
        <v>17.333168494574203</v>
      </c>
      <c r="N385" s="1">
        <f t="shared" si="164"/>
        <v>2161.91</v>
      </c>
    </row>
    <row r="386" spans="1:14">
      <c r="A386" s="135">
        <f t="shared" si="157"/>
        <v>17.541674521705815</v>
      </c>
      <c r="B386" s="1">
        <f t="shared" si="158"/>
        <v>2370.84</v>
      </c>
      <c r="C386" s="7">
        <f t="shared" si="153"/>
        <v>17.341674521705816</v>
      </c>
      <c r="D386" s="1">
        <f t="shared" si="159"/>
        <v>2370.84</v>
      </c>
      <c r="E386" s="8">
        <f t="shared" si="154"/>
        <v>11.946756940940723</v>
      </c>
      <c r="F386" s="1">
        <f t="shared" si="160"/>
        <v>2370.84</v>
      </c>
      <c r="G386" s="10">
        <f t="shared" si="155"/>
        <v>4.6676145279137531</v>
      </c>
      <c r="H386" s="10"/>
      <c r="I386" s="1">
        <f t="shared" si="161"/>
        <v>2370.84</v>
      </c>
      <c r="J386" s="8">
        <f t="shared" si="162"/>
        <v>16.614371468854475</v>
      </c>
      <c r="K386" s="1">
        <f t="shared" si="163"/>
        <v>2370.84</v>
      </c>
      <c r="M386" s="1">
        <f t="shared" si="156"/>
        <v>17.413428397603166</v>
      </c>
      <c r="N386" s="1">
        <f t="shared" si="164"/>
        <v>2370.84</v>
      </c>
    </row>
    <row r="387" spans="1:14">
      <c r="A387" s="135">
        <f t="shared" si="157"/>
        <v>17.608457546534638</v>
      </c>
      <c r="B387" s="1">
        <f t="shared" si="158"/>
        <v>2588.0300000000002</v>
      </c>
      <c r="C387" s="7">
        <f t="shared" si="153"/>
        <v>17.408457546534638</v>
      </c>
      <c r="D387" s="1">
        <f t="shared" si="159"/>
        <v>2588.0300000000002</v>
      </c>
      <c r="E387" s="8">
        <f t="shared" si="154"/>
        <v>11.978171998142342</v>
      </c>
      <c r="F387" s="1">
        <f t="shared" si="160"/>
        <v>2588.0300000000002</v>
      </c>
      <c r="G387" s="10">
        <f t="shared" si="155"/>
        <v>4.6933927907726813</v>
      </c>
      <c r="H387" s="10"/>
      <c r="I387" s="1">
        <f t="shared" si="161"/>
        <v>2588.0300000000002</v>
      </c>
      <c r="J387" s="8">
        <f t="shared" si="162"/>
        <v>16.671564788915024</v>
      </c>
      <c r="K387" s="1">
        <f t="shared" si="163"/>
        <v>2588.0300000000002</v>
      </c>
      <c r="M387" s="1">
        <f t="shared" si="156"/>
        <v>17.484858101438935</v>
      </c>
      <c r="N387" s="1">
        <f t="shared" si="164"/>
        <v>2588.0300000000002</v>
      </c>
    </row>
    <row r="388" spans="1:14">
      <c r="A388" s="135">
        <f t="shared" si="157"/>
        <v>17.675240571363467</v>
      </c>
      <c r="B388" s="1">
        <f t="shared" si="158"/>
        <v>2829.52</v>
      </c>
      <c r="C388" s="7">
        <f t="shared" si="153"/>
        <v>17.475240571363468</v>
      </c>
      <c r="D388" s="1">
        <f t="shared" si="159"/>
        <v>2829.52</v>
      </c>
      <c r="E388" s="8">
        <f t="shared" si="154"/>
        <v>12.009491382853534</v>
      </c>
      <c r="F388" s="1">
        <f t="shared" si="160"/>
        <v>2829.52</v>
      </c>
      <c r="G388" s="10">
        <f t="shared" si="155"/>
        <v>4.7180431183845126</v>
      </c>
      <c r="H388" s="10"/>
      <c r="I388" s="1">
        <f t="shared" si="161"/>
        <v>2829.52</v>
      </c>
      <c r="J388" s="8">
        <f t="shared" si="162"/>
        <v>16.727534501238047</v>
      </c>
      <c r="K388" s="1">
        <f t="shared" si="163"/>
        <v>2829.52</v>
      </c>
      <c r="M388" s="1">
        <f t="shared" si="156"/>
        <v>17.553391803277631</v>
      </c>
      <c r="N388" s="1">
        <f t="shared" si="164"/>
        <v>2829.52</v>
      </c>
    </row>
    <row r="389" spans="1:14">
      <c r="A389" s="135">
        <f t="shared" si="157"/>
        <v>17.742023596192293</v>
      </c>
      <c r="B389" s="1">
        <f t="shared" si="158"/>
        <v>3100.06</v>
      </c>
      <c r="C389" s="7">
        <f t="shared" si="153"/>
        <v>17.542023596192294</v>
      </c>
      <c r="D389" s="1">
        <f t="shared" si="159"/>
        <v>3100.06</v>
      </c>
      <c r="E389" s="8">
        <f t="shared" si="154"/>
        <v>12.040887218838714</v>
      </c>
      <c r="F389" s="1">
        <f t="shared" si="160"/>
        <v>3100.06</v>
      </c>
      <c r="G389" s="10">
        <f t="shared" si="155"/>
        <v>4.741764853833371</v>
      </c>
      <c r="H389" s="10"/>
      <c r="I389" s="1">
        <f t="shared" si="161"/>
        <v>3100.06</v>
      </c>
      <c r="J389" s="8">
        <f t="shared" si="162"/>
        <v>16.782652072672086</v>
      </c>
      <c r="K389" s="1">
        <f t="shared" si="163"/>
        <v>3100.06</v>
      </c>
      <c r="M389" s="1">
        <f t="shared" si="156"/>
        <v>17.619736169075249</v>
      </c>
      <c r="N389" s="1">
        <f t="shared" si="164"/>
        <v>3100.06</v>
      </c>
    </row>
    <row r="390" spans="1:14">
      <c r="A390" s="135">
        <f t="shared" si="157"/>
        <v>17.808806621021127</v>
      </c>
      <c r="B390" s="1">
        <f t="shared" si="158"/>
        <v>3389.06</v>
      </c>
      <c r="C390" s="7">
        <f t="shared" si="153"/>
        <v>17.608806621021127</v>
      </c>
      <c r="D390" s="1">
        <f t="shared" si="159"/>
        <v>3389.06</v>
      </c>
      <c r="E390" s="8">
        <f t="shared" si="154"/>
        <v>12.070905864575012</v>
      </c>
      <c r="F390" s="1">
        <f t="shared" si="160"/>
        <v>3389.06</v>
      </c>
      <c r="G390" s="10">
        <f t="shared" si="155"/>
        <v>4.7635737992186638</v>
      </c>
      <c r="H390" s="10"/>
      <c r="I390" s="1">
        <f t="shared" si="161"/>
        <v>3389.06</v>
      </c>
      <c r="J390" s="8">
        <f t="shared" si="162"/>
        <v>16.834479663793676</v>
      </c>
      <c r="K390" s="1">
        <f t="shared" si="163"/>
        <v>3389.06</v>
      </c>
      <c r="M390" s="1">
        <f t="shared" si="156"/>
        <v>17.681212078570777</v>
      </c>
      <c r="N390" s="1">
        <f t="shared" si="164"/>
        <v>3389.06</v>
      </c>
    </row>
    <row r="391" spans="1:14">
      <c r="A391" s="135">
        <f t="shared" si="157"/>
        <v>17.853328637573679</v>
      </c>
      <c r="B391" s="1">
        <f t="shared" si="158"/>
        <v>3707.98</v>
      </c>
      <c r="C391" s="7">
        <f t="shared" si="153"/>
        <v>17.653328637573679</v>
      </c>
      <c r="D391" s="1">
        <f t="shared" si="159"/>
        <v>3707.98</v>
      </c>
      <c r="E391" s="8">
        <f t="shared" si="154"/>
        <v>12.100586707284142</v>
      </c>
      <c r="F391" s="1">
        <f t="shared" si="160"/>
        <v>3707.98</v>
      </c>
      <c r="G391" s="10">
        <f t="shared" si="155"/>
        <v>4.7843457911212912</v>
      </c>
      <c r="H391" s="10"/>
      <c r="I391" s="1">
        <f t="shared" si="161"/>
        <v>3707.98</v>
      </c>
      <c r="J391" s="8">
        <f t="shared" si="162"/>
        <v>16.884932498405433</v>
      </c>
      <c r="K391" s="1">
        <f t="shared" si="163"/>
        <v>3707.98</v>
      </c>
      <c r="M391" s="1">
        <f t="shared" si="156"/>
        <v>17.740309669736774</v>
      </c>
      <c r="N391" s="1">
        <f t="shared" si="164"/>
        <v>3707.98</v>
      </c>
    </row>
    <row r="392" spans="1:14">
      <c r="A392" s="135">
        <f t="shared" si="157"/>
        <v>17.897850654126231</v>
      </c>
      <c r="B392" s="1">
        <f t="shared" si="158"/>
        <v>4058.34</v>
      </c>
      <c r="C392" s="7">
        <f t="shared" si="153"/>
        <v>17.697850654126231</v>
      </c>
      <c r="D392" s="1">
        <f t="shared" si="159"/>
        <v>4058.34</v>
      </c>
      <c r="E392" s="8">
        <f t="shared" si="154"/>
        <v>12.129787309344401</v>
      </c>
      <c r="F392" s="1">
        <f t="shared" si="160"/>
        <v>4058.34</v>
      </c>
      <c r="G392" s="10">
        <f t="shared" si="155"/>
        <v>4.8040547504825311</v>
      </c>
      <c r="H392" s="10"/>
      <c r="I392" s="1">
        <f t="shared" si="161"/>
        <v>4058.34</v>
      </c>
      <c r="J392" s="8">
        <f t="shared" si="162"/>
        <v>16.933842059826933</v>
      </c>
      <c r="K392" s="1">
        <f t="shared" si="163"/>
        <v>4058.34</v>
      </c>
      <c r="M392" s="1">
        <f t="shared" si="156"/>
        <v>17.79697131566088</v>
      </c>
      <c r="N392" s="1">
        <f t="shared" si="164"/>
        <v>4058.34</v>
      </c>
    </row>
    <row r="393" spans="1:14">
      <c r="A393" s="135">
        <f t="shared" si="157"/>
        <v>17.942372670678786</v>
      </c>
      <c r="B393" s="1">
        <f t="shared" si="158"/>
        <v>4438.8100000000004</v>
      </c>
      <c r="C393" s="7">
        <f t="shared" si="153"/>
        <v>17.742372670678787</v>
      </c>
      <c r="D393" s="1">
        <f t="shared" si="159"/>
        <v>4438.8100000000004</v>
      </c>
      <c r="E393" s="8">
        <f t="shared" si="154"/>
        <v>12.158196296224745</v>
      </c>
      <c r="F393" s="1">
        <f t="shared" si="160"/>
        <v>4438.8100000000004</v>
      </c>
      <c r="G393" s="10">
        <f t="shared" si="155"/>
        <v>4.8225732282217457</v>
      </c>
      <c r="H393" s="10"/>
      <c r="I393" s="1">
        <f t="shared" si="161"/>
        <v>4438.8100000000004</v>
      </c>
      <c r="J393" s="8">
        <f t="shared" si="162"/>
        <v>16.98076952444649</v>
      </c>
      <c r="K393" s="1">
        <f t="shared" si="163"/>
        <v>4438.8100000000004</v>
      </c>
      <c r="M393" s="1">
        <f t="shared" si="156"/>
        <v>17.850814067353099</v>
      </c>
      <c r="N393" s="1">
        <f t="shared" si="164"/>
        <v>4438.8100000000004</v>
      </c>
    </row>
    <row r="394" spans="1:14">
      <c r="A394" s="135">
        <f t="shared" si="157"/>
        <v>17.986894687231338</v>
      </c>
      <c r="B394" s="1">
        <f t="shared" si="158"/>
        <v>4846.57</v>
      </c>
      <c r="C394" s="7">
        <f t="shared" si="153"/>
        <v>17.786894687231339</v>
      </c>
      <c r="D394" s="1">
        <f t="shared" si="159"/>
        <v>4846.57</v>
      </c>
      <c r="E394" s="8">
        <f t="shared" si="154"/>
        <v>12.185518866307428</v>
      </c>
      <c r="F394" s="1">
        <f t="shared" si="160"/>
        <v>4846.57</v>
      </c>
      <c r="G394" s="10">
        <f t="shared" si="155"/>
        <v>4.8398032399817854</v>
      </c>
      <c r="H394" s="10"/>
      <c r="I394" s="1">
        <f t="shared" si="161"/>
        <v>4846.57</v>
      </c>
      <c r="J394" s="8">
        <f t="shared" si="162"/>
        <v>17.025322106289213</v>
      </c>
      <c r="K394" s="1">
        <f t="shared" si="163"/>
        <v>4846.57</v>
      </c>
      <c r="M394" s="1">
        <f t="shared" si="156"/>
        <v>17.901502991638804</v>
      </c>
      <c r="N394" s="1">
        <f t="shared" si="164"/>
        <v>4846.57</v>
      </c>
    </row>
    <row r="395" spans="1:14">
      <c r="A395" s="135">
        <f t="shared" si="157"/>
        <v>18.009155695507619</v>
      </c>
      <c r="B395" s="1">
        <f t="shared" si="158"/>
        <v>5304.81</v>
      </c>
      <c r="C395" s="7">
        <f t="shared" si="153"/>
        <v>17.80915569550762</v>
      </c>
      <c r="D395" s="1">
        <f t="shared" si="159"/>
        <v>5304.81</v>
      </c>
      <c r="E395" s="8">
        <f t="shared" si="154"/>
        <v>12.213065396424659</v>
      </c>
      <c r="F395" s="1">
        <f t="shared" si="160"/>
        <v>5304.81</v>
      </c>
      <c r="G395" s="10">
        <f t="shared" si="155"/>
        <v>4.8566260317192542</v>
      </c>
      <c r="H395" s="10"/>
      <c r="I395" s="1">
        <f t="shared" si="161"/>
        <v>5304.81</v>
      </c>
      <c r="J395" s="8">
        <f t="shared" si="162"/>
        <v>17.069691428143912</v>
      </c>
      <c r="K395" s="1">
        <f t="shared" si="163"/>
        <v>5304.81</v>
      </c>
      <c r="M395" s="1">
        <f t="shared" si="156"/>
        <v>17.951605005937818</v>
      </c>
      <c r="N395" s="1">
        <f t="shared" si="164"/>
        <v>5304.81</v>
      </c>
    </row>
    <row r="396" spans="1:14">
      <c r="A396" s="135">
        <f t="shared" si="157"/>
        <v>18.031416703783893</v>
      </c>
      <c r="B396" s="1">
        <f t="shared" si="158"/>
        <v>5806.16</v>
      </c>
      <c r="C396" s="7">
        <f t="shared" si="153"/>
        <v>17.831416703783894</v>
      </c>
      <c r="D396" s="1">
        <f t="shared" si="159"/>
        <v>5806.16</v>
      </c>
      <c r="E396" s="8">
        <f t="shared" si="154"/>
        <v>12.240068947864302</v>
      </c>
      <c r="F396" s="1">
        <f t="shared" si="160"/>
        <v>5806.16</v>
      </c>
      <c r="G396" s="10">
        <f t="shared" si="155"/>
        <v>4.872607450525579</v>
      </c>
      <c r="H396" s="10"/>
      <c r="I396" s="1">
        <f t="shared" si="161"/>
        <v>5806.16</v>
      </c>
      <c r="J396" s="8">
        <f t="shared" si="162"/>
        <v>17.11267639838988</v>
      </c>
      <c r="K396" s="1">
        <f t="shared" si="163"/>
        <v>5806.16</v>
      </c>
      <c r="M396" s="1">
        <f t="shared" si="156"/>
        <v>17.999813913408154</v>
      </c>
      <c r="N396" s="1">
        <f t="shared" si="164"/>
        <v>5806.16</v>
      </c>
    </row>
    <row r="397" spans="1:14">
      <c r="A397" s="135">
        <f t="shared" si="157"/>
        <v>18.031416703783893</v>
      </c>
      <c r="B397" s="1">
        <f t="shared" si="158"/>
        <v>6356.54</v>
      </c>
      <c r="C397" s="7">
        <f t="shared" si="153"/>
        <v>17.831416703783894</v>
      </c>
      <c r="D397" s="1">
        <f t="shared" si="159"/>
        <v>6356.54</v>
      </c>
      <c r="E397" s="8">
        <f t="shared" si="154"/>
        <v>12.266631498589259</v>
      </c>
      <c r="F397" s="1">
        <f t="shared" si="160"/>
        <v>6356.54</v>
      </c>
      <c r="G397" s="10">
        <f t="shared" si="155"/>
        <v>4.8878577233972722</v>
      </c>
      <c r="H397" s="10"/>
      <c r="I397" s="1">
        <f t="shared" si="161"/>
        <v>6356.54</v>
      </c>
      <c r="J397" s="8">
        <f t="shared" si="162"/>
        <v>17.15448922198653</v>
      </c>
      <c r="K397" s="1">
        <f t="shared" si="163"/>
        <v>6356.54</v>
      </c>
      <c r="M397" s="1">
        <f t="shared" si="156"/>
        <v>18.04642172290448</v>
      </c>
      <c r="N397" s="1">
        <f t="shared" si="164"/>
        <v>6356.54</v>
      </c>
    </row>
    <row r="398" spans="1:14">
      <c r="A398" s="135">
        <f t="shared" si="157"/>
        <v>18.053677712060171</v>
      </c>
      <c r="B398" s="1">
        <f t="shared" si="158"/>
        <v>6947.83</v>
      </c>
      <c r="C398" s="7">
        <f t="shared" si="153"/>
        <v>17.853677712060172</v>
      </c>
      <c r="D398" s="1">
        <f t="shared" si="159"/>
        <v>6947.83</v>
      </c>
      <c r="E398" s="8">
        <f t="shared" si="154"/>
        <v>12.292227826265304</v>
      </c>
      <c r="F398" s="1">
        <f t="shared" si="160"/>
        <v>6947.83</v>
      </c>
      <c r="G398" s="10">
        <f t="shared" si="155"/>
        <v>4.9021313036644099</v>
      </c>
      <c r="H398" s="10"/>
      <c r="I398" s="1">
        <f t="shared" si="161"/>
        <v>6947.83</v>
      </c>
      <c r="J398" s="8">
        <f t="shared" si="162"/>
        <v>17.194359129929715</v>
      </c>
      <c r="K398" s="1">
        <f t="shared" si="163"/>
        <v>6947.83</v>
      </c>
      <c r="M398" s="1">
        <f t="shared" si="156"/>
        <v>18.090620587796913</v>
      </c>
      <c r="N398" s="1">
        <f t="shared" si="164"/>
        <v>6947.83</v>
      </c>
    </row>
    <row r="399" spans="1:14">
      <c r="A399" s="135">
        <f t="shared" si="157"/>
        <v>18.053677712060171</v>
      </c>
      <c r="B399" s="1">
        <f t="shared" si="158"/>
        <v>7608.42</v>
      </c>
      <c r="C399" s="7">
        <f t="shared" si="153"/>
        <v>17.853677712060172</v>
      </c>
      <c r="D399" s="1">
        <f t="shared" si="159"/>
        <v>7608.42</v>
      </c>
      <c r="E399" s="8">
        <f t="shared" si="154"/>
        <v>12.317877193062563</v>
      </c>
      <c r="F399" s="1">
        <f t="shared" si="160"/>
        <v>7608.42</v>
      </c>
      <c r="G399" s="10">
        <f t="shared" si="155"/>
        <v>4.9160365486803137</v>
      </c>
      <c r="H399" s="10"/>
      <c r="I399" s="1">
        <f t="shared" si="161"/>
        <v>7608.42</v>
      </c>
      <c r="J399" s="8">
        <f t="shared" si="162"/>
        <v>17.233913741742874</v>
      </c>
      <c r="K399" s="1">
        <f t="shared" si="163"/>
        <v>7608.42</v>
      </c>
      <c r="M399" s="1">
        <f t="shared" si="156"/>
        <v>18.134252206165865</v>
      </c>
      <c r="N399" s="1">
        <f t="shared" si="164"/>
        <v>7608.42</v>
      </c>
    </row>
    <row r="400" spans="1:14">
      <c r="A400" s="135">
        <f t="shared" si="157"/>
        <v>18.053677712060171</v>
      </c>
      <c r="B400" s="1">
        <f t="shared" si="158"/>
        <v>8316.11</v>
      </c>
      <c r="C400" s="7">
        <f t="shared" si="153"/>
        <v>17.853677712060172</v>
      </c>
      <c r="D400" s="1">
        <f t="shared" si="159"/>
        <v>8316.11</v>
      </c>
      <c r="E400" s="8">
        <f t="shared" si="154"/>
        <v>12.342528723335853</v>
      </c>
      <c r="F400" s="1">
        <f t="shared" si="160"/>
        <v>8316.11</v>
      </c>
      <c r="G400" s="10">
        <f t="shared" si="155"/>
        <v>4.9290406965461688</v>
      </c>
      <c r="H400" s="10"/>
      <c r="I400" s="1">
        <f t="shared" si="161"/>
        <v>8316.11</v>
      </c>
      <c r="J400" s="8">
        <f t="shared" si="162"/>
        <v>17.27156941988202</v>
      </c>
      <c r="K400" s="1">
        <f t="shared" si="163"/>
        <v>8316.11</v>
      </c>
      <c r="M400" s="1">
        <f t="shared" si="156"/>
        <v>18.175601419072134</v>
      </c>
      <c r="N400" s="1">
        <f t="shared" si="164"/>
        <v>8316.11</v>
      </c>
    </row>
    <row r="401" spans="1:14">
      <c r="A401" s="135">
        <f t="shared" si="157"/>
        <v>18.075938720336449</v>
      </c>
      <c r="B401" s="1">
        <f t="shared" si="158"/>
        <v>9098.23</v>
      </c>
      <c r="C401" s="7">
        <f t="shared" ref="C401:C432" si="165">IF(D106&lt;0.0001,0.1,IF(D106="",0.001,D106))</f>
        <v>17.87593872033645</v>
      </c>
      <c r="D401" s="1">
        <f t="shared" si="159"/>
        <v>9098.23</v>
      </c>
      <c r="E401" s="8">
        <f t="shared" ref="E401:E432" si="166">IF(E106&lt;0.0001,0.1,IF(E106="",E400,E106))</f>
        <v>12.366987920294042</v>
      </c>
      <c r="F401" s="1">
        <f t="shared" si="160"/>
        <v>9098.23</v>
      </c>
      <c r="G401" s="10">
        <f t="shared" ref="G401:G432" si="167">IF(G106&lt;0.0001,0.1,IF(G106="",0.0001,G106))</f>
        <v>4.9416082815598399</v>
      </c>
      <c r="H401" s="10"/>
      <c r="I401" s="1">
        <f t="shared" si="161"/>
        <v>9098.23</v>
      </c>
      <c r="J401" s="8">
        <f t="shared" si="162"/>
        <v>17.308596201853881</v>
      </c>
      <c r="K401" s="1">
        <f t="shared" si="163"/>
        <v>9098.23</v>
      </c>
      <c r="M401" s="1">
        <f t="shared" ref="M401:M432" si="168">IF(O106&lt;0.0001,0.1,IF(O106="",0.0001,O106))</f>
        <v>18.216093140797611</v>
      </c>
      <c r="N401" s="1">
        <f t="shared" si="164"/>
        <v>9098.23</v>
      </c>
    </row>
    <row r="402" spans="1:14">
      <c r="A402" s="135">
        <f t="shared" ref="A402:A433" si="169">IF(B107="",A401,IF(B107&lt;0.0001,0.1,B107))</f>
        <v>18.075938720336449</v>
      </c>
      <c r="B402" s="1">
        <f t="shared" ref="B402:B433" si="170">IF(A107="",B401,A107)</f>
        <v>9956.81</v>
      </c>
      <c r="C402" s="7">
        <f t="shared" si="165"/>
        <v>17.87593872033645</v>
      </c>
      <c r="D402" s="1">
        <f t="shared" ref="D402:D433" si="171">IF(A107="",B401,A107)</f>
        <v>9956.81</v>
      </c>
      <c r="E402" s="8">
        <f t="shared" si="166"/>
        <v>12.39107966595302</v>
      </c>
      <c r="F402" s="1">
        <f t="shared" ref="F402:F433" si="172">IF(A107="",B401,A107)</f>
        <v>9956.81</v>
      </c>
      <c r="G402" s="10">
        <f t="shared" si="167"/>
        <v>4.9536732144706397</v>
      </c>
      <c r="H402" s="10"/>
      <c r="I402" s="1">
        <f t="shared" ref="I402:I433" si="173">IF(A107="",B401,A107)</f>
        <v>9956.81</v>
      </c>
      <c r="J402" s="8">
        <f t="shared" ref="J402:J433" si="174">IF(J107&lt;0.0001,0.1,IF(J107="",J401,J107))</f>
        <v>17.344752880423659</v>
      </c>
      <c r="K402" s="1">
        <f t="shared" ref="K402:K433" si="175">IF(A107="",B401,A107)</f>
        <v>9956.81</v>
      </c>
      <c r="M402" s="1">
        <f t="shared" si="168"/>
        <v>18.25548355025386</v>
      </c>
      <c r="N402" s="1">
        <f t="shared" si="164"/>
        <v>9956.81</v>
      </c>
    </row>
    <row r="403" spans="1:14">
      <c r="A403" s="135">
        <f t="shared" si="169"/>
        <v>18.075938720336449</v>
      </c>
      <c r="B403" s="1">
        <f t="shared" si="170"/>
        <v>10897.03</v>
      </c>
      <c r="C403" s="7">
        <f t="shared" si="165"/>
        <v>17.87593872033645</v>
      </c>
      <c r="D403" s="1">
        <f t="shared" si="171"/>
        <v>10897.03</v>
      </c>
      <c r="E403" s="8">
        <f t="shared" si="166"/>
        <v>12.414750709266317</v>
      </c>
      <c r="F403" s="1">
        <f t="shared" si="172"/>
        <v>10897.03</v>
      </c>
      <c r="G403" s="10">
        <f t="shared" si="167"/>
        <v>4.9652353903779343</v>
      </c>
      <c r="H403" s="10"/>
      <c r="I403" s="1">
        <f t="shared" si="173"/>
        <v>10897.03</v>
      </c>
      <c r="J403" s="8">
        <f t="shared" si="174"/>
        <v>17.379986099644249</v>
      </c>
      <c r="K403" s="1">
        <f t="shared" si="175"/>
        <v>10897.03</v>
      </c>
      <c r="M403" s="1">
        <f t="shared" si="168"/>
        <v>18.293734034205801</v>
      </c>
      <c r="N403" s="1">
        <f t="shared" si="164"/>
        <v>10897.03</v>
      </c>
    </row>
    <row r="404" spans="1:14">
      <c r="A404" s="135">
        <f t="shared" si="169"/>
        <v>18.075938720336449</v>
      </c>
      <c r="B404" s="1">
        <f t="shared" si="170"/>
        <v>11896.33</v>
      </c>
      <c r="C404" s="7">
        <f t="shared" si="165"/>
        <v>17.87593872033645</v>
      </c>
      <c r="D404" s="1">
        <f t="shared" si="171"/>
        <v>11896.33</v>
      </c>
      <c r="E404" s="8">
        <f t="shared" si="166"/>
        <v>12.437360556995019</v>
      </c>
      <c r="F404" s="1">
        <f t="shared" si="172"/>
        <v>11896.33</v>
      </c>
      <c r="G404" s="10">
        <f t="shared" si="167"/>
        <v>4.9760185903021377</v>
      </c>
      <c r="H404" s="10"/>
      <c r="I404" s="1">
        <f t="shared" si="173"/>
        <v>11896.33</v>
      </c>
      <c r="J404" s="8">
        <f t="shared" si="174"/>
        <v>17.413379147297157</v>
      </c>
      <c r="K404" s="1">
        <f t="shared" si="175"/>
        <v>11896.33</v>
      </c>
      <c r="M404" s="1">
        <f t="shared" si="168"/>
        <v>18.32987171863412</v>
      </c>
      <c r="N404" s="1">
        <f t="shared" si="164"/>
        <v>11896.33</v>
      </c>
    </row>
    <row r="405" spans="1:14">
      <c r="A405" s="135">
        <f t="shared" si="169"/>
        <v>18.075938720336449</v>
      </c>
      <c r="B405" s="1">
        <f t="shared" si="170"/>
        <v>12997.05</v>
      </c>
      <c r="C405" s="7">
        <f t="shared" si="165"/>
        <v>17.87593872033645</v>
      </c>
      <c r="D405" s="1">
        <f t="shared" si="171"/>
        <v>12997.05</v>
      </c>
      <c r="E405" s="8">
        <f t="shared" si="166"/>
        <v>12.459768566059342</v>
      </c>
      <c r="F405" s="1">
        <f t="shared" si="172"/>
        <v>12997.05</v>
      </c>
      <c r="G405" s="10">
        <f t="shared" si="167"/>
        <v>4.9864629656580313</v>
      </c>
      <c r="H405" s="10"/>
      <c r="I405" s="1">
        <f t="shared" si="173"/>
        <v>12997.05</v>
      </c>
      <c r="J405" s="8">
        <f t="shared" si="174"/>
        <v>17.446231531717373</v>
      </c>
      <c r="K405" s="1">
        <f t="shared" si="175"/>
        <v>12997.05</v>
      </c>
      <c r="M405" s="1">
        <f t="shared" si="168"/>
        <v>18.365320967294753</v>
      </c>
      <c r="N405" s="1">
        <f t="shared" si="164"/>
        <v>12997.05</v>
      </c>
    </row>
    <row r="406" spans="1:14">
      <c r="A406" s="135">
        <f t="shared" si="169"/>
        <v>18.075938720336449</v>
      </c>
      <c r="B406" s="1">
        <f t="shared" si="170"/>
        <v>14297.04</v>
      </c>
      <c r="C406" s="7">
        <f t="shared" si="165"/>
        <v>17.87593872033645</v>
      </c>
      <c r="D406" s="1">
        <f t="shared" si="171"/>
        <v>14297.04</v>
      </c>
      <c r="E406" s="8">
        <f t="shared" si="166"/>
        <v>12.483474971333393</v>
      </c>
      <c r="F406" s="1">
        <f t="shared" si="172"/>
        <v>14297.04</v>
      </c>
      <c r="G406" s="10">
        <f t="shared" si="167"/>
        <v>4.997258649450754</v>
      </c>
      <c r="H406" s="10"/>
      <c r="I406" s="1">
        <f t="shared" si="173"/>
        <v>14297.04</v>
      </c>
      <c r="J406" s="8">
        <f t="shared" si="174"/>
        <v>17.480733620784147</v>
      </c>
      <c r="K406" s="1">
        <f t="shared" si="175"/>
        <v>14297.04</v>
      </c>
      <c r="M406" s="1">
        <f t="shared" si="168"/>
        <v>18.402445821524775</v>
      </c>
      <c r="N406" s="1">
        <f t="shared" si="164"/>
        <v>14297.04</v>
      </c>
    </row>
    <row r="407" spans="1:14">
      <c r="A407" s="135">
        <f t="shared" si="169"/>
        <v>18.075938720336449</v>
      </c>
      <c r="B407" s="1">
        <f t="shared" si="170"/>
        <v>15596.46</v>
      </c>
      <c r="C407" s="7">
        <f t="shared" si="165"/>
        <v>17.87593872033645</v>
      </c>
      <c r="D407" s="1">
        <f t="shared" si="171"/>
        <v>15596.46</v>
      </c>
      <c r="E407" s="8">
        <f t="shared" si="166"/>
        <v>12.504726050814794</v>
      </c>
      <c r="F407" s="1">
        <f t="shared" si="172"/>
        <v>15596.46</v>
      </c>
      <c r="G407" s="10">
        <f t="shared" si="167"/>
        <v>5.0067216940347334</v>
      </c>
      <c r="H407" s="10"/>
      <c r="I407" s="1">
        <f t="shared" si="173"/>
        <v>15596.46</v>
      </c>
      <c r="J407" s="8">
        <f t="shared" si="174"/>
        <v>17.511447744849526</v>
      </c>
      <c r="K407" s="1">
        <f t="shared" si="175"/>
        <v>15596.46</v>
      </c>
      <c r="M407" s="1">
        <f t="shared" si="168"/>
        <v>18.435409257390596</v>
      </c>
      <c r="N407" s="1">
        <f t="shared" si="164"/>
        <v>15596.46</v>
      </c>
    </row>
    <row r="408" spans="1:14">
      <c r="A408" s="135">
        <f t="shared" si="169"/>
        <v>18.075938720336449</v>
      </c>
      <c r="B408" s="1">
        <f t="shared" si="170"/>
        <v>17096.099999999999</v>
      </c>
      <c r="C408" s="7">
        <f t="shared" si="165"/>
        <v>17.87593872033645</v>
      </c>
      <c r="D408" s="1">
        <f t="shared" si="171"/>
        <v>17096.099999999999</v>
      </c>
      <c r="E408" s="8">
        <f t="shared" si="166"/>
        <v>12.526768695221012</v>
      </c>
      <c r="F408" s="1">
        <f t="shared" si="172"/>
        <v>17096.099999999999</v>
      </c>
      <c r="G408" s="10">
        <f t="shared" si="167"/>
        <v>5.0163299564202219</v>
      </c>
      <c r="H408" s="10"/>
      <c r="I408" s="1">
        <f t="shared" si="173"/>
        <v>17096.099999999999</v>
      </c>
      <c r="J408" s="8">
        <f t="shared" si="174"/>
        <v>17.543098651641234</v>
      </c>
      <c r="K408" s="1">
        <f t="shared" si="175"/>
        <v>17096.099999999999</v>
      </c>
      <c r="M408" s="1">
        <f t="shared" si="168"/>
        <v>18.469297989423183</v>
      </c>
      <c r="N408" s="1">
        <f t="shared" si="164"/>
        <v>17096.099999999999</v>
      </c>
    </row>
    <row r="409" spans="1:14">
      <c r="A409" s="135">
        <f t="shared" si="169"/>
        <v>18.075938720336449</v>
      </c>
      <c r="B409" s="1">
        <f t="shared" si="170"/>
        <v>18696.13</v>
      </c>
      <c r="C409" s="7">
        <f t="shared" si="165"/>
        <v>17.87593872033645</v>
      </c>
      <c r="D409" s="1">
        <f t="shared" si="171"/>
        <v>18696.13</v>
      </c>
      <c r="E409" s="8">
        <f t="shared" si="166"/>
        <v>12.547879060309739</v>
      </c>
      <c r="F409" s="1">
        <f t="shared" si="172"/>
        <v>18696.13</v>
      </c>
      <c r="G409" s="10">
        <f t="shared" si="167"/>
        <v>5.0253401402583311</v>
      </c>
      <c r="H409" s="10"/>
      <c r="I409" s="1">
        <f t="shared" si="173"/>
        <v>18696.13</v>
      </c>
      <c r="J409" s="8">
        <f t="shared" si="174"/>
        <v>17.573219200568069</v>
      </c>
      <c r="K409" s="1">
        <f t="shared" si="175"/>
        <v>18696.13</v>
      </c>
      <c r="M409" s="1">
        <f t="shared" si="168"/>
        <v>18.501476186565988</v>
      </c>
      <c r="N409" s="1">
        <f t="shared" si="164"/>
        <v>18696.13</v>
      </c>
    </row>
    <row r="410" spans="1:14">
      <c r="A410" s="135">
        <f t="shared" si="169"/>
        <v>18.075938720336449</v>
      </c>
      <c r="B410" s="1">
        <f t="shared" si="170"/>
        <v>20396.48</v>
      </c>
      <c r="C410" s="7">
        <f t="shared" si="165"/>
        <v>17.87593872033645</v>
      </c>
      <c r="D410" s="1">
        <f t="shared" si="171"/>
        <v>20396.48</v>
      </c>
      <c r="E410" s="8">
        <f t="shared" si="166"/>
        <v>12.568076255438484</v>
      </c>
      <c r="F410" s="1">
        <f t="shared" si="172"/>
        <v>20396.48</v>
      </c>
      <c r="G410" s="10">
        <f t="shared" si="167"/>
        <v>5.0337903198691292</v>
      </c>
      <c r="H410" s="10"/>
      <c r="I410" s="1">
        <f t="shared" si="173"/>
        <v>20396.48</v>
      </c>
      <c r="J410" s="8">
        <f t="shared" si="174"/>
        <v>17.601866575307614</v>
      </c>
      <c r="K410" s="1">
        <f t="shared" si="175"/>
        <v>20396.48</v>
      </c>
      <c r="M410" s="1">
        <f t="shared" si="168"/>
        <v>18.532018374533177</v>
      </c>
      <c r="N410" s="1">
        <f t="shared" si="164"/>
        <v>20396.48</v>
      </c>
    </row>
    <row r="411" spans="1:14">
      <c r="A411" s="135">
        <f t="shared" si="169"/>
        <v>18.075938720336449</v>
      </c>
      <c r="B411" s="1">
        <f t="shared" si="170"/>
        <v>22295.17</v>
      </c>
      <c r="C411" s="7">
        <f t="shared" si="165"/>
        <v>17.87593872033645</v>
      </c>
      <c r="D411" s="1">
        <f t="shared" si="171"/>
        <v>22295.17</v>
      </c>
      <c r="E411" s="8">
        <f t="shared" si="166"/>
        <v>12.588388462042868</v>
      </c>
      <c r="F411" s="1">
        <f t="shared" si="172"/>
        <v>22295.17</v>
      </c>
      <c r="G411" s="10">
        <f t="shared" si="167"/>
        <v>5.042125604474208</v>
      </c>
      <c r="H411" s="10"/>
      <c r="I411" s="1">
        <f t="shared" si="173"/>
        <v>22295.17</v>
      </c>
      <c r="J411" s="8">
        <f t="shared" si="174"/>
        <v>17.630514066517076</v>
      </c>
      <c r="K411" s="1">
        <f t="shared" si="175"/>
        <v>22295.17</v>
      </c>
      <c r="M411" s="1">
        <f t="shared" si="168"/>
        <v>18.562502653819429</v>
      </c>
      <c r="N411" s="1">
        <f t="shared" si="164"/>
        <v>22295.17</v>
      </c>
    </row>
    <row r="412" spans="1:14">
      <c r="A412" s="135">
        <f t="shared" si="169"/>
        <v>18.075938720336449</v>
      </c>
      <c r="B412" s="1">
        <f t="shared" si="170"/>
        <v>24397.05</v>
      </c>
      <c r="C412" s="7">
        <f t="shared" si="165"/>
        <v>17.87593872033645</v>
      </c>
      <c r="D412" s="1">
        <f t="shared" si="171"/>
        <v>24397.05</v>
      </c>
      <c r="E412" s="8">
        <f t="shared" si="166"/>
        <v>12.60860644907285</v>
      </c>
      <c r="F412" s="1">
        <f t="shared" si="172"/>
        <v>24397.05</v>
      </c>
      <c r="G412" s="10">
        <f t="shared" si="167"/>
        <v>5.0502645076266841</v>
      </c>
      <c r="H412" s="10"/>
      <c r="I412" s="1">
        <f t="shared" si="173"/>
        <v>24397.05</v>
      </c>
      <c r="J412" s="8">
        <f t="shared" si="174"/>
        <v>17.658870956699534</v>
      </c>
      <c r="K412" s="1">
        <f t="shared" si="175"/>
        <v>24397.05</v>
      </c>
      <c r="M412" s="1">
        <f t="shared" si="168"/>
        <v>18.59262292417662</v>
      </c>
      <c r="N412" s="1">
        <f t="shared" si="164"/>
        <v>24397.05</v>
      </c>
    </row>
    <row r="413" spans="1:14">
      <c r="A413" s="135">
        <f t="shared" si="169"/>
        <v>18.075938720336449</v>
      </c>
      <c r="B413" s="1">
        <f t="shared" si="170"/>
        <v>26698.03</v>
      </c>
      <c r="C413" s="7">
        <f t="shared" si="165"/>
        <v>17.87593872033645</v>
      </c>
      <c r="D413" s="1">
        <f t="shared" si="171"/>
        <v>26698.03</v>
      </c>
      <c r="E413" s="8">
        <f t="shared" si="166"/>
        <v>12.628496909486824</v>
      </c>
      <c r="F413" s="1">
        <f t="shared" si="172"/>
        <v>26698.03</v>
      </c>
      <c r="G413" s="10">
        <f t="shared" si="167"/>
        <v>5.0581223254686334</v>
      </c>
      <c r="H413" s="10"/>
      <c r="I413" s="1">
        <f t="shared" si="173"/>
        <v>26698.03</v>
      </c>
      <c r="J413" s="8">
        <f t="shared" si="174"/>
        <v>17.686619234955458</v>
      </c>
      <c r="K413" s="1">
        <f t="shared" si="175"/>
        <v>26698.03</v>
      </c>
      <c r="M413" s="1">
        <f t="shared" si="168"/>
        <v>18.622046128224277</v>
      </c>
      <c r="N413" s="1">
        <f t="shared" si="164"/>
        <v>26698.03</v>
      </c>
    </row>
    <row r="414" spans="1:14">
      <c r="A414" s="135">
        <f t="shared" si="169"/>
        <v>18.075938720336449</v>
      </c>
      <c r="B414" s="1">
        <f t="shared" si="170"/>
        <v>29298.26</v>
      </c>
      <c r="C414" s="7">
        <f t="shared" si="165"/>
        <v>17.87593872033645</v>
      </c>
      <c r="D414" s="1">
        <f t="shared" si="171"/>
        <v>29298.26</v>
      </c>
      <c r="E414" s="8">
        <f t="shared" si="166"/>
        <v>12.648665028102553</v>
      </c>
      <c r="F414" s="1">
        <f t="shared" si="172"/>
        <v>29298.26</v>
      </c>
      <c r="G414" s="10">
        <f t="shared" si="167"/>
        <v>5.0659428955477948</v>
      </c>
      <c r="H414" s="10"/>
      <c r="I414" s="1">
        <f t="shared" si="173"/>
        <v>29298.26</v>
      </c>
      <c r="J414" s="8">
        <f t="shared" si="174"/>
        <v>17.714607923650348</v>
      </c>
      <c r="K414" s="1">
        <f t="shared" si="175"/>
        <v>29298.26</v>
      </c>
      <c r="M414" s="1">
        <f t="shared" si="168"/>
        <v>18.651675567233827</v>
      </c>
      <c r="N414" s="1">
        <f t="shared" si="164"/>
        <v>29298.26</v>
      </c>
    </row>
    <row r="415" spans="1:14">
      <c r="A415" s="135">
        <f t="shared" si="169"/>
        <v>18.075938720336449</v>
      </c>
      <c r="B415" s="1">
        <f t="shared" si="170"/>
        <v>31997.98</v>
      </c>
      <c r="C415" s="7">
        <f t="shared" si="165"/>
        <v>17.87593872033645</v>
      </c>
      <c r="D415" s="1">
        <f t="shared" si="171"/>
        <v>31997.98</v>
      </c>
      <c r="E415" s="8">
        <f t="shared" si="166"/>
        <v>12.667479290707819</v>
      </c>
      <c r="F415" s="1">
        <f t="shared" si="172"/>
        <v>31997.98</v>
      </c>
      <c r="G415" s="10">
        <f t="shared" si="167"/>
        <v>5.0731086756089034</v>
      </c>
      <c r="H415" s="10"/>
      <c r="I415" s="1">
        <f t="shared" si="173"/>
        <v>31997.98</v>
      </c>
      <c r="J415" s="8">
        <f t="shared" si="174"/>
        <v>17.740587966316724</v>
      </c>
      <c r="K415" s="1">
        <f t="shared" si="175"/>
        <v>31997.98</v>
      </c>
      <c r="M415" s="1">
        <f t="shared" si="168"/>
        <v>18.679136530180269</v>
      </c>
      <c r="N415" s="1">
        <f t="shared" si="164"/>
        <v>31997.98</v>
      </c>
    </row>
    <row r="416" spans="1:14">
      <c r="A416" s="135">
        <f t="shared" si="169"/>
        <v>18.075938720336449</v>
      </c>
      <c r="B416" s="1">
        <f t="shared" si="170"/>
        <v>34990.199999999997</v>
      </c>
      <c r="C416" s="7">
        <f t="shared" si="165"/>
        <v>17.87593872033645</v>
      </c>
      <c r="D416" s="1">
        <f t="shared" si="171"/>
        <v>34990.199999999997</v>
      </c>
      <c r="E416" s="8">
        <f t="shared" si="166"/>
        <v>12.68625622072754</v>
      </c>
      <c r="F416" s="1">
        <f t="shared" si="172"/>
        <v>34990.199999999997</v>
      </c>
      <c r="G416" s="10">
        <f t="shared" si="167"/>
        <v>5.080138577144039</v>
      </c>
      <c r="H416" s="10"/>
      <c r="I416" s="1">
        <f t="shared" si="173"/>
        <v>34990.199999999997</v>
      </c>
      <c r="J416" s="8">
        <f t="shared" si="174"/>
        <v>17.766394797871577</v>
      </c>
      <c r="K416" s="1">
        <f t="shared" si="175"/>
        <v>34990.199999999997</v>
      </c>
      <c r="M416" s="1">
        <f t="shared" si="168"/>
        <v>18.706375787499315</v>
      </c>
      <c r="N416" s="1">
        <f t="shared" si="164"/>
        <v>34990.199999999997</v>
      </c>
    </row>
    <row r="417" spans="1:14">
      <c r="A417" s="135">
        <f t="shared" si="169"/>
        <v>18.075938720336449</v>
      </c>
      <c r="B417" s="1">
        <f t="shared" si="170"/>
        <v>38299.26</v>
      </c>
      <c r="C417" s="7">
        <f t="shared" si="165"/>
        <v>17.87593872033645</v>
      </c>
      <c r="D417" s="1">
        <f t="shared" si="171"/>
        <v>38299.26</v>
      </c>
      <c r="E417" s="8">
        <f t="shared" si="166"/>
        <v>12.704932335300104</v>
      </c>
      <c r="F417" s="1">
        <f t="shared" si="172"/>
        <v>38299.26</v>
      </c>
      <c r="G417" s="10">
        <f t="shared" si="167"/>
        <v>5.0870132176893721</v>
      </c>
      <c r="H417" s="10"/>
      <c r="I417" s="1">
        <f t="shared" si="173"/>
        <v>38299.26</v>
      </c>
      <c r="J417" s="8">
        <f t="shared" si="174"/>
        <v>17.791945552989475</v>
      </c>
      <c r="K417" s="1">
        <f t="shared" si="175"/>
        <v>38299.26</v>
      </c>
      <c r="M417" s="1">
        <f t="shared" si="168"/>
        <v>18.733308184000286</v>
      </c>
      <c r="N417" s="1">
        <f t="shared" si="164"/>
        <v>38299.26</v>
      </c>
    </row>
    <row r="418" spans="1:14">
      <c r="A418" s="135">
        <f t="shared" si="169"/>
        <v>18.075938720336449</v>
      </c>
      <c r="B418" s="1">
        <f t="shared" si="170"/>
        <v>41897.74</v>
      </c>
      <c r="C418" s="7">
        <f t="shared" si="165"/>
        <v>17.87593872033645</v>
      </c>
      <c r="D418" s="1">
        <f t="shared" si="171"/>
        <v>41897.74</v>
      </c>
      <c r="E418" s="8">
        <f t="shared" si="166"/>
        <v>12.723196861389711</v>
      </c>
      <c r="F418" s="1">
        <f t="shared" si="172"/>
        <v>41897.74</v>
      </c>
      <c r="G418" s="10">
        <f t="shared" si="167"/>
        <v>5.093625811123184</v>
      </c>
      <c r="H418" s="10"/>
      <c r="I418" s="1">
        <f t="shared" si="173"/>
        <v>41897.74</v>
      </c>
      <c r="J418" s="8">
        <f t="shared" si="174"/>
        <v>17.816822672512895</v>
      </c>
      <c r="K418" s="1">
        <f t="shared" si="175"/>
        <v>41897.74</v>
      </c>
      <c r="M418" s="1">
        <f t="shared" si="168"/>
        <v>18.759496771950403</v>
      </c>
      <c r="N418" s="1">
        <f t="shared" si="164"/>
        <v>41897.74</v>
      </c>
    </row>
    <row r="419" spans="1:14">
      <c r="A419" s="135">
        <f t="shared" si="169"/>
        <v>18.075938720336449</v>
      </c>
      <c r="B419" s="1">
        <f t="shared" si="170"/>
        <v>45801.39</v>
      </c>
      <c r="C419" s="7">
        <f t="shared" si="165"/>
        <v>17.87593872033645</v>
      </c>
      <c r="D419" s="1">
        <f t="shared" si="171"/>
        <v>45801.39</v>
      </c>
      <c r="E419" s="8">
        <f t="shared" si="166"/>
        <v>12.741030914893717</v>
      </c>
      <c r="F419" s="1">
        <f t="shared" si="172"/>
        <v>45801.39</v>
      </c>
      <c r="G419" s="10">
        <f t="shared" si="167"/>
        <v>5.0999796297750803</v>
      </c>
      <c r="H419" s="10"/>
      <c r="I419" s="1">
        <f t="shared" si="173"/>
        <v>45801.39</v>
      </c>
      <c r="J419" s="8">
        <f t="shared" si="174"/>
        <v>17.841010544668798</v>
      </c>
      <c r="K419" s="1">
        <f t="shared" si="175"/>
        <v>45801.39</v>
      </c>
      <c r="M419" s="1">
        <f t="shared" si="168"/>
        <v>18.784928928472642</v>
      </c>
      <c r="N419" s="1">
        <f t="shared" si="164"/>
        <v>45801.39</v>
      </c>
    </row>
    <row r="420" spans="1:14">
      <c r="A420" s="135">
        <f t="shared" si="169"/>
        <v>18.075938720336449</v>
      </c>
      <c r="B420" s="1">
        <f t="shared" si="170"/>
        <v>50095.74</v>
      </c>
      <c r="C420" s="7">
        <f t="shared" si="165"/>
        <v>17.87593872033645</v>
      </c>
      <c r="D420" s="1">
        <f t="shared" si="171"/>
        <v>50095.74</v>
      </c>
      <c r="E420" s="8">
        <f t="shared" si="166"/>
        <v>12.758693812361209</v>
      </c>
      <c r="F420" s="1">
        <f t="shared" si="172"/>
        <v>50095.74</v>
      </c>
      <c r="G420" s="10">
        <f t="shared" si="167"/>
        <v>5.1061745950316002</v>
      </c>
      <c r="H420" s="10"/>
      <c r="I420" s="1">
        <f t="shared" si="173"/>
        <v>50095.74</v>
      </c>
      <c r="J420" s="8">
        <f t="shared" si="174"/>
        <v>17.864868407392809</v>
      </c>
      <c r="K420" s="1">
        <f t="shared" si="175"/>
        <v>50095.74</v>
      </c>
      <c r="M420" s="1">
        <f t="shared" si="168"/>
        <v>18.809985276643072</v>
      </c>
      <c r="N420" s="1">
        <f t="shared" si="164"/>
        <v>50095.74</v>
      </c>
    </row>
    <row r="421" spans="1:14">
      <c r="A421" s="135">
        <f t="shared" si="169"/>
        <v>18.075938720336449</v>
      </c>
      <c r="B421" s="1">
        <f t="shared" si="170"/>
        <v>54799.33</v>
      </c>
      <c r="C421" s="7">
        <f t="shared" si="165"/>
        <v>17.87593872033645</v>
      </c>
      <c r="D421" s="1">
        <f t="shared" si="171"/>
        <v>54799.33</v>
      </c>
      <c r="E421" s="8">
        <f t="shared" si="166"/>
        <v>12.776106470813206</v>
      </c>
      <c r="F421" s="1">
        <f t="shared" si="172"/>
        <v>54799.33</v>
      </c>
      <c r="G421" s="10">
        <f t="shared" si="167"/>
        <v>5.1121886452711429</v>
      </c>
      <c r="H421" s="10"/>
      <c r="I421" s="1">
        <f t="shared" si="173"/>
        <v>54799.33</v>
      </c>
      <c r="J421" s="8">
        <f t="shared" si="174"/>
        <v>17.88829511608435</v>
      </c>
      <c r="K421" s="1">
        <f t="shared" si="175"/>
        <v>54799.33</v>
      </c>
      <c r="M421" s="1">
        <f t="shared" si="168"/>
        <v>18.83456184265081</v>
      </c>
      <c r="N421" s="1">
        <f t="shared" si="164"/>
        <v>54799.33</v>
      </c>
    </row>
    <row r="422" spans="1:14">
      <c r="A422" s="135">
        <f t="shared" si="169"/>
        <v>18.075938720336449</v>
      </c>
      <c r="B422" s="1">
        <f t="shared" si="170"/>
        <v>59999.26</v>
      </c>
      <c r="C422" s="7">
        <f t="shared" si="165"/>
        <v>17.87593872033645</v>
      </c>
      <c r="D422" s="1">
        <f t="shared" si="171"/>
        <v>59999.26</v>
      </c>
      <c r="E422" s="8">
        <f t="shared" si="166"/>
        <v>12.793424203629435</v>
      </c>
      <c r="F422" s="1">
        <f t="shared" si="172"/>
        <v>59999.26</v>
      </c>
      <c r="G422" s="10">
        <f t="shared" si="167"/>
        <v>5.118080256863359</v>
      </c>
      <c r="H422" s="10"/>
      <c r="I422" s="1">
        <f t="shared" si="173"/>
        <v>59999.26</v>
      </c>
      <c r="J422" s="8">
        <f t="shared" si="174"/>
        <v>17.911504460492793</v>
      </c>
      <c r="K422" s="1">
        <f t="shared" si="175"/>
        <v>59999.26</v>
      </c>
      <c r="M422" s="1">
        <f t="shared" si="168"/>
        <v>18.858884840533804</v>
      </c>
      <c r="N422" s="1">
        <f t="shared" si="164"/>
        <v>59999.26</v>
      </c>
    </row>
    <row r="423" spans="1:14">
      <c r="A423" s="135">
        <f t="shared" si="169"/>
        <v>18.075938720336449</v>
      </c>
      <c r="B423" s="1">
        <f t="shared" si="170"/>
        <v>59999.26</v>
      </c>
      <c r="C423" s="7">
        <f t="shared" si="165"/>
        <v>0.1</v>
      </c>
      <c r="D423" s="1">
        <f t="shared" si="171"/>
        <v>59999.26</v>
      </c>
      <c r="E423" s="8">
        <f t="shared" si="166"/>
        <v>0.1</v>
      </c>
      <c r="F423" s="1">
        <f t="shared" si="172"/>
        <v>59999.26</v>
      </c>
      <c r="G423" s="10">
        <f t="shared" si="167"/>
        <v>0.1</v>
      </c>
      <c r="H423" s="10"/>
      <c r="I423" s="1">
        <f t="shared" si="173"/>
        <v>59999.26</v>
      </c>
      <c r="J423" s="8">
        <f t="shared" si="174"/>
        <v>0.1</v>
      </c>
      <c r="K423" s="1">
        <f t="shared" si="175"/>
        <v>59999.26</v>
      </c>
      <c r="M423" s="1">
        <f t="shared" si="168"/>
        <v>0.1</v>
      </c>
      <c r="N423" s="1">
        <f t="shared" si="164"/>
        <v>59999.26</v>
      </c>
    </row>
    <row r="424" spans="1:14">
      <c r="A424" s="135">
        <f t="shared" si="169"/>
        <v>18.075938720336449</v>
      </c>
      <c r="B424" s="1">
        <f t="shared" si="170"/>
        <v>59999.26</v>
      </c>
      <c r="C424" s="7">
        <f t="shared" si="165"/>
        <v>0.1</v>
      </c>
      <c r="D424" s="1">
        <f t="shared" si="171"/>
        <v>59999.26</v>
      </c>
      <c r="E424" s="8">
        <f t="shared" si="166"/>
        <v>0.1</v>
      </c>
      <c r="F424" s="1">
        <f t="shared" si="172"/>
        <v>59999.26</v>
      </c>
      <c r="G424" s="10">
        <f t="shared" si="167"/>
        <v>0.1</v>
      </c>
      <c r="H424" s="10"/>
      <c r="I424" s="1">
        <f t="shared" si="173"/>
        <v>59999.26</v>
      </c>
      <c r="J424" s="8">
        <f t="shared" si="174"/>
        <v>0.1</v>
      </c>
      <c r="K424" s="1">
        <f t="shared" si="175"/>
        <v>59999.26</v>
      </c>
      <c r="M424" s="1">
        <f t="shared" si="168"/>
        <v>0.1</v>
      </c>
      <c r="N424" s="1">
        <f t="shared" si="164"/>
        <v>59999.26</v>
      </c>
    </row>
    <row r="425" spans="1:14">
      <c r="A425" s="135">
        <f t="shared" si="169"/>
        <v>18.075938720336449</v>
      </c>
      <c r="B425" s="1">
        <f t="shared" si="170"/>
        <v>59999.26</v>
      </c>
      <c r="C425" s="7">
        <f t="shared" si="165"/>
        <v>0.1</v>
      </c>
      <c r="D425" s="1">
        <f t="shared" si="171"/>
        <v>59999.26</v>
      </c>
      <c r="E425" s="8">
        <f t="shared" si="166"/>
        <v>0.1</v>
      </c>
      <c r="F425" s="1">
        <f t="shared" si="172"/>
        <v>59999.26</v>
      </c>
      <c r="G425" s="10">
        <f t="shared" si="167"/>
        <v>0.1</v>
      </c>
      <c r="H425" s="10"/>
      <c r="I425" s="1">
        <f t="shared" si="173"/>
        <v>59999.26</v>
      </c>
      <c r="J425" s="8">
        <f t="shared" si="174"/>
        <v>0.1</v>
      </c>
      <c r="K425" s="1">
        <f t="shared" si="175"/>
        <v>59999.26</v>
      </c>
      <c r="M425" s="1">
        <f t="shared" si="168"/>
        <v>0.1</v>
      </c>
      <c r="N425" s="1">
        <f t="shared" si="164"/>
        <v>59999.26</v>
      </c>
    </row>
    <row r="426" spans="1:14">
      <c r="A426" s="135">
        <f t="shared" si="169"/>
        <v>18.075938720336449</v>
      </c>
      <c r="B426" s="1">
        <f t="shared" si="170"/>
        <v>59999.26</v>
      </c>
      <c r="C426" s="7">
        <f t="shared" si="165"/>
        <v>0.1</v>
      </c>
      <c r="D426" s="1">
        <f t="shared" si="171"/>
        <v>59999.26</v>
      </c>
      <c r="E426" s="8">
        <f t="shared" si="166"/>
        <v>0.1</v>
      </c>
      <c r="F426" s="1">
        <f t="shared" si="172"/>
        <v>59999.26</v>
      </c>
      <c r="G426" s="10">
        <f t="shared" si="167"/>
        <v>0.1</v>
      </c>
      <c r="H426" s="10"/>
      <c r="I426" s="1">
        <f t="shared" si="173"/>
        <v>59999.26</v>
      </c>
      <c r="J426" s="8">
        <f t="shared" si="174"/>
        <v>0.1</v>
      </c>
      <c r="K426" s="1">
        <f t="shared" si="175"/>
        <v>59999.26</v>
      </c>
      <c r="M426" s="1">
        <f t="shared" si="168"/>
        <v>0.1</v>
      </c>
      <c r="N426" s="1">
        <f t="shared" si="164"/>
        <v>59999.26</v>
      </c>
    </row>
    <row r="427" spans="1:14">
      <c r="A427" s="135">
        <f t="shared" si="169"/>
        <v>18.075938720336449</v>
      </c>
      <c r="B427" s="1">
        <f t="shared" si="170"/>
        <v>59999.26</v>
      </c>
      <c r="C427" s="7">
        <f t="shared" si="165"/>
        <v>0.1</v>
      </c>
      <c r="D427" s="1">
        <f t="shared" si="171"/>
        <v>59999.26</v>
      </c>
      <c r="E427" s="8">
        <f t="shared" si="166"/>
        <v>0.1</v>
      </c>
      <c r="F427" s="1">
        <f t="shared" si="172"/>
        <v>59999.26</v>
      </c>
      <c r="G427" s="10">
        <f t="shared" si="167"/>
        <v>0.1</v>
      </c>
      <c r="H427" s="10"/>
      <c r="I427" s="1">
        <f t="shared" si="173"/>
        <v>59999.26</v>
      </c>
      <c r="J427" s="8">
        <f t="shared" si="174"/>
        <v>0.1</v>
      </c>
      <c r="K427" s="1">
        <f t="shared" si="175"/>
        <v>59999.26</v>
      </c>
      <c r="M427" s="1">
        <f t="shared" si="168"/>
        <v>0.1</v>
      </c>
      <c r="N427" s="1">
        <f t="shared" si="164"/>
        <v>59999.26</v>
      </c>
    </row>
    <row r="428" spans="1:14">
      <c r="A428" s="135">
        <f t="shared" si="169"/>
        <v>18.075938720336449</v>
      </c>
      <c r="B428" s="1">
        <f t="shared" si="170"/>
        <v>59999.26</v>
      </c>
      <c r="C428" s="7">
        <f t="shared" si="165"/>
        <v>0.1</v>
      </c>
      <c r="D428" s="1">
        <f t="shared" si="171"/>
        <v>59999.26</v>
      </c>
      <c r="E428" s="8">
        <f t="shared" si="166"/>
        <v>0.1</v>
      </c>
      <c r="F428" s="1">
        <f t="shared" si="172"/>
        <v>59999.26</v>
      </c>
      <c r="G428" s="10">
        <f t="shared" si="167"/>
        <v>0.1</v>
      </c>
      <c r="H428" s="10"/>
      <c r="I428" s="1">
        <f t="shared" si="173"/>
        <v>59999.26</v>
      </c>
      <c r="J428" s="8">
        <f t="shared" si="174"/>
        <v>0.1</v>
      </c>
      <c r="K428" s="1">
        <f t="shared" si="175"/>
        <v>59999.26</v>
      </c>
      <c r="M428" s="1">
        <f t="shared" si="168"/>
        <v>0.1</v>
      </c>
      <c r="N428" s="1">
        <f t="shared" si="164"/>
        <v>59999.26</v>
      </c>
    </row>
    <row r="429" spans="1:14">
      <c r="A429" s="135">
        <f t="shared" si="169"/>
        <v>18.075938720336449</v>
      </c>
      <c r="B429" s="1">
        <f t="shared" si="170"/>
        <v>59999.26</v>
      </c>
      <c r="C429" s="7">
        <f t="shared" si="165"/>
        <v>0.1</v>
      </c>
      <c r="D429" s="1">
        <f t="shared" si="171"/>
        <v>59999.26</v>
      </c>
      <c r="E429" s="8">
        <f t="shared" si="166"/>
        <v>0.1</v>
      </c>
      <c r="F429" s="1">
        <f t="shared" si="172"/>
        <v>59999.26</v>
      </c>
      <c r="G429" s="10">
        <f t="shared" si="167"/>
        <v>0.1</v>
      </c>
      <c r="H429" s="10"/>
      <c r="I429" s="1">
        <f t="shared" si="173"/>
        <v>59999.26</v>
      </c>
      <c r="J429" s="8">
        <f t="shared" si="174"/>
        <v>0.1</v>
      </c>
      <c r="K429" s="1">
        <f t="shared" si="175"/>
        <v>59999.26</v>
      </c>
      <c r="M429" s="1">
        <f t="shared" si="168"/>
        <v>0.1</v>
      </c>
      <c r="N429" s="1">
        <f t="shared" si="164"/>
        <v>59999.26</v>
      </c>
    </row>
    <row r="430" spans="1:14">
      <c r="A430" s="135">
        <f t="shared" si="169"/>
        <v>18.075938720336449</v>
      </c>
      <c r="B430" s="1">
        <f t="shared" si="170"/>
        <v>59999.26</v>
      </c>
      <c r="C430" s="7">
        <f t="shared" si="165"/>
        <v>0.1</v>
      </c>
      <c r="D430" s="1">
        <f t="shared" si="171"/>
        <v>59999.26</v>
      </c>
      <c r="E430" s="8">
        <f t="shared" si="166"/>
        <v>0.1</v>
      </c>
      <c r="F430" s="1">
        <f t="shared" si="172"/>
        <v>59999.26</v>
      </c>
      <c r="G430" s="10">
        <f t="shared" si="167"/>
        <v>0.1</v>
      </c>
      <c r="H430" s="10"/>
      <c r="I430" s="1">
        <f t="shared" si="173"/>
        <v>59999.26</v>
      </c>
      <c r="J430" s="8">
        <f t="shared" si="174"/>
        <v>0.1</v>
      </c>
      <c r="K430" s="1">
        <f t="shared" si="175"/>
        <v>59999.26</v>
      </c>
      <c r="M430" s="1">
        <f t="shared" si="168"/>
        <v>0.1</v>
      </c>
      <c r="N430" s="1">
        <f t="shared" si="164"/>
        <v>59999.26</v>
      </c>
    </row>
    <row r="431" spans="1:14">
      <c r="A431" s="135">
        <f t="shared" si="169"/>
        <v>18.075938720336449</v>
      </c>
      <c r="B431" s="1">
        <f t="shared" si="170"/>
        <v>59999.26</v>
      </c>
      <c r="C431" s="7">
        <f t="shared" si="165"/>
        <v>0.1</v>
      </c>
      <c r="D431" s="1">
        <f t="shared" si="171"/>
        <v>59999.26</v>
      </c>
      <c r="E431" s="8">
        <f t="shared" si="166"/>
        <v>0.1</v>
      </c>
      <c r="F431" s="1">
        <f t="shared" si="172"/>
        <v>59999.26</v>
      </c>
      <c r="G431" s="10">
        <f t="shared" si="167"/>
        <v>0.1</v>
      </c>
      <c r="H431" s="10"/>
      <c r="I431" s="1">
        <f t="shared" si="173"/>
        <v>59999.26</v>
      </c>
      <c r="J431" s="8">
        <f t="shared" si="174"/>
        <v>0.1</v>
      </c>
      <c r="K431" s="1">
        <f t="shared" si="175"/>
        <v>59999.26</v>
      </c>
      <c r="M431" s="1">
        <f t="shared" si="168"/>
        <v>0.1</v>
      </c>
      <c r="N431" s="1">
        <f t="shared" si="164"/>
        <v>59999.26</v>
      </c>
    </row>
    <row r="432" spans="1:14">
      <c r="A432" s="135">
        <f t="shared" si="169"/>
        <v>18.075938720336449</v>
      </c>
      <c r="B432" s="1">
        <f t="shared" si="170"/>
        <v>59999.26</v>
      </c>
      <c r="C432" s="7">
        <f t="shared" si="165"/>
        <v>0.1</v>
      </c>
      <c r="D432" s="1">
        <f t="shared" si="171"/>
        <v>59999.26</v>
      </c>
      <c r="E432" s="8">
        <f t="shared" si="166"/>
        <v>0.1</v>
      </c>
      <c r="F432" s="1">
        <f t="shared" si="172"/>
        <v>59999.26</v>
      </c>
      <c r="G432" s="10">
        <f t="shared" si="167"/>
        <v>0.1</v>
      </c>
      <c r="H432" s="10"/>
      <c r="I432" s="1">
        <f t="shared" si="173"/>
        <v>59999.26</v>
      </c>
      <c r="J432" s="8">
        <f t="shared" si="174"/>
        <v>0.1</v>
      </c>
      <c r="K432" s="1">
        <f t="shared" si="175"/>
        <v>59999.26</v>
      </c>
      <c r="M432" s="1">
        <f t="shared" si="168"/>
        <v>0.1</v>
      </c>
      <c r="N432" s="1">
        <f t="shared" si="164"/>
        <v>59999.26</v>
      </c>
    </row>
    <row r="433" spans="1:14">
      <c r="A433" s="135">
        <f t="shared" si="169"/>
        <v>18.075938720336449</v>
      </c>
      <c r="B433" s="1">
        <f t="shared" si="170"/>
        <v>59999.26</v>
      </c>
      <c r="C433" s="7">
        <f t="shared" ref="C433:C464" si="176">IF(D138&lt;0.0001,0.1,IF(D138="",0.001,D138))</f>
        <v>0.1</v>
      </c>
      <c r="D433" s="1">
        <f t="shared" si="171"/>
        <v>59999.26</v>
      </c>
      <c r="E433" s="8">
        <f t="shared" ref="E433:E464" si="177">IF(E138&lt;0.0001,0.1,IF(E138="",E432,E138))</f>
        <v>0.1</v>
      </c>
      <c r="F433" s="1">
        <f t="shared" si="172"/>
        <v>59999.26</v>
      </c>
      <c r="G433" s="10">
        <f t="shared" ref="G433:G464" si="178">IF(G138&lt;0.0001,0.1,IF(G138="",0.0001,G138))</f>
        <v>0.1</v>
      </c>
      <c r="H433" s="10"/>
      <c r="I433" s="1">
        <f t="shared" si="173"/>
        <v>59999.26</v>
      </c>
      <c r="J433" s="8">
        <f t="shared" si="174"/>
        <v>0.1</v>
      </c>
      <c r="K433" s="1">
        <f t="shared" si="175"/>
        <v>59999.26</v>
      </c>
      <c r="M433" s="1">
        <f t="shared" ref="M433:M464" si="179">IF(O138&lt;0.0001,0.1,IF(O138="",0.0001,O138))</f>
        <v>0.1</v>
      </c>
      <c r="N433" s="1">
        <f t="shared" si="164"/>
        <v>59999.26</v>
      </c>
    </row>
    <row r="434" spans="1:14">
      <c r="A434" s="135">
        <f t="shared" ref="A434:A465" si="180">IF(B139="",A433,IF(B139&lt;0.0001,0.1,B139))</f>
        <v>18.075938720336449</v>
      </c>
      <c r="B434" s="1">
        <f t="shared" ref="B434:B465" si="181">IF(A139="",B433,A139)</f>
        <v>59999.26</v>
      </c>
      <c r="C434" s="7">
        <f t="shared" si="176"/>
        <v>0.1</v>
      </c>
      <c r="D434" s="1">
        <f t="shared" ref="D434:D465" si="182">IF(A139="",B433,A139)</f>
        <v>59999.26</v>
      </c>
      <c r="E434" s="8">
        <f t="shared" si="177"/>
        <v>0.1</v>
      </c>
      <c r="F434" s="1">
        <f t="shared" ref="F434:F465" si="183">IF(A139="",B433,A139)</f>
        <v>59999.26</v>
      </c>
      <c r="G434" s="10">
        <f t="shared" si="178"/>
        <v>0.1</v>
      </c>
      <c r="H434" s="10"/>
      <c r="I434" s="1">
        <f t="shared" ref="I434:I465" si="184">IF(A139="",B433,A139)</f>
        <v>59999.26</v>
      </c>
      <c r="J434" s="8">
        <f t="shared" ref="J434:J465" si="185">IF(J139&lt;0.0001,0.1,IF(J139="",J433,J139))</f>
        <v>0.1</v>
      </c>
      <c r="K434" s="1">
        <f t="shared" ref="K434:K465" si="186">IF(A139="",B433,A139)</f>
        <v>59999.26</v>
      </c>
      <c r="M434" s="1">
        <f t="shared" si="179"/>
        <v>0.1</v>
      </c>
      <c r="N434" s="1">
        <f t="shared" ref="N434:N497" si="187">K434</f>
        <v>59999.26</v>
      </c>
    </row>
    <row r="435" spans="1:14">
      <c r="A435" s="135">
        <f t="shared" si="180"/>
        <v>18.075938720336449</v>
      </c>
      <c r="B435" s="1">
        <f t="shared" si="181"/>
        <v>59999.26</v>
      </c>
      <c r="C435" s="7">
        <f t="shared" si="176"/>
        <v>0.1</v>
      </c>
      <c r="D435" s="1">
        <f t="shared" si="182"/>
        <v>59999.26</v>
      </c>
      <c r="E435" s="8">
        <f t="shared" si="177"/>
        <v>0.1</v>
      </c>
      <c r="F435" s="1">
        <f t="shared" si="183"/>
        <v>59999.26</v>
      </c>
      <c r="G435" s="10">
        <f t="shared" si="178"/>
        <v>0.1</v>
      </c>
      <c r="H435" s="10"/>
      <c r="I435" s="1">
        <f t="shared" si="184"/>
        <v>59999.26</v>
      </c>
      <c r="J435" s="8">
        <f t="shared" si="185"/>
        <v>0.1</v>
      </c>
      <c r="K435" s="1">
        <f t="shared" si="186"/>
        <v>59999.26</v>
      </c>
      <c r="M435" s="1">
        <f t="shared" si="179"/>
        <v>0.1</v>
      </c>
      <c r="N435" s="1">
        <f t="shared" si="187"/>
        <v>59999.26</v>
      </c>
    </row>
    <row r="436" spans="1:14">
      <c r="A436" s="135">
        <f t="shared" si="180"/>
        <v>18.075938720336449</v>
      </c>
      <c r="B436" s="1">
        <f t="shared" si="181"/>
        <v>59999.26</v>
      </c>
      <c r="C436" s="7">
        <f t="shared" si="176"/>
        <v>0.1</v>
      </c>
      <c r="D436" s="1">
        <f t="shared" si="182"/>
        <v>59999.26</v>
      </c>
      <c r="E436" s="8">
        <f t="shared" si="177"/>
        <v>0.1</v>
      </c>
      <c r="F436" s="1">
        <f t="shared" si="183"/>
        <v>59999.26</v>
      </c>
      <c r="G436" s="10">
        <f t="shared" si="178"/>
        <v>0.1</v>
      </c>
      <c r="H436" s="10"/>
      <c r="I436" s="1">
        <f t="shared" si="184"/>
        <v>59999.26</v>
      </c>
      <c r="J436" s="8">
        <f t="shared" si="185"/>
        <v>0.1</v>
      </c>
      <c r="K436" s="1">
        <f t="shared" si="186"/>
        <v>59999.26</v>
      </c>
      <c r="M436" s="1">
        <f t="shared" si="179"/>
        <v>0.1</v>
      </c>
      <c r="N436" s="1">
        <f t="shared" si="187"/>
        <v>59999.26</v>
      </c>
    </row>
    <row r="437" spans="1:14">
      <c r="A437" s="135">
        <f t="shared" si="180"/>
        <v>18.075938720336449</v>
      </c>
      <c r="B437" s="1">
        <f t="shared" si="181"/>
        <v>59999.26</v>
      </c>
      <c r="C437" s="7">
        <f t="shared" si="176"/>
        <v>0.1</v>
      </c>
      <c r="D437" s="1">
        <f t="shared" si="182"/>
        <v>59999.26</v>
      </c>
      <c r="E437" s="8">
        <f t="shared" si="177"/>
        <v>0.1</v>
      </c>
      <c r="F437" s="1">
        <f t="shared" si="183"/>
        <v>59999.26</v>
      </c>
      <c r="G437" s="10">
        <f t="shared" si="178"/>
        <v>0.1</v>
      </c>
      <c r="H437" s="10"/>
      <c r="I437" s="1">
        <f t="shared" si="184"/>
        <v>59999.26</v>
      </c>
      <c r="J437" s="8">
        <f t="shared" si="185"/>
        <v>0.1</v>
      </c>
      <c r="K437" s="1">
        <f t="shared" si="186"/>
        <v>59999.26</v>
      </c>
      <c r="M437" s="1">
        <f t="shared" si="179"/>
        <v>0.1</v>
      </c>
      <c r="N437" s="1">
        <f t="shared" si="187"/>
        <v>59999.26</v>
      </c>
    </row>
    <row r="438" spans="1:14">
      <c r="A438" s="135">
        <f t="shared" si="180"/>
        <v>18.075938720336449</v>
      </c>
      <c r="B438" s="1">
        <f t="shared" si="181"/>
        <v>59999.26</v>
      </c>
      <c r="C438" s="7">
        <f t="shared" si="176"/>
        <v>0.1</v>
      </c>
      <c r="D438" s="1">
        <f t="shared" si="182"/>
        <v>59999.26</v>
      </c>
      <c r="E438" s="8">
        <f t="shared" si="177"/>
        <v>0.1</v>
      </c>
      <c r="F438" s="1">
        <f t="shared" si="183"/>
        <v>59999.26</v>
      </c>
      <c r="G438" s="10">
        <f t="shared" si="178"/>
        <v>0.1</v>
      </c>
      <c r="H438" s="10"/>
      <c r="I438" s="1">
        <f t="shared" si="184"/>
        <v>59999.26</v>
      </c>
      <c r="J438" s="8">
        <f t="shared" si="185"/>
        <v>0.1</v>
      </c>
      <c r="K438" s="1">
        <f t="shared" si="186"/>
        <v>59999.26</v>
      </c>
      <c r="M438" s="1">
        <f t="shared" si="179"/>
        <v>0.1</v>
      </c>
      <c r="N438" s="1">
        <f t="shared" si="187"/>
        <v>59999.26</v>
      </c>
    </row>
    <row r="439" spans="1:14">
      <c r="A439" s="135">
        <f t="shared" si="180"/>
        <v>18.075938720336449</v>
      </c>
      <c r="B439" s="1">
        <f t="shared" si="181"/>
        <v>59999.26</v>
      </c>
      <c r="C439" s="7">
        <f t="shared" si="176"/>
        <v>0.1</v>
      </c>
      <c r="D439" s="1">
        <f t="shared" si="182"/>
        <v>59999.26</v>
      </c>
      <c r="E439" s="8">
        <f t="shared" si="177"/>
        <v>0.1</v>
      </c>
      <c r="F439" s="1">
        <f t="shared" si="183"/>
        <v>59999.26</v>
      </c>
      <c r="G439" s="10">
        <f t="shared" si="178"/>
        <v>0.1</v>
      </c>
      <c r="H439" s="10"/>
      <c r="I439" s="1">
        <f t="shared" si="184"/>
        <v>59999.26</v>
      </c>
      <c r="J439" s="8">
        <f t="shared" si="185"/>
        <v>0.1</v>
      </c>
      <c r="K439" s="1">
        <f t="shared" si="186"/>
        <v>59999.26</v>
      </c>
      <c r="M439" s="1">
        <f t="shared" si="179"/>
        <v>0.1</v>
      </c>
      <c r="N439" s="1">
        <f t="shared" si="187"/>
        <v>59999.26</v>
      </c>
    </row>
    <row r="440" spans="1:14">
      <c r="A440" s="135">
        <f t="shared" si="180"/>
        <v>18.075938720336449</v>
      </c>
      <c r="B440" s="1">
        <f t="shared" si="181"/>
        <v>59999.26</v>
      </c>
      <c r="C440" s="7">
        <f t="shared" si="176"/>
        <v>0.1</v>
      </c>
      <c r="D440" s="1">
        <f t="shared" si="182"/>
        <v>59999.26</v>
      </c>
      <c r="E440" s="8">
        <f t="shared" si="177"/>
        <v>0.1</v>
      </c>
      <c r="F440" s="1">
        <f t="shared" si="183"/>
        <v>59999.26</v>
      </c>
      <c r="G440" s="10">
        <f t="shared" si="178"/>
        <v>0.1</v>
      </c>
      <c r="H440" s="10"/>
      <c r="I440" s="1">
        <f t="shared" si="184"/>
        <v>59999.26</v>
      </c>
      <c r="J440" s="8">
        <f t="shared" si="185"/>
        <v>0.1</v>
      </c>
      <c r="K440" s="1">
        <f t="shared" si="186"/>
        <v>59999.26</v>
      </c>
      <c r="M440" s="1">
        <f t="shared" si="179"/>
        <v>0.1</v>
      </c>
      <c r="N440" s="1">
        <f t="shared" si="187"/>
        <v>59999.26</v>
      </c>
    </row>
    <row r="441" spans="1:14">
      <c r="A441" s="135">
        <f t="shared" si="180"/>
        <v>18.075938720336449</v>
      </c>
      <c r="B441" s="1">
        <f t="shared" si="181"/>
        <v>59999.26</v>
      </c>
      <c r="C441" s="7">
        <f t="shared" si="176"/>
        <v>0.1</v>
      </c>
      <c r="D441" s="1">
        <f t="shared" si="182"/>
        <v>59999.26</v>
      </c>
      <c r="E441" s="8">
        <f t="shared" si="177"/>
        <v>0.1</v>
      </c>
      <c r="F441" s="1">
        <f t="shared" si="183"/>
        <v>59999.26</v>
      </c>
      <c r="G441" s="10">
        <f t="shared" si="178"/>
        <v>0.1</v>
      </c>
      <c r="H441" s="10"/>
      <c r="I441" s="1">
        <f t="shared" si="184"/>
        <v>59999.26</v>
      </c>
      <c r="J441" s="8">
        <f t="shared" si="185"/>
        <v>0.1</v>
      </c>
      <c r="K441" s="1">
        <f t="shared" si="186"/>
        <v>59999.26</v>
      </c>
      <c r="M441" s="1">
        <f t="shared" si="179"/>
        <v>0.1</v>
      </c>
      <c r="N441" s="1">
        <f t="shared" si="187"/>
        <v>59999.26</v>
      </c>
    </row>
    <row r="442" spans="1:14">
      <c r="A442" s="135">
        <f t="shared" si="180"/>
        <v>18.075938720336449</v>
      </c>
      <c r="B442" s="1">
        <f t="shared" si="181"/>
        <v>59999.26</v>
      </c>
      <c r="C442" s="7">
        <f t="shared" si="176"/>
        <v>0.1</v>
      </c>
      <c r="D442" s="1">
        <f t="shared" si="182"/>
        <v>59999.26</v>
      </c>
      <c r="E442" s="8">
        <f t="shared" si="177"/>
        <v>0.1</v>
      </c>
      <c r="F442" s="1">
        <f t="shared" si="183"/>
        <v>59999.26</v>
      </c>
      <c r="G442" s="10">
        <f t="shared" si="178"/>
        <v>0.1</v>
      </c>
      <c r="H442" s="10"/>
      <c r="I442" s="1">
        <f t="shared" si="184"/>
        <v>59999.26</v>
      </c>
      <c r="J442" s="8">
        <f t="shared" si="185"/>
        <v>0.1</v>
      </c>
      <c r="K442" s="1">
        <f t="shared" si="186"/>
        <v>59999.26</v>
      </c>
      <c r="M442" s="1">
        <f t="shared" si="179"/>
        <v>0.1</v>
      </c>
      <c r="N442" s="1">
        <f t="shared" si="187"/>
        <v>59999.26</v>
      </c>
    </row>
    <row r="443" spans="1:14">
      <c r="A443" s="135">
        <f t="shared" si="180"/>
        <v>18.075938720336449</v>
      </c>
      <c r="B443" s="1">
        <f t="shared" si="181"/>
        <v>59999.26</v>
      </c>
      <c r="C443" s="7">
        <f t="shared" si="176"/>
        <v>0.1</v>
      </c>
      <c r="D443" s="1">
        <f t="shared" si="182"/>
        <v>59999.26</v>
      </c>
      <c r="E443" s="8">
        <f t="shared" si="177"/>
        <v>0.1</v>
      </c>
      <c r="F443" s="1">
        <f t="shared" si="183"/>
        <v>59999.26</v>
      </c>
      <c r="G443" s="10">
        <f t="shared" si="178"/>
        <v>0.1</v>
      </c>
      <c r="H443" s="10"/>
      <c r="I443" s="1">
        <f t="shared" si="184"/>
        <v>59999.26</v>
      </c>
      <c r="J443" s="8">
        <f t="shared" si="185"/>
        <v>0.1</v>
      </c>
      <c r="K443" s="1">
        <f t="shared" si="186"/>
        <v>59999.26</v>
      </c>
      <c r="M443" s="1">
        <f t="shared" si="179"/>
        <v>0.1</v>
      </c>
      <c r="N443" s="1">
        <f t="shared" si="187"/>
        <v>59999.26</v>
      </c>
    </row>
    <row r="444" spans="1:14">
      <c r="A444" s="135">
        <f t="shared" si="180"/>
        <v>18.075938720336449</v>
      </c>
      <c r="B444" s="1">
        <f t="shared" si="181"/>
        <v>59999.26</v>
      </c>
      <c r="C444" s="7">
        <f t="shared" si="176"/>
        <v>0.1</v>
      </c>
      <c r="D444" s="1">
        <f t="shared" si="182"/>
        <v>59999.26</v>
      </c>
      <c r="E444" s="8">
        <f t="shared" si="177"/>
        <v>0.1</v>
      </c>
      <c r="F444" s="1">
        <f t="shared" si="183"/>
        <v>59999.26</v>
      </c>
      <c r="G444" s="10">
        <f t="shared" si="178"/>
        <v>0.1</v>
      </c>
      <c r="H444" s="10"/>
      <c r="I444" s="1">
        <f t="shared" si="184"/>
        <v>59999.26</v>
      </c>
      <c r="J444" s="8">
        <f t="shared" si="185"/>
        <v>0.1</v>
      </c>
      <c r="K444" s="1">
        <f t="shared" si="186"/>
        <v>59999.26</v>
      </c>
      <c r="M444" s="1">
        <f t="shared" si="179"/>
        <v>0.1</v>
      </c>
      <c r="N444" s="1">
        <f t="shared" si="187"/>
        <v>59999.26</v>
      </c>
    </row>
    <row r="445" spans="1:14">
      <c r="A445" s="135">
        <f t="shared" si="180"/>
        <v>18.075938720336449</v>
      </c>
      <c r="B445" s="1">
        <f t="shared" si="181"/>
        <v>59999.26</v>
      </c>
      <c r="C445" s="7">
        <f t="shared" si="176"/>
        <v>0.1</v>
      </c>
      <c r="D445" s="1">
        <f t="shared" si="182"/>
        <v>59999.26</v>
      </c>
      <c r="E445" s="8">
        <f t="shared" si="177"/>
        <v>0.1</v>
      </c>
      <c r="F445" s="1">
        <f t="shared" si="183"/>
        <v>59999.26</v>
      </c>
      <c r="G445" s="10">
        <f t="shared" si="178"/>
        <v>0.1</v>
      </c>
      <c r="H445" s="10"/>
      <c r="I445" s="1">
        <f t="shared" si="184"/>
        <v>59999.26</v>
      </c>
      <c r="J445" s="8">
        <f t="shared" si="185"/>
        <v>0.1</v>
      </c>
      <c r="K445" s="1">
        <f t="shared" si="186"/>
        <v>59999.26</v>
      </c>
      <c r="M445" s="1">
        <f t="shared" si="179"/>
        <v>0.1</v>
      </c>
      <c r="N445" s="1">
        <f t="shared" si="187"/>
        <v>59999.26</v>
      </c>
    </row>
    <row r="446" spans="1:14">
      <c r="A446" s="135">
        <f t="shared" si="180"/>
        <v>18.075938720336449</v>
      </c>
      <c r="B446" s="1">
        <f t="shared" si="181"/>
        <v>59999.26</v>
      </c>
      <c r="C446" s="7">
        <f t="shared" si="176"/>
        <v>0.1</v>
      </c>
      <c r="D446" s="1">
        <f t="shared" si="182"/>
        <v>59999.26</v>
      </c>
      <c r="E446" s="8">
        <f t="shared" si="177"/>
        <v>0.1</v>
      </c>
      <c r="F446" s="1">
        <f t="shared" si="183"/>
        <v>59999.26</v>
      </c>
      <c r="G446" s="10">
        <f t="shared" si="178"/>
        <v>0.1</v>
      </c>
      <c r="H446" s="10"/>
      <c r="I446" s="1">
        <f t="shared" si="184"/>
        <v>59999.26</v>
      </c>
      <c r="J446" s="8">
        <f t="shared" si="185"/>
        <v>0.1</v>
      </c>
      <c r="K446" s="1">
        <f t="shared" si="186"/>
        <v>59999.26</v>
      </c>
      <c r="M446" s="1">
        <f t="shared" si="179"/>
        <v>0.1</v>
      </c>
      <c r="N446" s="1">
        <f t="shared" si="187"/>
        <v>59999.26</v>
      </c>
    </row>
    <row r="447" spans="1:14">
      <c r="A447" s="135">
        <f t="shared" si="180"/>
        <v>18.075938720336449</v>
      </c>
      <c r="B447" s="1">
        <f t="shared" si="181"/>
        <v>59999.26</v>
      </c>
      <c r="C447" s="7">
        <f t="shared" si="176"/>
        <v>0.1</v>
      </c>
      <c r="D447" s="1">
        <f t="shared" si="182"/>
        <v>59999.26</v>
      </c>
      <c r="E447" s="8">
        <f t="shared" si="177"/>
        <v>0.1</v>
      </c>
      <c r="F447" s="1">
        <f t="shared" si="183"/>
        <v>59999.26</v>
      </c>
      <c r="G447" s="10">
        <f t="shared" si="178"/>
        <v>0.1</v>
      </c>
      <c r="H447" s="10"/>
      <c r="I447" s="1">
        <f t="shared" si="184"/>
        <v>59999.26</v>
      </c>
      <c r="J447" s="8">
        <f t="shared" si="185"/>
        <v>0.1</v>
      </c>
      <c r="K447" s="1">
        <f t="shared" si="186"/>
        <v>59999.26</v>
      </c>
      <c r="M447" s="1">
        <f t="shared" si="179"/>
        <v>0.1</v>
      </c>
      <c r="N447" s="1">
        <f t="shared" si="187"/>
        <v>59999.26</v>
      </c>
    </row>
    <row r="448" spans="1:14">
      <c r="A448" s="135">
        <f t="shared" si="180"/>
        <v>18.075938720336449</v>
      </c>
      <c r="B448" s="1">
        <f t="shared" si="181"/>
        <v>59999.26</v>
      </c>
      <c r="C448" s="7">
        <f t="shared" si="176"/>
        <v>0.1</v>
      </c>
      <c r="D448" s="1">
        <f t="shared" si="182"/>
        <v>59999.26</v>
      </c>
      <c r="E448" s="8">
        <f t="shared" si="177"/>
        <v>0.1</v>
      </c>
      <c r="F448" s="1">
        <f t="shared" si="183"/>
        <v>59999.26</v>
      </c>
      <c r="G448" s="10">
        <f t="shared" si="178"/>
        <v>0.1</v>
      </c>
      <c r="H448" s="10"/>
      <c r="I448" s="1">
        <f t="shared" si="184"/>
        <v>59999.26</v>
      </c>
      <c r="J448" s="8">
        <f t="shared" si="185"/>
        <v>0.1</v>
      </c>
      <c r="K448" s="1">
        <f t="shared" si="186"/>
        <v>59999.26</v>
      </c>
      <c r="M448" s="1">
        <f t="shared" si="179"/>
        <v>0.1</v>
      </c>
      <c r="N448" s="1">
        <f t="shared" si="187"/>
        <v>59999.26</v>
      </c>
    </row>
    <row r="449" spans="1:14">
      <c r="A449" s="135">
        <f t="shared" si="180"/>
        <v>18.075938720336449</v>
      </c>
      <c r="B449" s="1">
        <f t="shared" si="181"/>
        <v>59999.26</v>
      </c>
      <c r="C449" s="7">
        <f t="shared" si="176"/>
        <v>0.1</v>
      </c>
      <c r="D449" s="1">
        <f t="shared" si="182"/>
        <v>59999.26</v>
      </c>
      <c r="E449" s="8">
        <f t="shared" si="177"/>
        <v>0.1</v>
      </c>
      <c r="F449" s="1">
        <f t="shared" si="183"/>
        <v>59999.26</v>
      </c>
      <c r="G449" s="10">
        <f t="shared" si="178"/>
        <v>0.1</v>
      </c>
      <c r="H449" s="10"/>
      <c r="I449" s="1">
        <f t="shared" si="184"/>
        <v>59999.26</v>
      </c>
      <c r="J449" s="8">
        <f t="shared" si="185"/>
        <v>0.1</v>
      </c>
      <c r="K449" s="1">
        <f t="shared" si="186"/>
        <v>59999.26</v>
      </c>
      <c r="M449" s="1">
        <f t="shared" si="179"/>
        <v>0.1</v>
      </c>
      <c r="N449" s="1">
        <f t="shared" si="187"/>
        <v>59999.26</v>
      </c>
    </row>
    <row r="450" spans="1:14">
      <c r="A450" s="135">
        <f t="shared" si="180"/>
        <v>18.075938720336449</v>
      </c>
      <c r="B450" s="1">
        <f t="shared" si="181"/>
        <v>59999.26</v>
      </c>
      <c r="C450" s="7">
        <f t="shared" si="176"/>
        <v>0.1</v>
      </c>
      <c r="D450" s="1">
        <f t="shared" si="182"/>
        <v>59999.26</v>
      </c>
      <c r="E450" s="8">
        <f t="shared" si="177"/>
        <v>0.1</v>
      </c>
      <c r="F450" s="1">
        <f t="shared" si="183"/>
        <v>59999.26</v>
      </c>
      <c r="G450" s="10">
        <f t="shared" si="178"/>
        <v>0.1</v>
      </c>
      <c r="H450" s="10"/>
      <c r="I450" s="1">
        <f t="shared" si="184"/>
        <v>59999.26</v>
      </c>
      <c r="J450" s="8">
        <f t="shared" si="185"/>
        <v>0.1</v>
      </c>
      <c r="K450" s="1">
        <f t="shared" si="186"/>
        <v>59999.26</v>
      </c>
      <c r="M450" s="1">
        <f t="shared" si="179"/>
        <v>0.1</v>
      </c>
      <c r="N450" s="1">
        <f t="shared" si="187"/>
        <v>59999.26</v>
      </c>
    </row>
    <row r="451" spans="1:14">
      <c r="A451" s="135">
        <f t="shared" si="180"/>
        <v>18.075938720336449</v>
      </c>
      <c r="B451" s="1">
        <f t="shared" si="181"/>
        <v>59999.26</v>
      </c>
      <c r="C451" s="7">
        <f t="shared" si="176"/>
        <v>0.1</v>
      </c>
      <c r="D451" s="1">
        <f t="shared" si="182"/>
        <v>59999.26</v>
      </c>
      <c r="E451" s="8">
        <f t="shared" si="177"/>
        <v>0.1</v>
      </c>
      <c r="F451" s="1">
        <f t="shared" si="183"/>
        <v>59999.26</v>
      </c>
      <c r="G451" s="10">
        <f t="shared" si="178"/>
        <v>0.1</v>
      </c>
      <c r="H451" s="10"/>
      <c r="I451" s="1">
        <f t="shared" si="184"/>
        <v>59999.26</v>
      </c>
      <c r="J451" s="8">
        <f t="shared" si="185"/>
        <v>0.1</v>
      </c>
      <c r="K451" s="1">
        <f t="shared" si="186"/>
        <v>59999.26</v>
      </c>
      <c r="M451" s="1">
        <f t="shared" si="179"/>
        <v>0.1</v>
      </c>
      <c r="N451" s="1">
        <f t="shared" si="187"/>
        <v>59999.26</v>
      </c>
    </row>
    <row r="452" spans="1:14">
      <c r="A452" s="135">
        <f t="shared" si="180"/>
        <v>18.075938720336449</v>
      </c>
      <c r="B452" s="1">
        <f t="shared" si="181"/>
        <v>59999.26</v>
      </c>
      <c r="C452" s="7">
        <f t="shared" si="176"/>
        <v>0.1</v>
      </c>
      <c r="D452" s="1">
        <f t="shared" si="182"/>
        <v>59999.26</v>
      </c>
      <c r="E452" s="8">
        <f t="shared" si="177"/>
        <v>0.1</v>
      </c>
      <c r="F452" s="1">
        <f t="shared" si="183"/>
        <v>59999.26</v>
      </c>
      <c r="G452" s="10">
        <f t="shared" si="178"/>
        <v>0.1</v>
      </c>
      <c r="H452" s="10"/>
      <c r="I452" s="1">
        <f t="shared" si="184"/>
        <v>59999.26</v>
      </c>
      <c r="J452" s="8">
        <f t="shared" si="185"/>
        <v>0.1</v>
      </c>
      <c r="K452" s="1">
        <f t="shared" si="186"/>
        <v>59999.26</v>
      </c>
      <c r="M452" s="1">
        <f t="shared" si="179"/>
        <v>0.1</v>
      </c>
      <c r="N452" s="1">
        <f t="shared" si="187"/>
        <v>59999.26</v>
      </c>
    </row>
    <row r="453" spans="1:14">
      <c r="A453" s="135">
        <f t="shared" si="180"/>
        <v>18.075938720336449</v>
      </c>
      <c r="B453" s="1">
        <f t="shared" si="181"/>
        <v>59999.26</v>
      </c>
      <c r="C453" s="7">
        <f t="shared" si="176"/>
        <v>0.1</v>
      </c>
      <c r="D453" s="1">
        <f t="shared" si="182"/>
        <v>59999.26</v>
      </c>
      <c r="E453" s="8">
        <f t="shared" si="177"/>
        <v>0.1</v>
      </c>
      <c r="F453" s="1">
        <f t="shared" si="183"/>
        <v>59999.26</v>
      </c>
      <c r="G453" s="10">
        <f t="shared" si="178"/>
        <v>0.1</v>
      </c>
      <c r="H453" s="10"/>
      <c r="I453" s="1">
        <f t="shared" si="184"/>
        <v>59999.26</v>
      </c>
      <c r="J453" s="8">
        <f t="shared" si="185"/>
        <v>0.1</v>
      </c>
      <c r="K453" s="1">
        <f t="shared" si="186"/>
        <v>59999.26</v>
      </c>
      <c r="M453" s="1">
        <f t="shared" si="179"/>
        <v>0.1</v>
      </c>
      <c r="N453" s="1">
        <f t="shared" si="187"/>
        <v>59999.26</v>
      </c>
    </row>
    <row r="454" spans="1:14">
      <c r="A454" s="135">
        <f t="shared" si="180"/>
        <v>18.075938720336449</v>
      </c>
      <c r="B454" s="1">
        <f t="shared" si="181"/>
        <v>59999.26</v>
      </c>
      <c r="C454" s="7">
        <f t="shared" si="176"/>
        <v>0.1</v>
      </c>
      <c r="D454" s="1">
        <f t="shared" si="182"/>
        <v>59999.26</v>
      </c>
      <c r="E454" s="8">
        <f t="shared" si="177"/>
        <v>0.1</v>
      </c>
      <c r="F454" s="1">
        <f t="shared" si="183"/>
        <v>59999.26</v>
      </c>
      <c r="G454" s="10">
        <f t="shared" si="178"/>
        <v>0.1</v>
      </c>
      <c r="H454" s="10"/>
      <c r="I454" s="1">
        <f t="shared" si="184"/>
        <v>59999.26</v>
      </c>
      <c r="J454" s="8">
        <f t="shared" si="185"/>
        <v>0.1</v>
      </c>
      <c r="K454" s="1">
        <f t="shared" si="186"/>
        <v>59999.26</v>
      </c>
      <c r="M454" s="1">
        <f t="shared" si="179"/>
        <v>0.1</v>
      </c>
      <c r="N454" s="1">
        <f t="shared" si="187"/>
        <v>59999.26</v>
      </c>
    </row>
    <row r="455" spans="1:14">
      <c r="A455" s="135">
        <f t="shared" si="180"/>
        <v>18.075938720336449</v>
      </c>
      <c r="B455" s="1">
        <f t="shared" si="181"/>
        <v>59999.26</v>
      </c>
      <c r="C455" s="7">
        <f t="shared" si="176"/>
        <v>0.1</v>
      </c>
      <c r="D455" s="1">
        <f t="shared" si="182"/>
        <v>59999.26</v>
      </c>
      <c r="E455" s="8">
        <f t="shared" si="177"/>
        <v>0.1</v>
      </c>
      <c r="F455" s="1">
        <f t="shared" si="183"/>
        <v>59999.26</v>
      </c>
      <c r="G455" s="10">
        <f t="shared" si="178"/>
        <v>0.1</v>
      </c>
      <c r="H455" s="10"/>
      <c r="I455" s="1">
        <f t="shared" si="184"/>
        <v>59999.26</v>
      </c>
      <c r="J455" s="8">
        <f t="shared" si="185"/>
        <v>0.1</v>
      </c>
      <c r="K455" s="1">
        <f t="shared" si="186"/>
        <v>59999.26</v>
      </c>
      <c r="M455" s="1">
        <f t="shared" si="179"/>
        <v>0.1</v>
      </c>
      <c r="N455" s="1">
        <f t="shared" si="187"/>
        <v>59999.26</v>
      </c>
    </row>
    <row r="456" spans="1:14">
      <c r="A456" s="135">
        <f t="shared" si="180"/>
        <v>18.075938720336449</v>
      </c>
      <c r="B456" s="1">
        <f t="shared" si="181"/>
        <v>59999.26</v>
      </c>
      <c r="C456" s="7">
        <f t="shared" si="176"/>
        <v>0.1</v>
      </c>
      <c r="D456" s="1">
        <f t="shared" si="182"/>
        <v>59999.26</v>
      </c>
      <c r="E456" s="8">
        <f t="shared" si="177"/>
        <v>0.1</v>
      </c>
      <c r="F456" s="1">
        <f t="shared" si="183"/>
        <v>59999.26</v>
      </c>
      <c r="G456" s="10">
        <f t="shared" si="178"/>
        <v>0.1</v>
      </c>
      <c r="H456" s="10"/>
      <c r="I456" s="1">
        <f t="shared" si="184"/>
        <v>59999.26</v>
      </c>
      <c r="J456" s="8">
        <f t="shared" si="185"/>
        <v>0.1</v>
      </c>
      <c r="K456" s="1">
        <f t="shared" si="186"/>
        <v>59999.26</v>
      </c>
      <c r="M456" s="1">
        <f t="shared" si="179"/>
        <v>0.1</v>
      </c>
      <c r="N456" s="1">
        <f t="shared" si="187"/>
        <v>59999.26</v>
      </c>
    </row>
    <row r="457" spans="1:14">
      <c r="A457" s="135">
        <f t="shared" si="180"/>
        <v>18.075938720336449</v>
      </c>
      <c r="B457" s="1">
        <f t="shared" si="181"/>
        <v>59999.26</v>
      </c>
      <c r="C457" s="7">
        <f t="shared" si="176"/>
        <v>0.1</v>
      </c>
      <c r="D457" s="1">
        <f t="shared" si="182"/>
        <v>59999.26</v>
      </c>
      <c r="E457" s="8">
        <f t="shared" si="177"/>
        <v>0.1</v>
      </c>
      <c r="F457" s="1">
        <f t="shared" si="183"/>
        <v>59999.26</v>
      </c>
      <c r="G457" s="10">
        <f t="shared" si="178"/>
        <v>0.1</v>
      </c>
      <c r="H457" s="10"/>
      <c r="I457" s="1">
        <f t="shared" si="184"/>
        <v>59999.26</v>
      </c>
      <c r="J457" s="8">
        <f t="shared" si="185"/>
        <v>0.1</v>
      </c>
      <c r="K457" s="1">
        <f t="shared" si="186"/>
        <v>59999.26</v>
      </c>
      <c r="M457" s="1">
        <f t="shared" si="179"/>
        <v>0.1</v>
      </c>
      <c r="N457" s="1">
        <f t="shared" si="187"/>
        <v>59999.26</v>
      </c>
    </row>
    <row r="458" spans="1:14">
      <c r="A458" s="135">
        <f t="shared" si="180"/>
        <v>18.075938720336449</v>
      </c>
      <c r="B458" s="1">
        <f t="shared" si="181"/>
        <v>59999.26</v>
      </c>
      <c r="C458" s="7">
        <f t="shared" si="176"/>
        <v>0.1</v>
      </c>
      <c r="D458" s="1">
        <f t="shared" si="182"/>
        <v>59999.26</v>
      </c>
      <c r="E458" s="8">
        <f t="shared" si="177"/>
        <v>0.1</v>
      </c>
      <c r="F458" s="1">
        <f t="shared" si="183"/>
        <v>59999.26</v>
      </c>
      <c r="G458" s="10">
        <f t="shared" si="178"/>
        <v>0.1</v>
      </c>
      <c r="H458" s="10"/>
      <c r="I458" s="1">
        <f t="shared" si="184"/>
        <v>59999.26</v>
      </c>
      <c r="J458" s="8">
        <f t="shared" si="185"/>
        <v>0.1</v>
      </c>
      <c r="K458" s="1">
        <f t="shared" si="186"/>
        <v>59999.26</v>
      </c>
      <c r="M458" s="1">
        <f t="shared" si="179"/>
        <v>0.1</v>
      </c>
      <c r="N458" s="1">
        <f t="shared" si="187"/>
        <v>59999.26</v>
      </c>
    </row>
    <row r="459" spans="1:14">
      <c r="A459" s="135">
        <f t="shared" si="180"/>
        <v>18.075938720336449</v>
      </c>
      <c r="B459" s="1">
        <f t="shared" si="181"/>
        <v>59999.26</v>
      </c>
      <c r="C459" s="7">
        <f t="shared" si="176"/>
        <v>0.1</v>
      </c>
      <c r="D459" s="1">
        <f t="shared" si="182"/>
        <v>59999.26</v>
      </c>
      <c r="E459" s="8">
        <f t="shared" si="177"/>
        <v>0.1</v>
      </c>
      <c r="F459" s="1">
        <f t="shared" si="183"/>
        <v>59999.26</v>
      </c>
      <c r="G459" s="10">
        <f t="shared" si="178"/>
        <v>0.1</v>
      </c>
      <c r="H459" s="10"/>
      <c r="I459" s="1">
        <f t="shared" si="184"/>
        <v>59999.26</v>
      </c>
      <c r="J459" s="8">
        <f t="shared" si="185"/>
        <v>0.1</v>
      </c>
      <c r="K459" s="1">
        <f t="shared" si="186"/>
        <v>59999.26</v>
      </c>
      <c r="M459" s="1">
        <f t="shared" si="179"/>
        <v>0.1</v>
      </c>
      <c r="N459" s="1">
        <f t="shared" si="187"/>
        <v>59999.26</v>
      </c>
    </row>
    <row r="460" spans="1:14">
      <c r="A460" s="135">
        <f t="shared" si="180"/>
        <v>18.075938720336449</v>
      </c>
      <c r="B460" s="1">
        <f t="shared" si="181"/>
        <v>59999.26</v>
      </c>
      <c r="C460" s="7">
        <f t="shared" si="176"/>
        <v>0.1</v>
      </c>
      <c r="D460" s="1">
        <f t="shared" si="182"/>
        <v>59999.26</v>
      </c>
      <c r="E460" s="8">
        <f t="shared" si="177"/>
        <v>0.1</v>
      </c>
      <c r="F460" s="1">
        <f t="shared" si="183"/>
        <v>59999.26</v>
      </c>
      <c r="G460" s="10">
        <f t="shared" si="178"/>
        <v>0.1</v>
      </c>
      <c r="H460" s="10"/>
      <c r="I460" s="1">
        <f t="shared" si="184"/>
        <v>59999.26</v>
      </c>
      <c r="J460" s="8">
        <f t="shared" si="185"/>
        <v>0.1</v>
      </c>
      <c r="K460" s="1">
        <f t="shared" si="186"/>
        <v>59999.26</v>
      </c>
      <c r="M460" s="1">
        <f t="shared" si="179"/>
        <v>0.1</v>
      </c>
      <c r="N460" s="1">
        <f t="shared" si="187"/>
        <v>59999.26</v>
      </c>
    </row>
    <row r="461" spans="1:14">
      <c r="A461" s="135">
        <f t="shared" si="180"/>
        <v>18.075938720336449</v>
      </c>
      <c r="B461" s="1">
        <f t="shared" si="181"/>
        <v>59999.26</v>
      </c>
      <c r="C461" s="7">
        <f t="shared" si="176"/>
        <v>0.1</v>
      </c>
      <c r="D461" s="1">
        <f t="shared" si="182"/>
        <v>59999.26</v>
      </c>
      <c r="E461" s="8">
        <f t="shared" si="177"/>
        <v>0.1</v>
      </c>
      <c r="F461" s="1">
        <f t="shared" si="183"/>
        <v>59999.26</v>
      </c>
      <c r="G461" s="10">
        <f t="shared" si="178"/>
        <v>0.1</v>
      </c>
      <c r="H461" s="10"/>
      <c r="I461" s="1">
        <f t="shared" si="184"/>
        <v>59999.26</v>
      </c>
      <c r="J461" s="8">
        <f t="shared" si="185"/>
        <v>0.1</v>
      </c>
      <c r="K461" s="1">
        <f t="shared" si="186"/>
        <v>59999.26</v>
      </c>
      <c r="M461" s="1">
        <f t="shared" si="179"/>
        <v>0.1</v>
      </c>
      <c r="N461" s="1">
        <f t="shared" si="187"/>
        <v>59999.26</v>
      </c>
    </row>
    <row r="462" spans="1:14">
      <c r="A462" s="135">
        <f t="shared" si="180"/>
        <v>18.075938720336449</v>
      </c>
      <c r="B462" s="1">
        <f t="shared" si="181"/>
        <v>59999.26</v>
      </c>
      <c r="C462" s="7">
        <f t="shared" si="176"/>
        <v>0.1</v>
      </c>
      <c r="D462" s="1">
        <f t="shared" si="182"/>
        <v>59999.26</v>
      </c>
      <c r="E462" s="8">
        <f t="shared" si="177"/>
        <v>0.1</v>
      </c>
      <c r="F462" s="1">
        <f t="shared" si="183"/>
        <v>59999.26</v>
      </c>
      <c r="G462" s="10">
        <f t="shared" si="178"/>
        <v>0.1</v>
      </c>
      <c r="H462" s="10"/>
      <c r="I462" s="1">
        <f t="shared" si="184"/>
        <v>59999.26</v>
      </c>
      <c r="J462" s="8">
        <f t="shared" si="185"/>
        <v>0.1</v>
      </c>
      <c r="K462" s="1">
        <f t="shared" si="186"/>
        <v>59999.26</v>
      </c>
      <c r="M462" s="1">
        <f t="shared" si="179"/>
        <v>0.1</v>
      </c>
      <c r="N462" s="1">
        <f t="shared" si="187"/>
        <v>59999.26</v>
      </c>
    </row>
    <row r="463" spans="1:14">
      <c r="A463" s="135">
        <f t="shared" si="180"/>
        <v>18.075938720336449</v>
      </c>
      <c r="B463" s="1">
        <f t="shared" si="181"/>
        <v>59999.26</v>
      </c>
      <c r="C463" s="7">
        <f t="shared" si="176"/>
        <v>0.1</v>
      </c>
      <c r="D463" s="1">
        <f t="shared" si="182"/>
        <v>59999.26</v>
      </c>
      <c r="E463" s="8">
        <f t="shared" si="177"/>
        <v>0.1</v>
      </c>
      <c r="F463" s="1">
        <f t="shared" si="183"/>
        <v>59999.26</v>
      </c>
      <c r="G463" s="10">
        <f t="shared" si="178"/>
        <v>0.1</v>
      </c>
      <c r="H463" s="10"/>
      <c r="I463" s="1">
        <f t="shared" si="184"/>
        <v>59999.26</v>
      </c>
      <c r="J463" s="8">
        <f t="shared" si="185"/>
        <v>0.1</v>
      </c>
      <c r="K463" s="1">
        <f t="shared" si="186"/>
        <v>59999.26</v>
      </c>
      <c r="M463" s="1">
        <f t="shared" si="179"/>
        <v>0.1</v>
      </c>
      <c r="N463" s="1">
        <f t="shared" si="187"/>
        <v>59999.26</v>
      </c>
    </row>
    <row r="464" spans="1:14">
      <c r="A464" s="135">
        <f t="shared" si="180"/>
        <v>18.075938720336449</v>
      </c>
      <c r="B464" s="1">
        <f t="shared" si="181"/>
        <v>59999.26</v>
      </c>
      <c r="C464" s="7">
        <f t="shared" si="176"/>
        <v>0.1</v>
      </c>
      <c r="D464" s="1">
        <f t="shared" si="182"/>
        <v>59999.26</v>
      </c>
      <c r="E464" s="8">
        <f t="shared" si="177"/>
        <v>0.1</v>
      </c>
      <c r="F464" s="1">
        <f t="shared" si="183"/>
        <v>59999.26</v>
      </c>
      <c r="G464" s="10">
        <f t="shared" si="178"/>
        <v>0.1</v>
      </c>
      <c r="H464" s="10"/>
      <c r="I464" s="1">
        <f t="shared" si="184"/>
        <v>59999.26</v>
      </c>
      <c r="J464" s="8">
        <f t="shared" si="185"/>
        <v>0.1</v>
      </c>
      <c r="K464" s="1">
        <f t="shared" si="186"/>
        <v>59999.26</v>
      </c>
      <c r="M464" s="1">
        <f t="shared" si="179"/>
        <v>0.1</v>
      </c>
      <c r="N464" s="1">
        <f t="shared" si="187"/>
        <v>59999.26</v>
      </c>
    </row>
    <row r="465" spans="1:14">
      <c r="A465" s="135">
        <f t="shared" si="180"/>
        <v>18.075938720336449</v>
      </c>
      <c r="B465" s="1">
        <f t="shared" si="181"/>
        <v>59999.26</v>
      </c>
      <c r="C465" s="7">
        <f t="shared" ref="C465:C496" si="188">IF(D170&lt;0.0001,0.1,IF(D170="",0.001,D170))</f>
        <v>0.1</v>
      </c>
      <c r="D465" s="1">
        <f t="shared" si="182"/>
        <v>59999.26</v>
      </c>
      <c r="E465" s="8">
        <f t="shared" ref="E465:E496" si="189">IF(E170&lt;0.0001,0.1,IF(E170="",E464,E170))</f>
        <v>0.1</v>
      </c>
      <c r="F465" s="1">
        <f t="shared" si="183"/>
        <v>59999.26</v>
      </c>
      <c r="G465" s="10">
        <f t="shared" ref="G465:G496" si="190">IF(G170&lt;0.0001,0.1,IF(G170="",0.0001,G170))</f>
        <v>0.1</v>
      </c>
      <c r="H465" s="10"/>
      <c r="I465" s="1">
        <f t="shared" si="184"/>
        <v>59999.26</v>
      </c>
      <c r="J465" s="8">
        <f t="shared" si="185"/>
        <v>0.1</v>
      </c>
      <c r="K465" s="1">
        <f t="shared" si="186"/>
        <v>59999.26</v>
      </c>
      <c r="M465" s="1">
        <f t="shared" ref="M465:M496" si="191">IF(O170&lt;0.0001,0.1,IF(O170="",0.0001,O170))</f>
        <v>0.1</v>
      </c>
      <c r="N465" s="1">
        <f t="shared" si="187"/>
        <v>59999.26</v>
      </c>
    </row>
    <row r="466" spans="1:14">
      <c r="A466" s="135">
        <f t="shared" ref="A466:A497" si="192">IF(B171="",A465,IF(B171&lt;0.0001,0.1,B171))</f>
        <v>18.075938720336449</v>
      </c>
      <c r="B466" s="1">
        <f t="shared" ref="B466:B497" si="193">IF(A171="",B465,A171)</f>
        <v>59999.26</v>
      </c>
      <c r="C466" s="7">
        <f t="shared" si="188"/>
        <v>0.1</v>
      </c>
      <c r="D466" s="1">
        <f t="shared" ref="D466:D497" si="194">IF(A171="",B465,A171)</f>
        <v>59999.26</v>
      </c>
      <c r="E466" s="8">
        <f t="shared" si="189"/>
        <v>0.1</v>
      </c>
      <c r="F466" s="1">
        <f t="shared" ref="F466:F497" si="195">IF(A171="",B465,A171)</f>
        <v>59999.26</v>
      </c>
      <c r="G466" s="10">
        <f t="shared" si="190"/>
        <v>0.1</v>
      </c>
      <c r="H466" s="10"/>
      <c r="I466" s="1">
        <f t="shared" ref="I466:I497" si="196">IF(A171="",B465,A171)</f>
        <v>59999.26</v>
      </c>
      <c r="J466" s="8">
        <f t="shared" ref="J466:J497" si="197">IF(J171&lt;0.0001,0.1,IF(J171="",J465,J171))</f>
        <v>0.1</v>
      </c>
      <c r="K466" s="1">
        <f t="shared" ref="K466:K497" si="198">IF(A171="",B465,A171)</f>
        <v>59999.26</v>
      </c>
      <c r="M466" s="1">
        <f t="shared" si="191"/>
        <v>0.1</v>
      </c>
      <c r="N466" s="1">
        <f t="shared" si="187"/>
        <v>59999.26</v>
      </c>
    </row>
    <row r="467" spans="1:14">
      <c r="A467" s="135">
        <f t="shared" si="192"/>
        <v>18.075938720336449</v>
      </c>
      <c r="B467" s="1">
        <f t="shared" si="193"/>
        <v>59999.26</v>
      </c>
      <c r="C467" s="7">
        <f t="shared" si="188"/>
        <v>0.1</v>
      </c>
      <c r="D467" s="1">
        <f t="shared" si="194"/>
        <v>59999.26</v>
      </c>
      <c r="E467" s="8">
        <f t="shared" si="189"/>
        <v>0.1</v>
      </c>
      <c r="F467" s="1">
        <f t="shared" si="195"/>
        <v>59999.26</v>
      </c>
      <c r="G467" s="10">
        <f t="shared" si="190"/>
        <v>0.1</v>
      </c>
      <c r="H467" s="10"/>
      <c r="I467" s="1">
        <f t="shared" si="196"/>
        <v>59999.26</v>
      </c>
      <c r="J467" s="8">
        <f t="shared" si="197"/>
        <v>0.1</v>
      </c>
      <c r="K467" s="1">
        <f t="shared" si="198"/>
        <v>59999.26</v>
      </c>
      <c r="M467" s="1">
        <f t="shared" si="191"/>
        <v>0.1</v>
      </c>
      <c r="N467" s="1">
        <f t="shared" si="187"/>
        <v>59999.26</v>
      </c>
    </row>
    <row r="468" spans="1:14">
      <c r="A468" s="135">
        <f t="shared" si="192"/>
        <v>18.075938720336449</v>
      </c>
      <c r="B468" s="1">
        <f t="shared" si="193"/>
        <v>59999.26</v>
      </c>
      <c r="C468" s="7">
        <f t="shared" si="188"/>
        <v>0.1</v>
      </c>
      <c r="D468" s="1">
        <f t="shared" si="194"/>
        <v>59999.26</v>
      </c>
      <c r="E468" s="8">
        <f t="shared" si="189"/>
        <v>0.1</v>
      </c>
      <c r="F468" s="1">
        <f t="shared" si="195"/>
        <v>59999.26</v>
      </c>
      <c r="G468" s="10">
        <f t="shared" si="190"/>
        <v>0.1</v>
      </c>
      <c r="H468" s="10"/>
      <c r="I468" s="1">
        <f t="shared" si="196"/>
        <v>59999.26</v>
      </c>
      <c r="J468" s="8">
        <f t="shared" si="197"/>
        <v>0.1</v>
      </c>
      <c r="K468" s="1">
        <f t="shared" si="198"/>
        <v>59999.26</v>
      </c>
      <c r="M468" s="1">
        <f t="shared" si="191"/>
        <v>0.1</v>
      </c>
      <c r="N468" s="1">
        <f t="shared" si="187"/>
        <v>59999.26</v>
      </c>
    </row>
    <row r="469" spans="1:14">
      <c r="A469" s="135">
        <f t="shared" si="192"/>
        <v>18.075938720336449</v>
      </c>
      <c r="B469" s="1">
        <f t="shared" si="193"/>
        <v>59999.26</v>
      </c>
      <c r="C469" s="7">
        <f t="shared" si="188"/>
        <v>0.1</v>
      </c>
      <c r="D469" s="1">
        <f t="shared" si="194"/>
        <v>59999.26</v>
      </c>
      <c r="E469" s="8">
        <f t="shared" si="189"/>
        <v>0.1</v>
      </c>
      <c r="F469" s="1">
        <f t="shared" si="195"/>
        <v>59999.26</v>
      </c>
      <c r="G469" s="10">
        <f t="shared" si="190"/>
        <v>0.1</v>
      </c>
      <c r="H469" s="10"/>
      <c r="I469" s="1">
        <f t="shared" si="196"/>
        <v>59999.26</v>
      </c>
      <c r="J469" s="8">
        <f t="shared" si="197"/>
        <v>0.1</v>
      </c>
      <c r="K469" s="1">
        <f t="shared" si="198"/>
        <v>59999.26</v>
      </c>
      <c r="M469" s="1">
        <f t="shared" si="191"/>
        <v>0.1</v>
      </c>
      <c r="N469" s="1">
        <f t="shared" si="187"/>
        <v>59999.26</v>
      </c>
    </row>
    <row r="470" spans="1:14">
      <c r="A470" s="135">
        <f t="shared" si="192"/>
        <v>18.075938720336449</v>
      </c>
      <c r="B470" s="1">
        <f t="shared" si="193"/>
        <v>59999.26</v>
      </c>
      <c r="C470" s="7">
        <f t="shared" si="188"/>
        <v>0.1</v>
      </c>
      <c r="D470" s="1">
        <f t="shared" si="194"/>
        <v>59999.26</v>
      </c>
      <c r="E470" s="8">
        <f t="shared" si="189"/>
        <v>0.1</v>
      </c>
      <c r="F470" s="1">
        <f t="shared" si="195"/>
        <v>59999.26</v>
      </c>
      <c r="G470" s="10">
        <f t="shared" si="190"/>
        <v>0.1</v>
      </c>
      <c r="H470" s="10"/>
      <c r="I470" s="1">
        <f t="shared" si="196"/>
        <v>59999.26</v>
      </c>
      <c r="J470" s="8">
        <f t="shared" si="197"/>
        <v>0.1</v>
      </c>
      <c r="K470" s="1">
        <f t="shared" si="198"/>
        <v>59999.26</v>
      </c>
      <c r="M470" s="1">
        <f t="shared" si="191"/>
        <v>0.1</v>
      </c>
      <c r="N470" s="1">
        <f t="shared" si="187"/>
        <v>59999.26</v>
      </c>
    </row>
    <row r="471" spans="1:14">
      <c r="A471" s="135">
        <f t="shared" si="192"/>
        <v>18.075938720336449</v>
      </c>
      <c r="B471" s="1">
        <f t="shared" si="193"/>
        <v>59999.26</v>
      </c>
      <c r="C471" s="7">
        <f t="shared" si="188"/>
        <v>0.1</v>
      </c>
      <c r="D471" s="1">
        <f t="shared" si="194"/>
        <v>59999.26</v>
      </c>
      <c r="E471" s="8">
        <f t="shared" si="189"/>
        <v>0.1</v>
      </c>
      <c r="F471" s="1">
        <f t="shared" si="195"/>
        <v>59999.26</v>
      </c>
      <c r="G471" s="10">
        <f t="shared" si="190"/>
        <v>0.1</v>
      </c>
      <c r="H471" s="10"/>
      <c r="I471" s="1">
        <f t="shared" si="196"/>
        <v>59999.26</v>
      </c>
      <c r="J471" s="8">
        <f t="shared" si="197"/>
        <v>0.1</v>
      </c>
      <c r="K471" s="1">
        <f t="shared" si="198"/>
        <v>59999.26</v>
      </c>
      <c r="M471" s="1">
        <f t="shared" si="191"/>
        <v>0.1</v>
      </c>
      <c r="N471" s="1">
        <f t="shared" si="187"/>
        <v>59999.26</v>
      </c>
    </row>
    <row r="472" spans="1:14">
      <c r="A472" s="135">
        <f t="shared" si="192"/>
        <v>18.075938720336449</v>
      </c>
      <c r="B472" s="1">
        <f t="shared" si="193"/>
        <v>59999.26</v>
      </c>
      <c r="C472" s="7">
        <f t="shared" si="188"/>
        <v>0.1</v>
      </c>
      <c r="D472" s="1">
        <f t="shared" si="194"/>
        <v>59999.26</v>
      </c>
      <c r="E472" s="8">
        <f t="shared" si="189"/>
        <v>0.1</v>
      </c>
      <c r="F472" s="1">
        <f t="shared" si="195"/>
        <v>59999.26</v>
      </c>
      <c r="G472" s="10">
        <f t="shared" si="190"/>
        <v>0.1</v>
      </c>
      <c r="H472" s="10"/>
      <c r="I472" s="1">
        <f t="shared" si="196"/>
        <v>59999.26</v>
      </c>
      <c r="J472" s="8">
        <f t="shared" si="197"/>
        <v>0.1</v>
      </c>
      <c r="K472" s="1">
        <f t="shared" si="198"/>
        <v>59999.26</v>
      </c>
      <c r="M472" s="1">
        <f t="shared" si="191"/>
        <v>0.1</v>
      </c>
      <c r="N472" s="1">
        <f t="shared" si="187"/>
        <v>59999.26</v>
      </c>
    </row>
    <row r="473" spans="1:14">
      <c r="A473" s="135">
        <f t="shared" si="192"/>
        <v>18.075938720336449</v>
      </c>
      <c r="B473" s="1">
        <f t="shared" si="193"/>
        <v>59999.26</v>
      </c>
      <c r="C473" s="7">
        <f t="shared" si="188"/>
        <v>0.1</v>
      </c>
      <c r="D473" s="1">
        <f t="shared" si="194"/>
        <v>59999.26</v>
      </c>
      <c r="E473" s="8">
        <f t="shared" si="189"/>
        <v>0.1</v>
      </c>
      <c r="F473" s="1">
        <f t="shared" si="195"/>
        <v>59999.26</v>
      </c>
      <c r="G473" s="10">
        <f t="shared" si="190"/>
        <v>0.1</v>
      </c>
      <c r="H473" s="10"/>
      <c r="I473" s="1">
        <f t="shared" si="196"/>
        <v>59999.26</v>
      </c>
      <c r="J473" s="8">
        <f t="shared" si="197"/>
        <v>0.1</v>
      </c>
      <c r="K473" s="1">
        <f t="shared" si="198"/>
        <v>59999.26</v>
      </c>
      <c r="M473" s="1">
        <f t="shared" si="191"/>
        <v>0.1</v>
      </c>
      <c r="N473" s="1">
        <f t="shared" si="187"/>
        <v>59999.26</v>
      </c>
    </row>
    <row r="474" spans="1:14">
      <c r="A474" s="135">
        <f t="shared" si="192"/>
        <v>18.075938720336449</v>
      </c>
      <c r="B474" s="1">
        <f t="shared" si="193"/>
        <v>59999.26</v>
      </c>
      <c r="C474" s="7">
        <f t="shared" si="188"/>
        <v>0.1</v>
      </c>
      <c r="D474" s="1">
        <f t="shared" si="194"/>
        <v>59999.26</v>
      </c>
      <c r="E474" s="8">
        <f t="shared" si="189"/>
        <v>0.1</v>
      </c>
      <c r="F474" s="1">
        <f t="shared" si="195"/>
        <v>59999.26</v>
      </c>
      <c r="G474" s="10">
        <f t="shared" si="190"/>
        <v>0.1</v>
      </c>
      <c r="H474" s="10"/>
      <c r="I474" s="1">
        <f t="shared" si="196"/>
        <v>59999.26</v>
      </c>
      <c r="J474" s="8">
        <f t="shared" si="197"/>
        <v>0.1</v>
      </c>
      <c r="K474" s="1">
        <f t="shared" si="198"/>
        <v>59999.26</v>
      </c>
      <c r="M474" s="1">
        <f t="shared" si="191"/>
        <v>0.1</v>
      </c>
      <c r="N474" s="1">
        <f t="shared" si="187"/>
        <v>59999.26</v>
      </c>
    </row>
    <row r="475" spans="1:14">
      <c r="A475" s="135">
        <f t="shared" si="192"/>
        <v>18.075938720336449</v>
      </c>
      <c r="B475" s="1">
        <f t="shared" si="193"/>
        <v>59999.26</v>
      </c>
      <c r="C475" s="7">
        <f t="shared" si="188"/>
        <v>0.1</v>
      </c>
      <c r="D475" s="1">
        <f t="shared" si="194"/>
        <v>59999.26</v>
      </c>
      <c r="E475" s="8">
        <f t="shared" si="189"/>
        <v>0.1</v>
      </c>
      <c r="F475" s="1">
        <f t="shared" si="195"/>
        <v>59999.26</v>
      </c>
      <c r="G475" s="10">
        <f t="shared" si="190"/>
        <v>0.1</v>
      </c>
      <c r="H475" s="10"/>
      <c r="I475" s="1">
        <f t="shared" si="196"/>
        <v>59999.26</v>
      </c>
      <c r="J475" s="8">
        <f t="shared" si="197"/>
        <v>0.1</v>
      </c>
      <c r="K475" s="1">
        <f t="shared" si="198"/>
        <v>59999.26</v>
      </c>
      <c r="M475" s="1">
        <f t="shared" si="191"/>
        <v>0.1</v>
      </c>
      <c r="N475" s="1">
        <f t="shared" si="187"/>
        <v>59999.26</v>
      </c>
    </row>
    <row r="476" spans="1:14">
      <c r="A476" s="135">
        <f t="shared" si="192"/>
        <v>18.075938720336449</v>
      </c>
      <c r="B476" s="1">
        <f t="shared" si="193"/>
        <v>59999.26</v>
      </c>
      <c r="C476" s="7">
        <f t="shared" si="188"/>
        <v>0.1</v>
      </c>
      <c r="D476" s="1">
        <f t="shared" si="194"/>
        <v>59999.26</v>
      </c>
      <c r="E476" s="8">
        <f t="shared" si="189"/>
        <v>0.1</v>
      </c>
      <c r="F476" s="1">
        <f t="shared" si="195"/>
        <v>59999.26</v>
      </c>
      <c r="G476" s="10">
        <f t="shared" si="190"/>
        <v>0.1</v>
      </c>
      <c r="H476" s="10"/>
      <c r="I476" s="1">
        <f t="shared" si="196"/>
        <v>59999.26</v>
      </c>
      <c r="J476" s="8">
        <f t="shared" si="197"/>
        <v>0.1</v>
      </c>
      <c r="K476" s="1">
        <f t="shared" si="198"/>
        <v>59999.26</v>
      </c>
      <c r="M476" s="1">
        <f t="shared" si="191"/>
        <v>0.1</v>
      </c>
      <c r="N476" s="1">
        <f t="shared" si="187"/>
        <v>59999.26</v>
      </c>
    </row>
    <row r="477" spans="1:14">
      <c r="A477" s="135">
        <f t="shared" si="192"/>
        <v>18.075938720336449</v>
      </c>
      <c r="B477" s="1">
        <f t="shared" si="193"/>
        <v>59999.26</v>
      </c>
      <c r="C477" s="7">
        <f t="shared" si="188"/>
        <v>0.1</v>
      </c>
      <c r="D477" s="1">
        <f t="shared" si="194"/>
        <v>59999.26</v>
      </c>
      <c r="E477" s="8">
        <f t="shared" si="189"/>
        <v>0.1</v>
      </c>
      <c r="F477" s="1">
        <f t="shared" si="195"/>
        <v>59999.26</v>
      </c>
      <c r="G477" s="10">
        <f t="shared" si="190"/>
        <v>0.1</v>
      </c>
      <c r="H477" s="10"/>
      <c r="I477" s="1">
        <f t="shared" si="196"/>
        <v>59999.26</v>
      </c>
      <c r="J477" s="8">
        <f t="shared" si="197"/>
        <v>0.1</v>
      </c>
      <c r="K477" s="1">
        <f t="shared" si="198"/>
        <v>59999.26</v>
      </c>
      <c r="M477" s="1">
        <f t="shared" si="191"/>
        <v>0.1</v>
      </c>
      <c r="N477" s="1">
        <f t="shared" si="187"/>
        <v>59999.26</v>
      </c>
    </row>
    <row r="478" spans="1:14">
      <c r="A478" s="135">
        <f t="shared" si="192"/>
        <v>18.075938720336449</v>
      </c>
      <c r="B478" s="1">
        <f t="shared" si="193"/>
        <v>59999.26</v>
      </c>
      <c r="C478" s="7">
        <f t="shared" si="188"/>
        <v>0.1</v>
      </c>
      <c r="D478" s="1">
        <f t="shared" si="194"/>
        <v>59999.26</v>
      </c>
      <c r="E478" s="8">
        <f t="shared" si="189"/>
        <v>0.1</v>
      </c>
      <c r="F478" s="1">
        <f t="shared" si="195"/>
        <v>59999.26</v>
      </c>
      <c r="G478" s="10">
        <f t="shared" si="190"/>
        <v>0.1</v>
      </c>
      <c r="H478" s="10"/>
      <c r="I478" s="1">
        <f t="shared" si="196"/>
        <v>59999.26</v>
      </c>
      <c r="J478" s="8">
        <f t="shared" si="197"/>
        <v>0.1</v>
      </c>
      <c r="K478" s="1">
        <f t="shared" si="198"/>
        <v>59999.26</v>
      </c>
      <c r="M478" s="1">
        <f t="shared" si="191"/>
        <v>0.1</v>
      </c>
      <c r="N478" s="1">
        <f t="shared" si="187"/>
        <v>59999.26</v>
      </c>
    </row>
    <row r="479" spans="1:14">
      <c r="A479" s="135">
        <f t="shared" si="192"/>
        <v>18.075938720336449</v>
      </c>
      <c r="B479" s="1">
        <f t="shared" si="193"/>
        <v>59999.26</v>
      </c>
      <c r="C479" s="7">
        <f t="shared" si="188"/>
        <v>0.1</v>
      </c>
      <c r="D479" s="1">
        <f t="shared" si="194"/>
        <v>59999.26</v>
      </c>
      <c r="E479" s="8">
        <f t="shared" si="189"/>
        <v>0.1</v>
      </c>
      <c r="F479" s="1">
        <f t="shared" si="195"/>
        <v>59999.26</v>
      </c>
      <c r="G479" s="10">
        <f t="shared" si="190"/>
        <v>0.1</v>
      </c>
      <c r="H479" s="10"/>
      <c r="I479" s="1">
        <f t="shared" si="196"/>
        <v>59999.26</v>
      </c>
      <c r="J479" s="8">
        <f t="shared" si="197"/>
        <v>0.1</v>
      </c>
      <c r="K479" s="1">
        <f t="shared" si="198"/>
        <v>59999.26</v>
      </c>
      <c r="M479" s="1">
        <f t="shared" si="191"/>
        <v>0.1</v>
      </c>
      <c r="N479" s="1">
        <f t="shared" si="187"/>
        <v>59999.26</v>
      </c>
    </row>
    <row r="480" spans="1:14">
      <c r="A480" s="135">
        <f t="shared" si="192"/>
        <v>18.075938720336449</v>
      </c>
      <c r="B480" s="1">
        <f t="shared" si="193"/>
        <v>59999.26</v>
      </c>
      <c r="C480" s="7">
        <f t="shared" si="188"/>
        <v>0.1</v>
      </c>
      <c r="D480" s="1">
        <f t="shared" si="194"/>
        <v>59999.26</v>
      </c>
      <c r="E480" s="8">
        <f t="shared" si="189"/>
        <v>0.1</v>
      </c>
      <c r="F480" s="1">
        <f t="shared" si="195"/>
        <v>59999.26</v>
      </c>
      <c r="G480" s="10">
        <f t="shared" si="190"/>
        <v>0.1</v>
      </c>
      <c r="H480" s="10"/>
      <c r="I480" s="1">
        <f t="shared" si="196"/>
        <v>59999.26</v>
      </c>
      <c r="J480" s="8">
        <f t="shared" si="197"/>
        <v>0.1</v>
      </c>
      <c r="K480" s="1">
        <f t="shared" si="198"/>
        <v>59999.26</v>
      </c>
      <c r="M480" s="1">
        <f t="shared" si="191"/>
        <v>0.1</v>
      </c>
      <c r="N480" s="1">
        <f t="shared" si="187"/>
        <v>59999.26</v>
      </c>
    </row>
    <row r="481" spans="1:14">
      <c r="A481" s="135">
        <f t="shared" si="192"/>
        <v>18.075938720336449</v>
      </c>
      <c r="B481" s="1">
        <f t="shared" si="193"/>
        <v>59999.26</v>
      </c>
      <c r="C481" s="7">
        <f t="shared" si="188"/>
        <v>0.1</v>
      </c>
      <c r="D481" s="1">
        <f t="shared" si="194"/>
        <v>59999.26</v>
      </c>
      <c r="E481" s="8">
        <f t="shared" si="189"/>
        <v>0.1</v>
      </c>
      <c r="F481" s="1">
        <f t="shared" si="195"/>
        <v>59999.26</v>
      </c>
      <c r="G481" s="10">
        <f t="shared" si="190"/>
        <v>0.1</v>
      </c>
      <c r="H481" s="10"/>
      <c r="I481" s="1">
        <f t="shared" si="196"/>
        <v>59999.26</v>
      </c>
      <c r="J481" s="8">
        <f t="shared" si="197"/>
        <v>0.1</v>
      </c>
      <c r="K481" s="1">
        <f t="shared" si="198"/>
        <v>59999.26</v>
      </c>
      <c r="M481" s="1">
        <f t="shared" si="191"/>
        <v>0.1</v>
      </c>
      <c r="N481" s="1">
        <f t="shared" si="187"/>
        <v>59999.26</v>
      </c>
    </row>
    <row r="482" spans="1:14">
      <c r="A482" s="135">
        <f t="shared" si="192"/>
        <v>18.075938720336449</v>
      </c>
      <c r="B482" s="1">
        <f t="shared" si="193"/>
        <v>59999.26</v>
      </c>
      <c r="C482" s="7">
        <f t="shared" si="188"/>
        <v>0.1</v>
      </c>
      <c r="D482" s="1">
        <f t="shared" si="194"/>
        <v>59999.26</v>
      </c>
      <c r="E482" s="8">
        <f t="shared" si="189"/>
        <v>0.1</v>
      </c>
      <c r="F482" s="1">
        <f t="shared" si="195"/>
        <v>59999.26</v>
      </c>
      <c r="G482" s="10">
        <f t="shared" si="190"/>
        <v>0.1</v>
      </c>
      <c r="H482" s="10"/>
      <c r="I482" s="1">
        <f t="shared" si="196"/>
        <v>59999.26</v>
      </c>
      <c r="J482" s="8">
        <f t="shared" si="197"/>
        <v>0.1</v>
      </c>
      <c r="K482" s="1">
        <f t="shared" si="198"/>
        <v>59999.26</v>
      </c>
      <c r="M482" s="1">
        <f t="shared" si="191"/>
        <v>0.1</v>
      </c>
      <c r="N482" s="1">
        <f t="shared" si="187"/>
        <v>59999.26</v>
      </c>
    </row>
    <row r="483" spans="1:14">
      <c r="A483" s="135">
        <f t="shared" si="192"/>
        <v>18.075938720336449</v>
      </c>
      <c r="B483" s="1">
        <f t="shared" si="193"/>
        <v>59999.26</v>
      </c>
      <c r="C483" s="7">
        <f t="shared" si="188"/>
        <v>0.1</v>
      </c>
      <c r="D483" s="1">
        <f t="shared" si="194"/>
        <v>59999.26</v>
      </c>
      <c r="E483" s="8">
        <f t="shared" si="189"/>
        <v>0.1</v>
      </c>
      <c r="F483" s="1">
        <f t="shared" si="195"/>
        <v>59999.26</v>
      </c>
      <c r="G483" s="10">
        <f t="shared" si="190"/>
        <v>0.1</v>
      </c>
      <c r="H483" s="10"/>
      <c r="I483" s="1">
        <f t="shared" si="196"/>
        <v>59999.26</v>
      </c>
      <c r="J483" s="8">
        <f t="shared" si="197"/>
        <v>0.1</v>
      </c>
      <c r="K483" s="1">
        <f t="shared" si="198"/>
        <v>59999.26</v>
      </c>
      <c r="M483" s="1">
        <f t="shared" si="191"/>
        <v>0.1</v>
      </c>
      <c r="N483" s="1">
        <f t="shared" si="187"/>
        <v>59999.26</v>
      </c>
    </row>
    <row r="484" spans="1:14">
      <c r="A484" s="135">
        <f t="shared" si="192"/>
        <v>18.075938720336449</v>
      </c>
      <c r="B484" s="1">
        <f t="shared" si="193"/>
        <v>59999.26</v>
      </c>
      <c r="C484" s="7">
        <f t="shared" si="188"/>
        <v>0.1</v>
      </c>
      <c r="D484" s="1">
        <f t="shared" si="194"/>
        <v>59999.26</v>
      </c>
      <c r="E484" s="8">
        <f t="shared" si="189"/>
        <v>0.1</v>
      </c>
      <c r="F484" s="1">
        <f t="shared" si="195"/>
        <v>59999.26</v>
      </c>
      <c r="G484" s="10">
        <f t="shared" si="190"/>
        <v>0.1</v>
      </c>
      <c r="H484" s="10"/>
      <c r="I484" s="1">
        <f t="shared" si="196"/>
        <v>59999.26</v>
      </c>
      <c r="J484" s="8">
        <f t="shared" si="197"/>
        <v>0.1</v>
      </c>
      <c r="K484" s="1">
        <f t="shared" si="198"/>
        <v>59999.26</v>
      </c>
      <c r="M484" s="1">
        <f t="shared" si="191"/>
        <v>0.1</v>
      </c>
      <c r="N484" s="1">
        <f t="shared" si="187"/>
        <v>59999.26</v>
      </c>
    </row>
    <row r="485" spans="1:14">
      <c r="A485" s="135">
        <f t="shared" si="192"/>
        <v>18.075938720336449</v>
      </c>
      <c r="B485" s="1">
        <f t="shared" si="193"/>
        <v>59999.26</v>
      </c>
      <c r="C485" s="7">
        <f t="shared" si="188"/>
        <v>0.1</v>
      </c>
      <c r="D485" s="1">
        <f t="shared" si="194"/>
        <v>59999.26</v>
      </c>
      <c r="E485" s="8">
        <f t="shared" si="189"/>
        <v>0.1</v>
      </c>
      <c r="F485" s="1">
        <f t="shared" si="195"/>
        <v>59999.26</v>
      </c>
      <c r="G485" s="10">
        <f t="shared" si="190"/>
        <v>0.1</v>
      </c>
      <c r="H485" s="10"/>
      <c r="I485" s="1">
        <f t="shared" si="196"/>
        <v>59999.26</v>
      </c>
      <c r="J485" s="8">
        <f t="shared" si="197"/>
        <v>0.1</v>
      </c>
      <c r="K485" s="1">
        <f t="shared" si="198"/>
        <v>59999.26</v>
      </c>
      <c r="M485" s="1">
        <f t="shared" si="191"/>
        <v>0.1</v>
      </c>
      <c r="N485" s="1">
        <f t="shared" si="187"/>
        <v>59999.26</v>
      </c>
    </row>
    <row r="486" spans="1:14">
      <c r="A486" s="135">
        <f t="shared" si="192"/>
        <v>18.075938720336449</v>
      </c>
      <c r="B486" s="1">
        <f t="shared" si="193"/>
        <v>59999.26</v>
      </c>
      <c r="C486" s="7">
        <f t="shared" si="188"/>
        <v>0.1</v>
      </c>
      <c r="D486" s="1">
        <f t="shared" si="194"/>
        <v>59999.26</v>
      </c>
      <c r="E486" s="8">
        <f t="shared" si="189"/>
        <v>0.1</v>
      </c>
      <c r="F486" s="1">
        <f t="shared" si="195"/>
        <v>59999.26</v>
      </c>
      <c r="G486" s="10">
        <f t="shared" si="190"/>
        <v>0.1</v>
      </c>
      <c r="H486" s="10"/>
      <c r="I486" s="1">
        <f t="shared" si="196"/>
        <v>59999.26</v>
      </c>
      <c r="J486" s="8">
        <f t="shared" si="197"/>
        <v>0.1</v>
      </c>
      <c r="K486" s="1">
        <f t="shared" si="198"/>
        <v>59999.26</v>
      </c>
      <c r="M486" s="1">
        <f t="shared" si="191"/>
        <v>0.1</v>
      </c>
      <c r="N486" s="1">
        <f t="shared" si="187"/>
        <v>59999.26</v>
      </c>
    </row>
    <row r="487" spans="1:14">
      <c r="A487" s="135">
        <f t="shared" si="192"/>
        <v>18.075938720336449</v>
      </c>
      <c r="B487" s="1">
        <f t="shared" si="193"/>
        <v>59999.26</v>
      </c>
      <c r="C487" s="7">
        <f t="shared" si="188"/>
        <v>0.1</v>
      </c>
      <c r="D487" s="1">
        <f t="shared" si="194"/>
        <v>59999.26</v>
      </c>
      <c r="E487" s="8">
        <f t="shared" si="189"/>
        <v>0.1</v>
      </c>
      <c r="F487" s="1">
        <f t="shared" si="195"/>
        <v>59999.26</v>
      </c>
      <c r="G487" s="10">
        <f t="shared" si="190"/>
        <v>0.1</v>
      </c>
      <c r="H487" s="10"/>
      <c r="I487" s="1">
        <f t="shared" si="196"/>
        <v>59999.26</v>
      </c>
      <c r="J487" s="8">
        <f t="shared" si="197"/>
        <v>0.1</v>
      </c>
      <c r="K487" s="1">
        <f t="shared" si="198"/>
        <v>59999.26</v>
      </c>
      <c r="M487" s="1">
        <f t="shared" si="191"/>
        <v>0.1</v>
      </c>
      <c r="N487" s="1">
        <f t="shared" si="187"/>
        <v>59999.26</v>
      </c>
    </row>
    <row r="488" spans="1:14">
      <c r="A488" s="135">
        <f t="shared" si="192"/>
        <v>18.075938720336449</v>
      </c>
      <c r="B488" s="1">
        <f t="shared" si="193"/>
        <v>59999.26</v>
      </c>
      <c r="C488" s="7">
        <f t="shared" si="188"/>
        <v>0.1</v>
      </c>
      <c r="D488" s="1">
        <f t="shared" si="194"/>
        <v>59999.26</v>
      </c>
      <c r="E488" s="8">
        <f t="shared" si="189"/>
        <v>0.1</v>
      </c>
      <c r="F488" s="1">
        <f t="shared" si="195"/>
        <v>59999.26</v>
      </c>
      <c r="G488" s="10">
        <f t="shared" si="190"/>
        <v>0.1</v>
      </c>
      <c r="H488" s="10"/>
      <c r="I488" s="1">
        <f t="shared" si="196"/>
        <v>59999.26</v>
      </c>
      <c r="J488" s="8">
        <f t="shared" si="197"/>
        <v>0.1</v>
      </c>
      <c r="K488" s="1">
        <f t="shared" si="198"/>
        <v>59999.26</v>
      </c>
      <c r="M488" s="1">
        <f t="shared" si="191"/>
        <v>0.1</v>
      </c>
      <c r="N488" s="1">
        <f t="shared" si="187"/>
        <v>59999.26</v>
      </c>
    </row>
    <row r="489" spans="1:14">
      <c r="A489" s="135">
        <f t="shared" si="192"/>
        <v>18.075938720336449</v>
      </c>
      <c r="B489" s="1">
        <f t="shared" si="193"/>
        <v>59999.26</v>
      </c>
      <c r="C489" s="7">
        <f t="shared" si="188"/>
        <v>0.1</v>
      </c>
      <c r="D489" s="1">
        <f t="shared" si="194"/>
        <v>59999.26</v>
      </c>
      <c r="E489" s="8">
        <f t="shared" si="189"/>
        <v>0.1</v>
      </c>
      <c r="F489" s="1">
        <f t="shared" si="195"/>
        <v>59999.26</v>
      </c>
      <c r="G489" s="10">
        <f t="shared" si="190"/>
        <v>0.1</v>
      </c>
      <c r="H489" s="10"/>
      <c r="I489" s="1">
        <f t="shared" si="196"/>
        <v>59999.26</v>
      </c>
      <c r="J489" s="8">
        <f t="shared" si="197"/>
        <v>0.1</v>
      </c>
      <c r="K489" s="1">
        <f t="shared" si="198"/>
        <v>59999.26</v>
      </c>
      <c r="M489" s="1">
        <f t="shared" si="191"/>
        <v>0.1</v>
      </c>
      <c r="N489" s="1">
        <f t="shared" si="187"/>
        <v>59999.26</v>
      </c>
    </row>
    <row r="490" spans="1:14">
      <c r="A490" s="135">
        <f t="shared" si="192"/>
        <v>18.075938720336449</v>
      </c>
      <c r="B490" s="1">
        <f t="shared" si="193"/>
        <v>59999.26</v>
      </c>
      <c r="C490" s="7">
        <f t="shared" si="188"/>
        <v>0.1</v>
      </c>
      <c r="D490" s="1">
        <f t="shared" si="194"/>
        <v>59999.26</v>
      </c>
      <c r="E490" s="8">
        <f t="shared" si="189"/>
        <v>0.1</v>
      </c>
      <c r="F490" s="1">
        <f t="shared" si="195"/>
        <v>59999.26</v>
      </c>
      <c r="G490" s="10">
        <f t="shared" si="190"/>
        <v>0.1</v>
      </c>
      <c r="H490" s="10"/>
      <c r="I490" s="1">
        <f t="shared" si="196"/>
        <v>59999.26</v>
      </c>
      <c r="J490" s="8">
        <f t="shared" si="197"/>
        <v>0.1</v>
      </c>
      <c r="K490" s="1">
        <f t="shared" si="198"/>
        <v>59999.26</v>
      </c>
      <c r="M490" s="1">
        <f t="shared" si="191"/>
        <v>0.1</v>
      </c>
      <c r="N490" s="1">
        <f t="shared" si="187"/>
        <v>59999.26</v>
      </c>
    </row>
    <row r="491" spans="1:14">
      <c r="A491" s="135">
        <f t="shared" si="192"/>
        <v>18.075938720336449</v>
      </c>
      <c r="B491" s="1">
        <f t="shared" si="193"/>
        <v>59999.26</v>
      </c>
      <c r="C491" s="7">
        <f t="shared" si="188"/>
        <v>0.1</v>
      </c>
      <c r="D491" s="1">
        <f t="shared" si="194"/>
        <v>59999.26</v>
      </c>
      <c r="E491" s="8">
        <f t="shared" si="189"/>
        <v>0.1</v>
      </c>
      <c r="F491" s="1">
        <f t="shared" si="195"/>
        <v>59999.26</v>
      </c>
      <c r="G491" s="10">
        <f t="shared" si="190"/>
        <v>0.1</v>
      </c>
      <c r="H491" s="10"/>
      <c r="I491" s="1">
        <f t="shared" si="196"/>
        <v>59999.26</v>
      </c>
      <c r="J491" s="8">
        <f t="shared" si="197"/>
        <v>0.1</v>
      </c>
      <c r="K491" s="1">
        <f t="shared" si="198"/>
        <v>59999.26</v>
      </c>
      <c r="M491" s="1">
        <f t="shared" si="191"/>
        <v>0.1</v>
      </c>
      <c r="N491" s="1">
        <f t="shared" si="187"/>
        <v>59999.26</v>
      </c>
    </row>
    <row r="492" spans="1:14">
      <c r="A492" s="135">
        <f t="shared" si="192"/>
        <v>18.075938720336449</v>
      </c>
      <c r="B492" s="1">
        <f t="shared" si="193"/>
        <v>59999.26</v>
      </c>
      <c r="C492" s="7">
        <f t="shared" si="188"/>
        <v>0.1</v>
      </c>
      <c r="D492" s="1">
        <f t="shared" si="194"/>
        <v>59999.26</v>
      </c>
      <c r="E492" s="8">
        <f t="shared" si="189"/>
        <v>0.1</v>
      </c>
      <c r="F492" s="1">
        <f t="shared" si="195"/>
        <v>59999.26</v>
      </c>
      <c r="G492" s="10">
        <f t="shared" si="190"/>
        <v>0.1</v>
      </c>
      <c r="H492" s="10"/>
      <c r="I492" s="1">
        <f t="shared" si="196"/>
        <v>59999.26</v>
      </c>
      <c r="J492" s="8">
        <f t="shared" si="197"/>
        <v>0.1</v>
      </c>
      <c r="K492" s="1">
        <f t="shared" si="198"/>
        <v>59999.26</v>
      </c>
      <c r="M492" s="1">
        <f t="shared" si="191"/>
        <v>0.1</v>
      </c>
      <c r="N492" s="1">
        <f t="shared" si="187"/>
        <v>59999.26</v>
      </c>
    </row>
    <row r="493" spans="1:14">
      <c r="A493" s="135">
        <f t="shared" si="192"/>
        <v>18.075938720336449</v>
      </c>
      <c r="B493" s="1">
        <f t="shared" si="193"/>
        <v>59999.26</v>
      </c>
      <c r="C493" s="7">
        <f t="shared" si="188"/>
        <v>0.1</v>
      </c>
      <c r="D493" s="1">
        <f t="shared" si="194"/>
        <v>59999.26</v>
      </c>
      <c r="E493" s="8">
        <f t="shared" si="189"/>
        <v>0.1</v>
      </c>
      <c r="F493" s="1">
        <f t="shared" si="195"/>
        <v>59999.26</v>
      </c>
      <c r="G493" s="10">
        <f t="shared" si="190"/>
        <v>0.1</v>
      </c>
      <c r="H493" s="10"/>
      <c r="I493" s="1">
        <f t="shared" si="196"/>
        <v>59999.26</v>
      </c>
      <c r="J493" s="8">
        <f t="shared" si="197"/>
        <v>0.1</v>
      </c>
      <c r="K493" s="1">
        <f t="shared" si="198"/>
        <v>59999.26</v>
      </c>
      <c r="M493" s="1">
        <f t="shared" si="191"/>
        <v>0.1</v>
      </c>
      <c r="N493" s="1">
        <f t="shared" si="187"/>
        <v>59999.26</v>
      </c>
    </row>
    <row r="494" spans="1:14">
      <c r="A494" s="135">
        <f t="shared" si="192"/>
        <v>18.075938720336449</v>
      </c>
      <c r="B494" s="1">
        <f t="shared" si="193"/>
        <v>59999.26</v>
      </c>
      <c r="C494" s="7">
        <f t="shared" si="188"/>
        <v>0.1</v>
      </c>
      <c r="D494" s="1">
        <f t="shared" si="194"/>
        <v>59999.26</v>
      </c>
      <c r="E494" s="8">
        <f t="shared" si="189"/>
        <v>0.1</v>
      </c>
      <c r="F494" s="1">
        <f t="shared" si="195"/>
        <v>59999.26</v>
      </c>
      <c r="G494" s="10">
        <f t="shared" si="190"/>
        <v>0.1</v>
      </c>
      <c r="H494" s="10"/>
      <c r="I494" s="1">
        <f t="shared" si="196"/>
        <v>59999.26</v>
      </c>
      <c r="J494" s="8">
        <f t="shared" si="197"/>
        <v>0.1</v>
      </c>
      <c r="K494" s="1">
        <f t="shared" si="198"/>
        <v>59999.26</v>
      </c>
      <c r="M494" s="1">
        <f t="shared" si="191"/>
        <v>0.1</v>
      </c>
      <c r="N494" s="1">
        <f t="shared" si="187"/>
        <v>59999.26</v>
      </c>
    </row>
    <row r="495" spans="1:14">
      <c r="A495" s="135">
        <f t="shared" si="192"/>
        <v>18.075938720336449</v>
      </c>
      <c r="B495" s="1">
        <f t="shared" si="193"/>
        <v>59999.26</v>
      </c>
      <c r="C495" s="7">
        <f t="shared" si="188"/>
        <v>0.1</v>
      </c>
      <c r="D495" s="1">
        <f t="shared" si="194"/>
        <v>59999.26</v>
      </c>
      <c r="E495" s="8">
        <f t="shared" si="189"/>
        <v>0.1</v>
      </c>
      <c r="F495" s="1">
        <f t="shared" si="195"/>
        <v>59999.26</v>
      </c>
      <c r="G495" s="10">
        <f t="shared" si="190"/>
        <v>0.1</v>
      </c>
      <c r="H495" s="10"/>
      <c r="I495" s="1">
        <f t="shared" si="196"/>
        <v>59999.26</v>
      </c>
      <c r="J495" s="8">
        <f t="shared" si="197"/>
        <v>0.1</v>
      </c>
      <c r="K495" s="1">
        <f t="shared" si="198"/>
        <v>59999.26</v>
      </c>
      <c r="M495" s="1">
        <f t="shared" si="191"/>
        <v>0.1</v>
      </c>
      <c r="N495" s="1">
        <f t="shared" si="187"/>
        <v>59999.26</v>
      </c>
    </row>
    <row r="496" spans="1:14">
      <c r="A496" s="135">
        <f t="shared" si="192"/>
        <v>18.075938720336449</v>
      </c>
      <c r="B496" s="1">
        <f t="shared" si="193"/>
        <v>59999.26</v>
      </c>
      <c r="C496" s="7">
        <f t="shared" si="188"/>
        <v>0.1</v>
      </c>
      <c r="D496" s="1">
        <f t="shared" si="194"/>
        <v>59999.26</v>
      </c>
      <c r="E496" s="8">
        <f t="shared" si="189"/>
        <v>0.1</v>
      </c>
      <c r="F496" s="1">
        <f t="shared" si="195"/>
        <v>59999.26</v>
      </c>
      <c r="G496" s="10">
        <f t="shared" si="190"/>
        <v>0.1</v>
      </c>
      <c r="H496" s="10"/>
      <c r="I496" s="1">
        <f t="shared" si="196"/>
        <v>59999.26</v>
      </c>
      <c r="J496" s="8">
        <f t="shared" si="197"/>
        <v>0.1</v>
      </c>
      <c r="K496" s="1">
        <f t="shared" si="198"/>
        <v>59999.26</v>
      </c>
      <c r="M496" s="1">
        <f t="shared" si="191"/>
        <v>0.1</v>
      </c>
      <c r="N496" s="1">
        <f t="shared" si="187"/>
        <v>59999.26</v>
      </c>
    </row>
    <row r="497" spans="1:14">
      <c r="A497" s="135">
        <f t="shared" si="192"/>
        <v>18.075938720336449</v>
      </c>
      <c r="B497" s="1">
        <f t="shared" si="193"/>
        <v>59999.26</v>
      </c>
      <c r="C497" s="7">
        <f>IF(D202&lt;0.0001,0.1,IF(D202="",0.001,D202))</f>
        <v>0.1</v>
      </c>
      <c r="D497" s="1">
        <f t="shared" si="194"/>
        <v>59999.26</v>
      </c>
      <c r="E497" s="8">
        <f>IF(E202&lt;0.0001,0.1,IF(E202="",E496,E202))</f>
        <v>0.1</v>
      </c>
      <c r="F497" s="1">
        <f t="shared" si="195"/>
        <v>59999.26</v>
      </c>
      <c r="G497" s="10">
        <f>IF(G202&lt;0.0001,0.1,IF(G202="",0.0001,G202))</f>
        <v>0.1</v>
      </c>
      <c r="H497" s="10"/>
      <c r="I497" s="1">
        <f t="shared" si="196"/>
        <v>59999.26</v>
      </c>
      <c r="J497" s="8">
        <f t="shared" si="197"/>
        <v>0.1</v>
      </c>
      <c r="K497" s="1">
        <f t="shared" si="198"/>
        <v>59999.26</v>
      </c>
      <c r="M497" s="1">
        <f>IF(O202&lt;0.0001,0.1,IF(O202="",0.0001,O202))</f>
        <v>0.1</v>
      </c>
      <c r="N497" s="1">
        <f t="shared" si="187"/>
        <v>59999.26</v>
      </c>
    </row>
    <row r="498" spans="1:14">
      <c r="A498" s="135">
        <f>IF(B203="",A497,IF(B203&lt;0.0001,0.1,B203))</f>
        <v>18.075938720336449</v>
      </c>
      <c r="B498" s="1">
        <f>IF(A203="",B497,A203)</f>
        <v>59999.26</v>
      </c>
      <c r="C498" s="7">
        <f>IF(D203&lt;0.0001,0.1,IF(D203="",0.001,D203))</f>
        <v>0.1</v>
      </c>
      <c r="D498" s="1">
        <f>IF(A203="",B497,A203)</f>
        <v>59999.26</v>
      </c>
      <c r="E498" s="8">
        <f>IF(E203&lt;0.0001,0.1,IF(E203="",E497,E203))</f>
        <v>0.1</v>
      </c>
      <c r="F498" s="1">
        <f>IF(A203="",B497,A203)</f>
        <v>59999.26</v>
      </c>
      <c r="G498" s="10">
        <f>IF(G203&lt;0.0001,0.1,IF(G203="",0.0001,G203))</f>
        <v>0.1</v>
      </c>
      <c r="H498" s="10"/>
      <c r="I498" s="1">
        <f>IF(A203="",B497,A203)</f>
        <v>59999.26</v>
      </c>
      <c r="J498" s="8">
        <f>IF(J203&lt;0.0001,0.1,IF(J203="",J497,J203))</f>
        <v>0.1</v>
      </c>
      <c r="K498" s="1">
        <f>IF(A203="",B497,A203)</f>
        <v>59999.26</v>
      </c>
      <c r="M498" s="1">
        <f>IF(O203&lt;0.0001,0.1,IF(O203="",0.0001,O203))</f>
        <v>0.1</v>
      </c>
      <c r="N498" s="1">
        <f>K498</f>
        <v>59999.26</v>
      </c>
    </row>
    <row r="499" spans="1:14">
      <c r="A499" s="135">
        <f>IF(B204="",A498,IF(B204&lt;0.0001,0.1,B204))</f>
        <v>18.075938720336449</v>
      </c>
      <c r="B499" s="1">
        <f>IF(A204="",B498,A204)</f>
        <v>59999.26</v>
      </c>
      <c r="C499" s="7">
        <f>IF(D204&lt;0.0001,0.1,IF(D204="",0.001,D204))</f>
        <v>0.1</v>
      </c>
      <c r="D499" s="1">
        <f>IF(A204="",B498,A204)</f>
        <v>59999.26</v>
      </c>
      <c r="E499" s="8">
        <f>IF(E204&lt;0.0001,0.1,IF(E204="",E498,E204))</f>
        <v>0.1</v>
      </c>
      <c r="F499" s="1">
        <f>IF(A204="",B498,A204)</f>
        <v>59999.26</v>
      </c>
      <c r="G499" s="10">
        <f>IF(G204&lt;0.0001,0.1,IF(G204="",0.0001,G204))</f>
        <v>0.1</v>
      </c>
      <c r="H499" s="10"/>
      <c r="I499" s="1">
        <f>IF(A204="",B498,A204)</f>
        <v>59999.26</v>
      </c>
      <c r="J499" s="8">
        <f>IF(J204&lt;0.0001,0.1,IF(J204="",J498,J204))</f>
        <v>0.1</v>
      </c>
      <c r="K499" s="1">
        <f>IF(A204="",B498,A204)</f>
        <v>59999.26</v>
      </c>
      <c r="M499" s="1">
        <f>IF(O204&lt;0.0001,0.1,IF(O204="",0.0001,O204))</f>
        <v>0.1</v>
      </c>
      <c r="N499" s="1">
        <f>K499</f>
        <v>59999.26</v>
      </c>
    </row>
    <row r="500" spans="1:14">
      <c r="A500" s="135">
        <f>IF(B205="",A499,IF(B205&lt;0.0001,0.1,B205))</f>
        <v>18.075938720336449</v>
      </c>
      <c r="B500" s="1">
        <f>IF(A205="",B499,A205)</f>
        <v>59999.26</v>
      </c>
      <c r="C500" s="7">
        <f>IF(D205&lt;0.0001,0.1,IF(D205="",0.001,D205))</f>
        <v>0.1</v>
      </c>
      <c r="D500" s="1">
        <f>IF(A205="",B499,A205)</f>
        <v>59999.26</v>
      </c>
      <c r="E500" s="8">
        <f>IF(E205&lt;0.0001,0.1,IF(E205="",E499,E205))</f>
        <v>0.1</v>
      </c>
      <c r="F500" s="1">
        <f>IF(A205="",B499,A205)</f>
        <v>59999.26</v>
      </c>
      <c r="G500" s="10">
        <f>IF(G205&lt;0.0001,0.1,IF(G205="",0.0001,G205))</f>
        <v>0.1</v>
      </c>
      <c r="H500" s="10"/>
      <c r="I500" s="1">
        <f>IF(A205="",B499,A205)</f>
        <v>59999.26</v>
      </c>
      <c r="J500" s="8">
        <f>IF(J205&lt;0.0001,0.1,IF(J205="",J499,J205))</f>
        <v>0.1</v>
      </c>
      <c r="K500" s="1">
        <f>IF(A205="",B499,A205)</f>
        <v>59999.26</v>
      </c>
      <c r="M500" s="1">
        <f>IF(O205&lt;0.0001,0.1,IF(O205="",0.0001,O205))</f>
        <v>0.1</v>
      </c>
      <c r="N500" s="1">
        <f>IF(C206="",D500,C206)</f>
        <v>59999.26</v>
      </c>
    </row>
    <row r="501" spans="1:14">
      <c r="E501" s="8"/>
      <c r="G501" s="10"/>
      <c r="H501" s="10"/>
      <c r="J501" s="8"/>
    </row>
    <row r="502" spans="1:14">
      <c r="E502" s="8"/>
      <c r="G502" s="10"/>
      <c r="H502" s="10"/>
      <c r="J502" s="8"/>
    </row>
    <row r="503" spans="1:14">
      <c r="E503" s="8"/>
      <c r="G503" s="10"/>
      <c r="H503" s="10"/>
      <c r="J503" s="8"/>
    </row>
    <row r="504" spans="1:14">
      <c r="E504" s="8"/>
      <c r="G504" s="10"/>
      <c r="H504" s="10"/>
      <c r="J504" s="8"/>
    </row>
  </sheetData>
  <phoneticPr fontId="0" type="noConversion"/>
  <printOptions gridLines="1" gridLinesSet="0"/>
  <pageMargins left="0.5" right="0.46" top="0.5" bottom="0.5" header="0.5" footer="0.5"/>
  <pageSetup scale="42" orientation="landscape" verticalDpi="1200" r:id="rId1"/>
  <headerFooter alignWithMargins="0">
    <oddHeader>&amp;f</oddHeader>
    <oddFooter>&amp;C&amp;"arial,Regular"&amp;11Saudi Aramco: Non-Business Use</oddFooter>
    <evenHeader>&amp;C&amp;f</evenHeader>
    <evenFooter>&amp;C&amp;"arial,Regular"&amp;11Saudi Aramco: Non-Business Use</evenFooter>
    <firstHeader>&amp;C&amp;f</firstHeader>
    <firstFooter>&amp;C&amp;"arial,Regular"&amp;11Saudi Aramco: Non-Business Use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41" sqref="AB41"/>
    </sheetView>
  </sheetViews>
  <sheetFormatPr defaultRowHeight="13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D11" sqref="AD11"/>
    </sheetView>
  </sheetViews>
  <sheetFormatPr defaultRowHeight="13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S29" sqref="S29"/>
    </sheetView>
  </sheetViews>
  <sheetFormatPr defaultRowHeight="13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THOMfitedt_196</vt:lpstr>
      <vt:lpstr>Page 1, 2</vt:lpstr>
      <vt:lpstr>Page 3, 4</vt:lpstr>
      <vt:lpstr>Page 5</vt:lpstr>
      <vt:lpstr>THOMfitedt_196!CHART_AREA</vt:lpstr>
      <vt:lpstr>THOMfitedt_196!CHART_DATA</vt:lpstr>
      <vt:lpstr>THOMfitedt_196!FWL_SCALE</vt:lpstr>
      <vt:lpstr>THOMfitedt_196!Print_Area</vt:lpstr>
    </vt:vector>
  </TitlesOfParts>
  <Company>SAUDI ARAMCO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eezeac</dc:creator>
  <cp:lastModifiedBy>clerkeea</cp:lastModifiedBy>
  <dcterms:created xsi:type="dcterms:W3CDTF">2001-01-21T12:03:37Z</dcterms:created>
  <dcterms:modified xsi:type="dcterms:W3CDTF">2016-08-02T06:35:51Z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2673bccb-164c-46c9-a15c-48b9bc223fd7</vt:lpwstr>
  </property>
  <property fmtid="{D5CDD505-2E9C-101B-9397-08002B2CF9AE}" pid="3" name="ARMCOClassification">
    <vt:lpwstr>Non-Business Use</vt:lpwstr>
  </property>
</Properties>
</file>