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erer\Dropbox\02 Research Projects\98 Trajectory of discrimination\Trajectory of discrimination (shared folder)\04 Manuscript\OBHDP\REVISION 2\OSF\"/>
    </mc:Choice>
  </mc:AlternateContent>
  <xr:revisionPtr revIDLastSave="0" documentId="13_ncr:1_{610F6B77-29BD-4AB1-887C-2A25C416D6B4}" xr6:coauthVersionLast="47" xr6:coauthVersionMax="47" xr10:uidLastSave="{00000000-0000-0000-0000-000000000000}"/>
  <bookViews>
    <workbookView xWindow="-120" yWindow="-120" windowWidth="28110" windowHeight="16440" tabRatio="782" activeTab="1" xr2:uid="{00000000-000D-0000-FFFF-FFFF00000000}"/>
  </bookViews>
  <sheets>
    <sheet name="Legend" sheetId="3" r:id="rId1"/>
    <sheet name="DATA" sheetId="10" r:id="rId2"/>
  </sheets>
  <definedNames>
    <definedName name="_xlnm._FilterDatabase" localSheetId="1" hidden="1">DATA!$A$1:$BB$274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0" l="1"/>
  <c r="AZ5" i="10" s="1"/>
  <c r="BA5" i="10" s="1"/>
  <c r="AU5" i="10"/>
  <c r="AX96" i="10"/>
  <c r="AY96" i="10" s="1"/>
  <c r="AW96" i="10"/>
  <c r="AU265" i="10"/>
  <c r="AZ212" i="10"/>
  <c r="AX212" i="10"/>
  <c r="AW212" i="10"/>
  <c r="AU212" i="10"/>
  <c r="W122" i="10"/>
  <c r="W123" i="10"/>
  <c r="W121" i="10"/>
  <c r="W212" i="10"/>
  <c r="Y212" i="10"/>
  <c r="X167" i="10"/>
  <c r="X122" i="10"/>
  <c r="X123" i="10"/>
  <c r="X121" i="10"/>
  <c r="X212" i="10"/>
  <c r="X219" i="10"/>
  <c r="V167" i="10"/>
  <c r="V122" i="10"/>
  <c r="V123" i="10"/>
  <c r="V121" i="10"/>
  <c r="V212" i="10"/>
  <c r="AH146" i="10"/>
  <c r="AW134" i="10"/>
  <c r="AU134" i="10"/>
  <c r="AW133" i="10"/>
  <c r="AU133" i="10"/>
  <c r="AW132" i="10"/>
  <c r="AU132" i="10"/>
  <c r="AV134" i="10"/>
  <c r="AT134" i="10"/>
  <c r="AV133" i="10"/>
  <c r="AT133" i="10"/>
  <c r="AV132" i="10"/>
  <c r="AT132" i="10"/>
  <c r="AH5" i="10"/>
  <c r="AH6" i="10"/>
  <c r="AH7" i="10"/>
  <c r="AH8" i="10"/>
  <c r="AH15" i="10"/>
  <c r="AH9" i="10"/>
  <c r="AH10" i="10"/>
  <c r="AH11" i="10"/>
  <c r="AH12" i="10"/>
  <c r="AH13" i="10"/>
  <c r="AH14" i="10"/>
  <c r="AH17" i="10"/>
  <c r="AH19" i="10"/>
  <c r="AH20" i="10"/>
  <c r="AH21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2" i="10"/>
  <c r="AH53" i="10"/>
  <c r="AH54" i="10"/>
  <c r="AH55" i="10"/>
  <c r="AH56" i="10"/>
  <c r="AH57" i="10"/>
  <c r="AH59" i="10"/>
  <c r="AH60" i="10"/>
  <c r="AH61" i="10"/>
  <c r="AH62" i="10"/>
  <c r="AH63" i="10"/>
  <c r="AH64" i="10"/>
  <c r="AH65" i="10"/>
  <c r="AH66" i="10"/>
  <c r="AH68" i="10"/>
  <c r="AH69" i="10"/>
  <c r="AH70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6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3" i="10"/>
  <c r="AH135" i="10"/>
  <c r="AH136" i="10"/>
  <c r="AH137" i="10"/>
  <c r="AH138" i="10"/>
  <c r="AH139" i="10"/>
  <c r="AH140" i="10"/>
  <c r="AH141" i="10"/>
  <c r="AH142" i="10"/>
  <c r="AH143" i="10"/>
  <c r="AH144" i="10"/>
  <c r="AH145" i="10"/>
  <c r="AH147" i="10"/>
  <c r="AH152" i="10"/>
  <c r="AH153" i="10"/>
  <c r="AH154" i="10"/>
  <c r="AH155" i="10"/>
  <c r="AH156" i="10"/>
  <c r="AH158" i="10"/>
  <c r="AH159" i="10"/>
  <c r="AH160" i="10"/>
  <c r="AH161" i="10"/>
  <c r="AH162" i="10"/>
  <c r="AH163" i="10"/>
  <c r="AH169" i="10"/>
  <c r="AH170" i="10"/>
  <c r="AH171" i="10"/>
  <c r="AH172" i="10"/>
  <c r="AH173" i="10"/>
  <c r="AH174" i="10"/>
  <c r="AH175" i="10"/>
  <c r="AH179" i="10"/>
  <c r="AH184" i="10"/>
  <c r="AH185" i="10"/>
  <c r="AH186" i="10"/>
  <c r="AH187" i="10"/>
  <c r="AH188" i="10"/>
  <c r="AH189" i="10"/>
  <c r="AH190" i="10"/>
  <c r="AH191" i="10"/>
  <c r="AH192" i="10"/>
  <c r="AH193" i="10"/>
  <c r="AH197" i="10"/>
  <c r="AH202" i="10"/>
  <c r="AH203" i="10"/>
  <c r="AH204" i="10"/>
  <c r="AH205" i="10"/>
  <c r="AH206" i="10"/>
  <c r="AH207" i="10"/>
  <c r="AH208" i="10"/>
  <c r="AH209" i="10"/>
  <c r="AH210" i="10"/>
  <c r="AH212" i="10"/>
  <c r="AH213" i="10"/>
  <c r="AH215" i="10"/>
  <c r="AH217" i="10"/>
  <c r="AH218" i="10"/>
  <c r="AH219" i="10"/>
  <c r="AH220" i="10"/>
  <c r="AH221" i="10"/>
  <c r="AH222" i="10"/>
  <c r="AH223" i="10"/>
  <c r="AH224" i="10"/>
  <c r="AH225" i="10"/>
  <c r="AH226" i="10"/>
  <c r="AH227" i="10"/>
  <c r="AH228" i="10"/>
  <c r="AH229" i="10"/>
  <c r="AH230" i="10"/>
  <c r="AH231" i="10"/>
  <c r="AH232" i="10"/>
  <c r="AH233" i="10"/>
  <c r="AH234" i="10"/>
  <c r="AH235" i="10"/>
  <c r="AH236" i="10"/>
  <c r="AH237" i="10"/>
  <c r="AH238" i="10"/>
  <c r="AH239" i="10"/>
  <c r="AH240" i="10"/>
  <c r="AH241" i="10"/>
  <c r="AH242" i="10"/>
  <c r="AH243" i="10"/>
  <c r="AH244" i="10"/>
  <c r="AH245" i="10"/>
  <c r="AH246" i="10"/>
  <c r="AH255" i="10"/>
  <c r="AH256" i="10"/>
  <c r="AH257" i="10"/>
  <c r="AH258" i="10"/>
  <c r="AH259" i="10"/>
  <c r="AH260" i="10"/>
  <c r="AH261" i="10"/>
  <c r="AH265" i="10"/>
  <c r="AH272" i="10"/>
  <c r="AH273" i="10"/>
  <c r="AH2" i="10"/>
  <c r="AG196" i="10"/>
  <c r="AG4" i="10"/>
  <c r="AG39" i="10"/>
  <c r="AG72" i="10"/>
  <c r="AG259" i="10"/>
  <c r="AG198" i="10"/>
  <c r="AG107" i="10"/>
  <c r="AG168" i="10"/>
  <c r="AG84" i="10"/>
  <c r="AG122" i="10"/>
  <c r="AG71" i="10"/>
  <c r="AG138" i="10"/>
  <c r="AG160" i="10"/>
  <c r="AG169" i="10"/>
  <c r="AG203" i="10"/>
  <c r="AG111" i="10"/>
  <c r="AG3" i="10"/>
  <c r="AG117" i="10"/>
  <c r="AG274" i="10"/>
  <c r="AG55" i="10"/>
  <c r="AG178" i="10"/>
  <c r="AG7" i="10"/>
  <c r="AG211" i="10"/>
  <c r="AG73" i="10"/>
  <c r="AG16" i="10"/>
  <c r="AG205" i="10"/>
  <c r="AG186" i="10"/>
  <c r="AG42" i="10"/>
  <c r="AG148" i="10"/>
  <c r="AG57" i="10"/>
  <c r="AG75" i="10"/>
  <c r="AG51" i="10"/>
  <c r="AG110" i="10"/>
  <c r="AG10" i="10"/>
  <c r="AG193" i="10"/>
  <c r="AG187" i="10"/>
  <c r="AG11" i="10"/>
  <c r="AG80" i="10"/>
  <c r="AG177" i="10"/>
  <c r="AG188" i="10"/>
  <c r="AG220" i="10"/>
  <c r="AG230" i="10"/>
  <c r="AG130" i="10"/>
  <c r="AG15" i="10"/>
  <c r="AG104" i="10"/>
  <c r="AG31" i="10"/>
  <c r="AG105" i="10"/>
  <c r="AG85" i="10"/>
  <c r="AG60" i="10"/>
  <c r="AG61" i="10"/>
  <c r="AG77" i="10"/>
  <c r="AG38" i="10"/>
  <c r="AG62" i="10"/>
  <c r="AG13" i="10"/>
  <c r="AG27" i="10"/>
  <c r="AG79" i="10"/>
  <c r="AG213" i="10"/>
  <c r="AG221" i="10"/>
  <c r="AG231" i="10"/>
  <c r="AG240" i="10"/>
  <c r="AG247" i="10"/>
  <c r="AG262" i="10"/>
  <c r="AG263" i="10"/>
  <c r="AG45" i="10"/>
  <c r="AG49" i="10"/>
  <c r="AG6" i="10"/>
  <c r="AG206" i="10"/>
  <c r="AG151" i="10"/>
  <c r="AG270" i="10"/>
  <c r="AG48" i="10"/>
  <c r="AG150" i="10"/>
  <c r="AG118" i="10"/>
  <c r="AG222" i="10"/>
  <c r="AG232" i="10"/>
  <c r="AG248" i="10"/>
  <c r="AG102" i="10"/>
  <c r="AG200" i="10"/>
  <c r="AG99" i="10"/>
  <c r="AG98" i="10"/>
  <c r="AG19" i="10"/>
  <c r="AG135" i="10"/>
  <c r="AG136" i="10"/>
  <c r="AG44" i="10"/>
  <c r="AG74" i="10"/>
  <c r="AG166" i="10"/>
  <c r="AG266" i="10"/>
  <c r="AG127" i="10"/>
  <c r="AG132" i="10"/>
  <c r="AG115" i="10"/>
  <c r="AG112" i="10"/>
  <c r="AG12" i="10"/>
  <c r="AG161" i="10"/>
  <c r="AG154" i="10"/>
  <c r="AG264" i="10"/>
  <c r="AG58" i="10"/>
  <c r="AG162" i="10"/>
  <c r="AG100" i="10"/>
  <c r="AG63" i="10"/>
  <c r="AG267" i="10"/>
  <c r="AG133" i="10"/>
  <c r="AG125" i="10"/>
  <c r="AG139" i="10"/>
  <c r="AG214" i="10"/>
  <c r="AG223" i="10"/>
  <c r="AG233" i="10"/>
  <c r="AG241" i="10"/>
  <c r="AG29" i="10"/>
  <c r="AG103" i="10"/>
  <c r="AG155" i="10"/>
  <c r="AG194" i="10"/>
  <c r="AG91" i="10"/>
  <c r="AG140" i="10"/>
  <c r="AG14" i="10"/>
  <c r="AG64" i="10"/>
  <c r="AG172" i="10"/>
  <c r="AG147" i="10"/>
  <c r="AG208" i="10"/>
  <c r="AG167" i="10"/>
  <c r="AG273" i="10"/>
  <c r="AG8" i="10"/>
  <c r="AG18" i="10"/>
  <c r="AG141" i="10"/>
  <c r="AG24" i="10"/>
  <c r="AG81" i="10"/>
  <c r="AG88" i="10"/>
  <c r="AG164" i="10"/>
  <c r="AG268" i="10"/>
  <c r="AG126" i="10"/>
  <c r="AG134" i="10"/>
  <c r="AG65" i="10"/>
  <c r="AG184" i="10"/>
  <c r="AG56" i="10"/>
  <c r="AG195" i="10"/>
  <c r="AG67" i="10"/>
  <c r="AG149" i="10"/>
  <c r="AG142" i="10"/>
  <c r="AG260" i="10"/>
  <c r="AG70" i="10"/>
  <c r="AG114" i="10"/>
  <c r="AG35" i="10"/>
  <c r="AG209" i="10"/>
  <c r="AG210" i="10"/>
  <c r="AG25" i="10"/>
  <c r="AG36" i="10"/>
  <c r="AG41" i="10"/>
  <c r="AG46" i="10"/>
  <c r="AG53" i="10"/>
  <c r="AG59" i="10"/>
  <c r="AG2" i="10"/>
  <c r="AG68" i="10"/>
  <c r="AG76" i="10"/>
  <c r="AG90" i="10"/>
  <c r="AG92" i="10"/>
  <c r="AG96" i="10"/>
  <c r="AG5" i="10"/>
  <c r="AG113" i="10"/>
  <c r="AG116" i="10"/>
  <c r="AG120" i="10"/>
  <c r="AG121" i="10"/>
  <c r="AG124" i="10"/>
  <c r="AG128" i="10"/>
  <c r="AG131" i="10"/>
  <c r="AG137" i="10"/>
  <c r="AG146" i="10"/>
  <c r="AG152" i="10"/>
  <c r="AG158" i="10"/>
  <c r="AG159" i="10"/>
  <c r="AG163" i="10"/>
  <c r="AG170" i="10"/>
  <c r="AG175" i="10"/>
  <c r="AG17" i="10"/>
  <c r="AG185" i="10"/>
  <c r="AG197" i="10"/>
  <c r="AG202" i="10"/>
  <c r="AG204" i="10"/>
  <c r="AG212" i="10"/>
  <c r="AG256" i="10"/>
  <c r="AG257" i="10"/>
  <c r="AG265" i="10"/>
  <c r="AG272" i="10"/>
  <c r="AG165" i="10"/>
  <c r="AG30" i="10"/>
  <c r="AG78" i="10"/>
  <c r="AG37" i="10"/>
  <c r="AG34" i="10"/>
  <c r="AG109" i="10"/>
  <c r="AG89" i="10"/>
  <c r="AG156" i="10"/>
  <c r="AG171" i="10"/>
  <c r="AG66" i="10"/>
  <c r="AG215" i="10"/>
  <c r="AG224" i="10"/>
  <c r="AG234" i="10"/>
  <c r="AG242" i="10"/>
  <c r="AG249" i="10"/>
  <c r="AG225" i="10"/>
  <c r="AG235" i="10"/>
  <c r="AG250" i="10"/>
  <c r="AG28" i="10"/>
  <c r="AG101" i="10"/>
  <c r="AG86" i="10"/>
  <c r="AG22" i="10"/>
  <c r="AG23" i="10"/>
  <c r="AG93" i="10"/>
  <c r="AG199" i="10"/>
  <c r="AG106" i="10"/>
  <c r="AG189" i="10"/>
  <c r="AG216" i="10"/>
  <c r="AG226" i="10"/>
  <c r="AG236" i="10"/>
  <c r="AG243" i="10"/>
  <c r="AG251" i="10"/>
  <c r="AG43" i="10"/>
  <c r="AG271" i="10"/>
  <c r="AG173" i="10"/>
  <c r="AG176" i="10"/>
  <c r="AG32" i="10"/>
  <c r="AG83" i="10"/>
  <c r="AG129" i="10"/>
  <c r="AG50" i="10"/>
  <c r="AG54" i="10"/>
  <c r="AG207" i="10"/>
  <c r="AG153" i="10"/>
  <c r="AG269" i="10"/>
  <c r="AG190" i="10"/>
  <c r="AG33" i="10"/>
  <c r="AG217" i="10"/>
  <c r="AG227" i="10"/>
  <c r="AG237" i="10"/>
  <c r="AG244" i="10"/>
  <c r="AG252" i="10"/>
  <c r="AG69" i="10"/>
  <c r="AG157" i="10"/>
  <c r="AG144" i="10"/>
  <c r="AG145" i="10"/>
  <c r="AG108" i="10"/>
  <c r="AG123" i="10"/>
  <c r="AG40" i="10"/>
  <c r="AG191" i="10"/>
  <c r="AG261" i="10"/>
  <c r="AG201" i="10"/>
  <c r="AG9" i="10"/>
  <c r="AG255" i="10"/>
  <c r="AG192" i="10"/>
  <c r="AG174" i="10"/>
  <c r="AG26" i="10"/>
  <c r="AG87" i="10"/>
  <c r="AG119" i="10"/>
  <c r="AG218" i="10"/>
  <c r="AG228" i="10"/>
  <c r="AG238" i="10"/>
  <c r="AG245" i="10"/>
  <c r="AG253" i="10"/>
  <c r="AG258" i="10"/>
  <c r="AG219" i="10"/>
  <c r="AG229" i="10"/>
  <c r="AG239" i="10"/>
  <c r="AG246" i="10"/>
  <c r="AG254" i="10"/>
  <c r="AG97" i="10"/>
  <c r="AG94" i="10"/>
  <c r="AG143" i="10"/>
  <c r="AG95" i="10"/>
  <c r="AG82" i="10"/>
  <c r="AG52" i="10"/>
  <c r="AG179" i="10"/>
  <c r="AG20" i="10"/>
  <c r="AG21" i="10"/>
  <c r="AG47" i="10"/>
  <c r="AG180" i="10"/>
  <c r="AG181" i="10"/>
  <c r="AG182" i="10"/>
  <c r="AG183" i="10"/>
  <c r="AZ134" i="10" l="1"/>
  <c r="BA134" i="10" s="1"/>
  <c r="AZ132" i="10"/>
  <c r="BA132" i="10" s="1"/>
  <c r="AX133" i="10"/>
  <c r="AY133" i="10" s="1"/>
  <c r="AZ133" i="10"/>
  <c r="BA133" i="10" s="1"/>
  <c r="AX134" i="10"/>
  <c r="AY134" i="10" s="1"/>
  <c r="AX132" i="10"/>
  <c r="AY132" i="10" s="1"/>
  <c r="AH73" i="10"/>
  <c r="AH71" i="10"/>
  <c r="AH72" i="10"/>
  <c r="BB132" i="10" l="1"/>
  <c r="BB134" i="10"/>
  <c r="BB133" i="10"/>
  <c r="AJ47" i="10"/>
  <c r="AK47" i="10" s="1"/>
  <c r="AL47" i="10"/>
  <c r="AM47" i="10" s="1"/>
  <c r="AJ48" i="10"/>
  <c r="AK48" i="10" s="1"/>
  <c r="AL48" i="10"/>
  <c r="AM48" i="10" s="1"/>
  <c r="AJ49" i="10"/>
  <c r="AK49" i="10" s="1"/>
  <c r="AL49" i="10"/>
  <c r="AM49" i="10" s="1"/>
  <c r="AJ50" i="10"/>
  <c r="AK50" i="10" s="1"/>
  <c r="AL50" i="10"/>
  <c r="AM50" i="10" s="1"/>
  <c r="AJ59" i="10"/>
  <c r="AK59" i="10" s="1"/>
  <c r="AL59" i="10"/>
  <c r="AM59" i="10" s="1"/>
  <c r="AJ60" i="10"/>
  <c r="AK60" i="10" s="1"/>
  <c r="AL60" i="10"/>
  <c r="AM60" i="10" s="1"/>
  <c r="AJ61" i="10"/>
  <c r="AK61" i="10" s="1"/>
  <c r="AL61" i="10"/>
  <c r="AM61" i="10" s="1"/>
  <c r="AJ62" i="10"/>
  <c r="AK62" i="10" s="1"/>
  <c r="AL62" i="10"/>
  <c r="AM62" i="10" s="1"/>
  <c r="AJ63" i="10"/>
  <c r="AK63" i="10" s="1"/>
  <c r="AL63" i="10"/>
  <c r="AM63" i="10" s="1"/>
  <c r="AJ64" i="10"/>
  <c r="AK64" i="10" s="1"/>
  <c r="AL64" i="10"/>
  <c r="AM64" i="10" s="1"/>
  <c r="AJ65" i="10"/>
  <c r="AK65" i="10" s="1"/>
  <c r="AL65" i="10"/>
  <c r="AM65" i="10" s="1"/>
  <c r="AJ66" i="10"/>
  <c r="AK66" i="10" s="1"/>
  <c r="AL66" i="10"/>
  <c r="AM66" i="10" s="1"/>
  <c r="AJ111" i="10"/>
  <c r="AK111" i="10" s="1"/>
  <c r="AL111" i="10"/>
  <c r="AM111" i="10" s="1"/>
  <c r="AJ36" i="10"/>
  <c r="AK36" i="10" s="1"/>
  <c r="AL36" i="10"/>
  <c r="AM36" i="10" s="1"/>
  <c r="AJ37" i="10"/>
  <c r="AK37" i="10" s="1"/>
  <c r="AL37" i="10"/>
  <c r="AM37" i="10" s="1"/>
  <c r="AJ38" i="10"/>
  <c r="AK38" i="10" s="1"/>
  <c r="AL38" i="10"/>
  <c r="AM38" i="10" s="1"/>
  <c r="AJ39" i="10"/>
  <c r="AK39" i="10" s="1"/>
  <c r="AL39" i="10"/>
  <c r="AM39" i="10" s="1"/>
  <c r="AJ40" i="10"/>
  <c r="AK40" i="10" s="1"/>
  <c r="AL40" i="10"/>
  <c r="AM40" i="10" s="1"/>
  <c r="AJ52" i="10"/>
  <c r="AK52" i="10" s="1"/>
  <c r="AL52" i="10"/>
  <c r="AM52" i="10" s="1"/>
  <c r="AJ120" i="10"/>
  <c r="AK120" i="10" s="1"/>
  <c r="AL120" i="10"/>
  <c r="AM120" i="10" s="1"/>
  <c r="AJ75" i="10"/>
  <c r="AK75" i="10" s="1"/>
  <c r="AL75" i="10"/>
  <c r="AM75" i="10" s="1"/>
  <c r="AJ256" i="10"/>
  <c r="AK256" i="10" s="1"/>
  <c r="AL256" i="10"/>
  <c r="AM256" i="10" s="1"/>
  <c r="AJ112" i="10"/>
  <c r="AK112" i="10" s="1"/>
  <c r="AL112" i="10"/>
  <c r="AM112" i="10" s="1"/>
  <c r="AJ159" i="10"/>
  <c r="AK159" i="10" s="1"/>
  <c r="AL159" i="10"/>
  <c r="AM159" i="10" s="1"/>
  <c r="AJ160" i="10"/>
  <c r="AK160" i="10" s="1"/>
  <c r="AL160" i="10"/>
  <c r="AM160" i="10" s="1"/>
  <c r="AJ161" i="10"/>
  <c r="AK161" i="10" s="1"/>
  <c r="AL161" i="10"/>
  <c r="AM161" i="10" s="1"/>
  <c r="AJ257" i="10"/>
  <c r="AK257" i="10" s="1"/>
  <c r="AL257" i="10"/>
  <c r="AM257" i="10" s="1"/>
  <c r="AJ258" i="10"/>
  <c r="AK258" i="10" s="1"/>
  <c r="AL258" i="10"/>
  <c r="AM258" i="10" s="1"/>
  <c r="AJ259" i="10"/>
  <c r="AK259" i="10" s="1"/>
  <c r="AL259" i="10"/>
  <c r="AM259" i="10" s="1"/>
  <c r="AJ260" i="10"/>
  <c r="AK260" i="10" s="1"/>
  <c r="AL260" i="10"/>
  <c r="AM260" i="10" s="1"/>
  <c r="AJ261" i="10"/>
  <c r="AK261" i="10" s="1"/>
  <c r="AL261" i="10"/>
  <c r="AM261" i="10" s="1"/>
  <c r="AJ170" i="10"/>
  <c r="AK170" i="10" s="1"/>
  <c r="AL170" i="10"/>
  <c r="AM170" i="10" s="1"/>
  <c r="AJ171" i="10"/>
  <c r="AK171" i="10" s="1"/>
  <c r="AL171" i="10"/>
  <c r="AM171" i="10" s="1"/>
  <c r="AJ172" i="10"/>
  <c r="AK172" i="10" s="1"/>
  <c r="AL172" i="10"/>
  <c r="AM172" i="10" s="1"/>
  <c r="AJ173" i="10"/>
  <c r="AK173" i="10" s="1"/>
  <c r="AL173" i="10"/>
  <c r="AM173" i="10" s="1"/>
  <c r="AJ174" i="10"/>
  <c r="AK174" i="10" s="1"/>
  <c r="AL174" i="10"/>
  <c r="AM174" i="10" s="1"/>
  <c r="AJ124" i="10"/>
  <c r="AK124" i="10" s="1"/>
  <c r="AL124" i="10"/>
  <c r="AM124" i="10" s="1"/>
  <c r="AJ125" i="10"/>
  <c r="AK125" i="10" s="1"/>
  <c r="AL125" i="10"/>
  <c r="AM125" i="10" s="1"/>
  <c r="AJ126" i="10"/>
  <c r="AK126" i="10" s="1"/>
  <c r="AL126" i="10"/>
  <c r="AM126" i="10" s="1"/>
  <c r="AJ127" i="10"/>
  <c r="AK127" i="10" s="1"/>
  <c r="AL127" i="10"/>
  <c r="AM127" i="10" s="1"/>
  <c r="AJ113" i="10"/>
  <c r="AK113" i="10" s="1"/>
  <c r="AL113" i="10"/>
  <c r="AM113" i="10" s="1"/>
  <c r="AJ41" i="10"/>
  <c r="AK41" i="10" s="1"/>
  <c r="AL41" i="10"/>
  <c r="AM41" i="10" s="1"/>
  <c r="AJ42" i="10"/>
  <c r="AK42" i="10" s="1"/>
  <c r="AL42" i="10"/>
  <c r="AM42" i="10" s="1"/>
  <c r="AJ43" i="10"/>
  <c r="AK43" i="10" s="1"/>
  <c r="AL43" i="10"/>
  <c r="AM43" i="10" s="1"/>
  <c r="AJ44" i="10"/>
  <c r="AK44" i="10" s="1"/>
  <c r="AL44" i="10"/>
  <c r="AM44" i="10" s="1"/>
  <c r="AJ45" i="10"/>
  <c r="AK45" i="10" s="1"/>
  <c r="AL45" i="10"/>
  <c r="AM45" i="10" s="1"/>
  <c r="AJ130" i="10"/>
  <c r="AK130" i="10" s="1"/>
  <c r="AL130" i="10"/>
  <c r="AM130" i="10" s="1"/>
  <c r="AJ147" i="10"/>
  <c r="AK147" i="10" s="1"/>
  <c r="AL147" i="10"/>
  <c r="AM147" i="10" s="1"/>
  <c r="AJ169" i="10"/>
  <c r="AK169" i="10" s="1"/>
  <c r="AL169" i="10"/>
  <c r="AM169" i="10" s="1"/>
  <c r="AJ184" i="10"/>
  <c r="AK184" i="10" s="1"/>
  <c r="AL184" i="10"/>
  <c r="AM184" i="10" s="1"/>
  <c r="AJ128" i="10"/>
  <c r="AK128" i="10" s="1"/>
  <c r="AL128" i="10"/>
  <c r="AM128" i="10" s="1"/>
  <c r="AJ135" i="10"/>
  <c r="AK135" i="10" s="1"/>
  <c r="AL135" i="10"/>
  <c r="AM135" i="10" s="1"/>
  <c r="AJ136" i="10"/>
  <c r="AK136" i="10" s="1"/>
  <c r="AL136" i="10"/>
  <c r="AM136" i="10" s="1"/>
  <c r="AJ213" i="10"/>
  <c r="AK213" i="10" s="1"/>
  <c r="AL213" i="10"/>
  <c r="AM213" i="10" s="1"/>
  <c r="AJ215" i="10"/>
  <c r="AK215" i="10" s="1"/>
  <c r="AL215" i="10"/>
  <c r="AM215" i="10" s="1"/>
  <c r="AJ217" i="10"/>
  <c r="AK217" i="10" s="1"/>
  <c r="AL217" i="10"/>
  <c r="AM217" i="10" s="1"/>
  <c r="AJ218" i="10"/>
  <c r="AK218" i="10" s="1"/>
  <c r="AL218" i="10"/>
  <c r="AM218" i="10" s="1"/>
  <c r="AJ219" i="10"/>
  <c r="AK219" i="10" s="1"/>
  <c r="AL219" i="10"/>
  <c r="AM219" i="10" s="1"/>
  <c r="AJ212" i="10"/>
  <c r="AK212" i="10" s="1"/>
  <c r="AL212" i="10"/>
  <c r="AM212" i="10" s="1"/>
  <c r="AJ121" i="10"/>
  <c r="AK121" i="10" s="1"/>
  <c r="AL121" i="10"/>
  <c r="AM121" i="10" s="1"/>
  <c r="AJ122" i="10"/>
  <c r="AK122" i="10" s="1"/>
  <c r="AL122" i="10"/>
  <c r="AM122" i="10" s="1"/>
  <c r="AJ123" i="10"/>
  <c r="AK123" i="10" s="1"/>
  <c r="AL123" i="10"/>
  <c r="AM123" i="10" s="1"/>
  <c r="AJ162" i="10"/>
  <c r="AK162" i="10" s="1"/>
  <c r="AL162" i="10"/>
  <c r="AM162" i="10" s="1"/>
  <c r="AJ5" i="10"/>
  <c r="AK5" i="10" s="1"/>
  <c r="AL5" i="10"/>
  <c r="AM5" i="10" s="1"/>
  <c r="AJ6" i="10"/>
  <c r="AK6" i="10" s="1"/>
  <c r="AL6" i="10"/>
  <c r="AM6" i="10" s="1"/>
  <c r="AJ7" i="10"/>
  <c r="AK7" i="10" s="1"/>
  <c r="AL7" i="10"/>
  <c r="AM7" i="10" s="1"/>
  <c r="AJ8" i="10"/>
  <c r="AK8" i="10" s="1"/>
  <c r="AL8" i="10"/>
  <c r="AM8" i="10" s="1"/>
  <c r="AJ15" i="10"/>
  <c r="AK15" i="10" s="1"/>
  <c r="AL15" i="10"/>
  <c r="AM15" i="10" s="1"/>
  <c r="AJ9" i="10"/>
  <c r="AK9" i="10" s="1"/>
  <c r="AL9" i="10"/>
  <c r="AM9" i="10" s="1"/>
  <c r="AJ10" i="10"/>
  <c r="AK10" i="10" s="1"/>
  <c r="AL10" i="10"/>
  <c r="AM10" i="10" s="1"/>
  <c r="AJ11" i="10"/>
  <c r="AK11" i="10" s="1"/>
  <c r="AL11" i="10"/>
  <c r="AM11" i="10" s="1"/>
  <c r="AJ12" i="10"/>
  <c r="AK12" i="10" s="1"/>
  <c r="AL12" i="10"/>
  <c r="AM12" i="10" s="1"/>
  <c r="AJ13" i="10"/>
  <c r="AK13" i="10" s="1"/>
  <c r="AL13" i="10"/>
  <c r="AM13" i="10" s="1"/>
  <c r="AJ14" i="10"/>
  <c r="AK14" i="10" s="1"/>
  <c r="AL14" i="10"/>
  <c r="AM14" i="10" s="1"/>
  <c r="AJ158" i="10"/>
  <c r="AK158" i="10" s="1"/>
  <c r="AL158" i="10"/>
  <c r="AM158" i="10" s="1"/>
  <c r="AJ185" i="10"/>
  <c r="AK185" i="10" s="1"/>
  <c r="AL185" i="10"/>
  <c r="AM185" i="10" s="1"/>
  <c r="AJ186" i="10"/>
  <c r="AK186" i="10" s="1"/>
  <c r="AL186" i="10"/>
  <c r="AM186" i="10" s="1"/>
  <c r="AJ187" i="10"/>
  <c r="AK187" i="10" s="1"/>
  <c r="AL187" i="10"/>
  <c r="AM187" i="10" s="1"/>
  <c r="AJ188" i="10"/>
  <c r="AK188" i="10" s="1"/>
  <c r="AL188" i="10"/>
  <c r="AM188" i="10" s="1"/>
  <c r="AJ189" i="10"/>
  <c r="AK189" i="10" s="1"/>
  <c r="AL189" i="10"/>
  <c r="AM189" i="10" s="1"/>
  <c r="AJ190" i="10"/>
  <c r="AK190" i="10" s="1"/>
  <c r="AL190" i="10"/>
  <c r="AM190" i="10" s="1"/>
  <c r="AJ191" i="10"/>
  <c r="AK191" i="10" s="1"/>
  <c r="AL191" i="10"/>
  <c r="AM191" i="10" s="1"/>
  <c r="AJ192" i="10"/>
  <c r="AK192" i="10" s="1"/>
  <c r="AL192" i="10"/>
  <c r="AM192" i="10" s="1"/>
  <c r="AJ272" i="10"/>
  <c r="AK272" i="10" s="1"/>
  <c r="AL272" i="10"/>
  <c r="AM272" i="10" s="1"/>
  <c r="AJ137" i="10"/>
  <c r="AK137" i="10" s="1"/>
  <c r="AL137" i="10"/>
  <c r="AM137" i="10" s="1"/>
  <c r="AJ138" i="10"/>
  <c r="AK138" i="10" s="1"/>
  <c r="AL138" i="10"/>
  <c r="AM138" i="10" s="1"/>
  <c r="AJ139" i="10"/>
  <c r="AK139" i="10" s="1"/>
  <c r="AL139" i="10"/>
  <c r="AM139" i="10" s="1"/>
  <c r="AJ140" i="10"/>
  <c r="AK140" i="10" s="1"/>
  <c r="AL140" i="10"/>
  <c r="AM140" i="10" s="1"/>
  <c r="AJ141" i="10"/>
  <c r="AK141" i="10" s="1"/>
  <c r="AL141" i="10"/>
  <c r="AM141" i="10" s="1"/>
  <c r="AJ142" i="10"/>
  <c r="AK142" i="10" s="1"/>
  <c r="AL142" i="10"/>
  <c r="AM142" i="10" s="1"/>
  <c r="AJ143" i="10"/>
  <c r="AK143" i="10" s="1"/>
  <c r="AL143" i="10"/>
  <c r="AM143" i="10" s="1"/>
  <c r="AJ144" i="10"/>
  <c r="AK144" i="10" s="1"/>
  <c r="AL144" i="10"/>
  <c r="AM144" i="10" s="1"/>
  <c r="AJ145" i="10"/>
  <c r="AK145" i="10" s="1"/>
  <c r="AL145" i="10"/>
  <c r="AM145" i="10" s="1"/>
  <c r="AJ202" i="10"/>
  <c r="AK202" i="10" s="1"/>
  <c r="AL202" i="10"/>
  <c r="AM202" i="10" s="1"/>
  <c r="AJ220" i="10"/>
  <c r="AK220" i="10" s="1"/>
  <c r="AL220" i="10"/>
  <c r="AM220" i="10" s="1"/>
  <c r="AJ221" i="10"/>
  <c r="AK221" i="10" s="1"/>
  <c r="AL221" i="10"/>
  <c r="AM221" i="10" s="1"/>
  <c r="AJ222" i="10"/>
  <c r="AK222" i="10" s="1"/>
  <c r="AL222" i="10"/>
  <c r="AM222" i="10" s="1"/>
  <c r="AJ223" i="10"/>
  <c r="AK223" i="10" s="1"/>
  <c r="AL223" i="10"/>
  <c r="AM223" i="10" s="1"/>
  <c r="AJ224" i="10"/>
  <c r="AK224" i="10" s="1"/>
  <c r="AL224" i="10"/>
  <c r="AM224" i="10" s="1"/>
  <c r="AJ225" i="10"/>
  <c r="AK225" i="10" s="1"/>
  <c r="AL225" i="10"/>
  <c r="AM225" i="10" s="1"/>
  <c r="AJ226" i="10"/>
  <c r="AK226" i="10" s="1"/>
  <c r="AL226" i="10"/>
  <c r="AM226" i="10" s="1"/>
  <c r="AJ227" i="10"/>
  <c r="AK227" i="10" s="1"/>
  <c r="AL227" i="10"/>
  <c r="AM227" i="10" s="1"/>
  <c r="AJ228" i="10"/>
  <c r="AK228" i="10" s="1"/>
  <c r="AL228" i="10"/>
  <c r="AM228" i="10" s="1"/>
  <c r="AJ229" i="10"/>
  <c r="AK229" i="10" s="1"/>
  <c r="AL229" i="10"/>
  <c r="AM229" i="10" s="1"/>
  <c r="AJ255" i="10"/>
  <c r="AK255" i="10" s="1"/>
  <c r="AL255" i="10"/>
  <c r="AM255" i="10" s="1"/>
  <c r="AJ273" i="10"/>
  <c r="AK273" i="10" s="1"/>
  <c r="AL273" i="10"/>
  <c r="AM273" i="10" s="1"/>
  <c r="AJ230" i="10"/>
  <c r="AK230" i="10" s="1"/>
  <c r="AL230" i="10"/>
  <c r="AM230" i="10" s="1"/>
  <c r="AJ231" i="10"/>
  <c r="AK231" i="10" s="1"/>
  <c r="AL231" i="10"/>
  <c r="AM231" i="10" s="1"/>
  <c r="AJ232" i="10"/>
  <c r="AK232" i="10" s="1"/>
  <c r="AL232" i="10"/>
  <c r="AM232" i="10" s="1"/>
  <c r="AJ233" i="10"/>
  <c r="AK233" i="10" s="1"/>
  <c r="AL233" i="10"/>
  <c r="AM233" i="10" s="1"/>
  <c r="AJ234" i="10"/>
  <c r="AK234" i="10" s="1"/>
  <c r="AL234" i="10"/>
  <c r="AM234" i="10" s="1"/>
  <c r="AJ235" i="10"/>
  <c r="AK235" i="10" s="1"/>
  <c r="AL235" i="10"/>
  <c r="AM235" i="10" s="1"/>
  <c r="AJ236" i="10"/>
  <c r="AK236" i="10" s="1"/>
  <c r="AL236" i="10"/>
  <c r="AM236" i="10" s="1"/>
  <c r="AJ237" i="10"/>
  <c r="AK237" i="10" s="1"/>
  <c r="AL237" i="10"/>
  <c r="AM237" i="10" s="1"/>
  <c r="AJ238" i="10"/>
  <c r="AK238" i="10" s="1"/>
  <c r="AL238" i="10"/>
  <c r="AM238" i="10" s="1"/>
  <c r="AJ239" i="10"/>
  <c r="AK239" i="10" s="1"/>
  <c r="AL239" i="10"/>
  <c r="AM239" i="10" s="1"/>
  <c r="AJ152" i="10"/>
  <c r="AK152" i="10" s="1"/>
  <c r="AL152" i="10"/>
  <c r="AM152" i="10" s="1"/>
  <c r="AJ153" i="10"/>
  <c r="AK153" i="10" s="1"/>
  <c r="AL153" i="10"/>
  <c r="AM153" i="10" s="1"/>
  <c r="AJ154" i="10"/>
  <c r="AK154" i="10" s="1"/>
  <c r="AL154" i="10"/>
  <c r="AM154" i="10" s="1"/>
  <c r="AJ155" i="10"/>
  <c r="AK155" i="10" s="1"/>
  <c r="AL155" i="10"/>
  <c r="AM155" i="10" s="1"/>
  <c r="AJ156" i="10"/>
  <c r="AK156" i="10" s="1"/>
  <c r="AL156" i="10"/>
  <c r="AM156" i="10" s="1"/>
  <c r="AJ92" i="10"/>
  <c r="AK92" i="10" s="1"/>
  <c r="AL92" i="10"/>
  <c r="AM92" i="10" s="1"/>
  <c r="AJ93" i="10"/>
  <c r="AK93" i="10" s="1"/>
  <c r="AL93" i="10"/>
  <c r="AM93" i="10" s="1"/>
  <c r="AJ94" i="10"/>
  <c r="AK94" i="10" s="1"/>
  <c r="AL94" i="10"/>
  <c r="AM94" i="10" s="1"/>
  <c r="AJ95" i="10"/>
  <c r="AK95" i="10" s="1"/>
  <c r="AL95" i="10"/>
  <c r="AM95" i="10" s="1"/>
  <c r="AJ68" i="10"/>
  <c r="AK68" i="10" s="1"/>
  <c r="AL68" i="10"/>
  <c r="AM68" i="10" s="1"/>
  <c r="AJ69" i="10"/>
  <c r="AK69" i="10" s="1"/>
  <c r="AL69" i="10"/>
  <c r="AM69" i="10" s="1"/>
  <c r="AJ70" i="10"/>
  <c r="AK70" i="10" s="1"/>
  <c r="AL70" i="10"/>
  <c r="AM70" i="10" s="1"/>
  <c r="AJ71" i="10"/>
  <c r="AK71" i="10" s="1"/>
  <c r="AL71" i="10"/>
  <c r="AM71" i="10" s="1"/>
  <c r="AJ72" i="10"/>
  <c r="AK72" i="10" s="1"/>
  <c r="AL72" i="10"/>
  <c r="AM72" i="10" s="1"/>
  <c r="AJ73" i="10"/>
  <c r="AK73" i="10" s="1"/>
  <c r="AL73" i="10"/>
  <c r="AM73" i="10" s="1"/>
  <c r="AJ74" i="10"/>
  <c r="AK74" i="10" s="1"/>
  <c r="AL74" i="10"/>
  <c r="AM74" i="10" s="1"/>
  <c r="AJ163" i="10"/>
  <c r="AK163" i="10" s="1"/>
  <c r="AL163" i="10"/>
  <c r="AM163" i="10" s="1"/>
  <c r="AJ240" i="10"/>
  <c r="AK240" i="10" s="1"/>
  <c r="AL240" i="10"/>
  <c r="AM240" i="10" s="1"/>
  <c r="AJ241" i="10"/>
  <c r="AK241" i="10" s="1"/>
  <c r="AL241" i="10"/>
  <c r="AM241" i="10" s="1"/>
  <c r="AJ242" i="10"/>
  <c r="AK242" i="10" s="1"/>
  <c r="AL242" i="10"/>
  <c r="AM242" i="10" s="1"/>
  <c r="AJ243" i="10"/>
  <c r="AK243" i="10" s="1"/>
  <c r="AL243" i="10"/>
  <c r="AM243" i="10" s="1"/>
  <c r="AJ244" i="10"/>
  <c r="AK244" i="10" s="1"/>
  <c r="AL244" i="10"/>
  <c r="AM244" i="10" s="1"/>
  <c r="AJ245" i="10"/>
  <c r="AK245" i="10" s="1"/>
  <c r="AL245" i="10"/>
  <c r="AM245" i="10" s="1"/>
  <c r="AJ246" i="10"/>
  <c r="AK246" i="10" s="1"/>
  <c r="AL246" i="10"/>
  <c r="AM246" i="10" s="1"/>
  <c r="AJ2" i="10"/>
  <c r="AK2" i="10" s="1"/>
  <c r="AL2" i="10"/>
  <c r="AM2" i="10" s="1"/>
  <c r="AJ25" i="10"/>
  <c r="AK25" i="10" s="1"/>
  <c r="AL25" i="10"/>
  <c r="AM25" i="10" s="1"/>
  <c r="AJ26" i="10"/>
  <c r="AK26" i="10" s="1"/>
  <c r="AL26" i="10"/>
  <c r="AM26" i="10" s="1"/>
  <c r="AJ27" i="10"/>
  <c r="AK27" i="10" s="1"/>
  <c r="AL27" i="10"/>
  <c r="AM27" i="10" s="1"/>
  <c r="AJ28" i="10"/>
  <c r="AK28" i="10" s="1"/>
  <c r="AL28" i="10"/>
  <c r="AM28" i="10" s="1"/>
  <c r="AJ29" i="10"/>
  <c r="AK29" i="10" s="1"/>
  <c r="AL29" i="10"/>
  <c r="AM29" i="10" s="1"/>
  <c r="AJ30" i="10"/>
  <c r="AK30" i="10" s="1"/>
  <c r="AL30" i="10"/>
  <c r="AM30" i="10" s="1"/>
  <c r="AJ31" i="10"/>
  <c r="AK31" i="10" s="1"/>
  <c r="AL31" i="10"/>
  <c r="AM31" i="10" s="1"/>
  <c r="AJ32" i="10"/>
  <c r="AK32" i="10" s="1"/>
  <c r="AL32" i="10"/>
  <c r="AM32" i="10" s="1"/>
  <c r="AJ33" i="10"/>
  <c r="AK33" i="10" s="1"/>
  <c r="AL33" i="10"/>
  <c r="AM33" i="10" s="1"/>
  <c r="AJ34" i="10"/>
  <c r="AK34" i="10" s="1"/>
  <c r="AL34" i="10"/>
  <c r="AM34" i="10" s="1"/>
  <c r="AJ35" i="10"/>
  <c r="AK35" i="10" s="1"/>
  <c r="AL35" i="10"/>
  <c r="AM35" i="10" s="1"/>
  <c r="AJ76" i="10"/>
  <c r="AK76" i="10" s="1"/>
  <c r="AL76" i="10"/>
  <c r="AM76" i="10" s="1"/>
  <c r="AJ77" i="10"/>
  <c r="AK77" i="10" s="1"/>
  <c r="AL77" i="10"/>
  <c r="AM77" i="10" s="1"/>
  <c r="AJ78" i="10"/>
  <c r="AK78" i="10" s="1"/>
  <c r="AL78" i="10"/>
  <c r="AM78" i="10" s="1"/>
  <c r="AJ79" i="10"/>
  <c r="AK79" i="10" s="1"/>
  <c r="AL79" i="10"/>
  <c r="AM79" i="10" s="1"/>
  <c r="AJ80" i="10"/>
  <c r="AK80" i="10" s="1"/>
  <c r="AL80" i="10"/>
  <c r="AM80" i="10" s="1"/>
  <c r="AJ81" i="10"/>
  <c r="AK81" i="10" s="1"/>
  <c r="AL81" i="10"/>
  <c r="AM81" i="10" s="1"/>
  <c r="AJ82" i="10"/>
  <c r="AK82" i="10" s="1"/>
  <c r="AL82" i="10"/>
  <c r="AM82" i="10" s="1"/>
  <c r="AJ83" i="10"/>
  <c r="AK83" i="10" s="1"/>
  <c r="AL83" i="10"/>
  <c r="AM83" i="10" s="1"/>
  <c r="AJ84" i="10"/>
  <c r="AK84" i="10" s="1"/>
  <c r="AL84" i="10"/>
  <c r="AM84" i="10" s="1"/>
  <c r="AJ85" i="10"/>
  <c r="AK85" i="10" s="1"/>
  <c r="AL85" i="10"/>
  <c r="AM85" i="10" s="1"/>
  <c r="AJ86" i="10"/>
  <c r="AK86" i="10" s="1"/>
  <c r="AL86" i="10"/>
  <c r="AM86" i="10" s="1"/>
  <c r="AJ87" i="10"/>
  <c r="AK87" i="10" s="1"/>
  <c r="AL87" i="10"/>
  <c r="AM87" i="10" s="1"/>
  <c r="AJ88" i="10"/>
  <c r="AK88" i="10" s="1"/>
  <c r="AL88" i="10"/>
  <c r="AM88" i="10" s="1"/>
  <c r="AJ89" i="10"/>
  <c r="AK89" i="10" s="1"/>
  <c r="AL89" i="10"/>
  <c r="AM89" i="10" s="1"/>
  <c r="AJ96" i="10"/>
  <c r="AK96" i="10" s="1"/>
  <c r="AL96" i="10"/>
  <c r="AM96" i="10" s="1"/>
  <c r="AJ97" i="10"/>
  <c r="AK97" i="10" s="1"/>
  <c r="AL97" i="10"/>
  <c r="AM97" i="10" s="1"/>
  <c r="AJ98" i="10"/>
  <c r="AK98" i="10" s="1"/>
  <c r="AL98" i="10"/>
  <c r="AM98" i="10" s="1"/>
  <c r="AJ99" i="10"/>
  <c r="AK99" i="10" s="1"/>
  <c r="AL99" i="10"/>
  <c r="AM99" i="10" s="1"/>
  <c r="AJ100" i="10"/>
  <c r="AK100" i="10" s="1"/>
  <c r="AL100" i="10"/>
  <c r="AM100" i="10" s="1"/>
  <c r="AJ101" i="10"/>
  <c r="AK101" i="10" s="1"/>
  <c r="AL101" i="10"/>
  <c r="AM101" i="10" s="1"/>
  <c r="AJ102" i="10"/>
  <c r="AK102" i="10" s="1"/>
  <c r="AL102" i="10"/>
  <c r="AM102" i="10" s="1"/>
  <c r="AJ103" i="10"/>
  <c r="AK103" i="10" s="1"/>
  <c r="AL103" i="10"/>
  <c r="AM103" i="10" s="1"/>
  <c r="AJ104" i="10"/>
  <c r="AK104" i="10" s="1"/>
  <c r="AL104" i="10"/>
  <c r="AM104" i="10" s="1"/>
  <c r="AJ105" i="10"/>
  <c r="AK105" i="10" s="1"/>
  <c r="AL105" i="10"/>
  <c r="AM105" i="10" s="1"/>
  <c r="AJ106" i="10"/>
  <c r="AK106" i="10" s="1"/>
  <c r="AL106" i="10"/>
  <c r="AM106" i="10" s="1"/>
  <c r="AJ107" i="10"/>
  <c r="AK107" i="10" s="1"/>
  <c r="AL107" i="10"/>
  <c r="AM107" i="10" s="1"/>
  <c r="AJ108" i="10"/>
  <c r="AK108" i="10" s="1"/>
  <c r="AL108" i="10"/>
  <c r="AM108" i="10" s="1"/>
  <c r="AJ109" i="10"/>
  <c r="AK109" i="10" s="1"/>
  <c r="AL109" i="10"/>
  <c r="AM109" i="10" s="1"/>
  <c r="AJ110" i="10"/>
  <c r="AK110" i="10" s="1"/>
  <c r="AL110" i="10"/>
  <c r="AM110" i="10" s="1"/>
  <c r="AJ131" i="10"/>
  <c r="AK131" i="10" s="1"/>
  <c r="AL131" i="10"/>
  <c r="AM131" i="10" s="1"/>
  <c r="AJ133" i="10"/>
  <c r="AK133" i="10" s="1"/>
  <c r="AL133" i="10"/>
  <c r="AM133" i="10" s="1"/>
  <c r="AJ146" i="10"/>
  <c r="AK146" i="10" s="1"/>
  <c r="AL146" i="10"/>
  <c r="AM146" i="10" s="1"/>
  <c r="AJ265" i="10"/>
  <c r="AK265" i="10" s="1"/>
  <c r="AL265" i="10"/>
  <c r="AM265" i="10" s="1"/>
  <c r="AJ116" i="10"/>
  <c r="AK116" i="10" s="1"/>
  <c r="AL116" i="10"/>
  <c r="AM116" i="10" s="1"/>
  <c r="AJ197" i="10"/>
  <c r="AK197" i="10" s="1"/>
  <c r="AL197" i="10"/>
  <c r="AM197" i="10" s="1"/>
  <c r="AJ20" i="10"/>
  <c r="AK20" i="10" s="1"/>
  <c r="AL20" i="10"/>
  <c r="AM20" i="10" s="1"/>
  <c r="AJ21" i="10"/>
  <c r="AK21" i="10" s="1"/>
  <c r="AL21" i="10"/>
  <c r="AM21" i="10" s="1"/>
  <c r="AJ19" i="10"/>
  <c r="AK19" i="10" s="1"/>
  <c r="AL19" i="10"/>
  <c r="AM19" i="10" s="1"/>
  <c r="AJ90" i="10"/>
  <c r="AK90" i="10" s="1"/>
  <c r="AL90" i="10"/>
  <c r="AM90" i="10" s="1"/>
  <c r="AJ53" i="10"/>
  <c r="AK53" i="10" s="1"/>
  <c r="AL53" i="10"/>
  <c r="AM53" i="10" s="1"/>
  <c r="AJ54" i="10"/>
  <c r="AK54" i="10" s="1"/>
  <c r="AL54" i="10"/>
  <c r="AM54" i="10" s="1"/>
  <c r="AJ55" i="10"/>
  <c r="AK55" i="10" s="1"/>
  <c r="AL55" i="10"/>
  <c r="AM55" i="10" s="1"/>
  <c r="AJ56" i="10"/>
  <c r="AK56" i="10" s="1"/>
  <c r="AL56" i="10"/>
  <c r="AM56" i="10" s="1"/>
  <c r="AJ57" i="10"/>
  <c r="AK57" i="10" s="1"/>
  <c r="AL57" i="10"/>
  <c r="AM57" i="10" s="1"/>
  <c r="AJ193" i="10"/>
  <c r="AK193" i="10" s="1"/>
  <c r="AL193" i="10"/>
  <c r="AM193" i="10" s="1"/>
  <c r="AJ203" i="10"/>
  <c r="AK203" i="10" s="1"/>
  <c r="AL203" i="10"/>
  <c r="AM203" i="10" s="1"/>
  <c r="AJ204" i="10"/>
  <c r="AK204" i="10" s="1"/>
  <c r="AL204" i="10"/>
  <c r="AM204" i="10" s="1"/>
  <c r="AJ205" i="10"/>
  <c r="AK205" i="10" s="1"/>
  <c r="AL205" i="10"/>
  <c r="AM205" i="10" s="1"/>
  <c r="AJ206" i="10"/>
  <c r="AK206" i="10" s="1"/>
  <c r="AL206" i="10"/>
  <c r="AM206" i="10" s="1"/>
  <c r="AJ207" i="10"/>
  <c r="AK207" i="10" s="1"/>
  <c r="AL207" i="10"/>
  <c r="AM207" i="10" s="1"/>
  <c r="AJ208" i="10"/>
  <c r="AK208" i="10" s="1"/>
  <c r="AL208" i="10"/>
  <c r="AM208" i="10" s="1"/>
  <c r="AJ209" i="10"/>
  <c r="AK209" i="10" s="1"/>
  <c r="AL209" i="10"/>
  <c r="AM209" i="10" s="1"/>
  <c r="AJ210" i="10"/>
  <c r="AK210" i="10" s="1"/>
  <c r="AL210" i="10"/>
  <c r="AM210" i="10" s="1"/>
  <c r="AJ24" i="10"/>
  <c r="AK24" i="10" s="1"/>
  <c r="AL24" i="10"/>
  <c r="AM24" i="10" s="1"/>
  <c r="AJ179" i="10"/>
  <c r="AK179" i="10" s="1"/>
  <c r="AL179" i="10"/>
  <c r="AM179" i="10" s="1"/>
  <c r="AJ17" i="10"/>
  <c r="AK17" i="10" s="1"/>
  <c r="AL17" i="10"/>
  <c r="AM17" i="10" s="1"/>
  <c r="AJ129" i="10"/>
  <c r="AK129" i="10" s="1"/>
  <c r="AL129" i="10"/>
  <c r="AM129" i="10" s="1"/>
  <c r="AJ175" i="10"/>
  <c r="AK175" i="10" s="1"/>
  <c r="AL175" i="10"/>
  <c r="AM175" i="10" s="1"/>
  <c r="AL46" i="10"/>
  <c r="AM46" i="10" s="1"/>
  <c r="AJ46" i="10"/>
  <c r="AK46" i="10" s="1"/>
  <c r="AI46" i="10"/>
  <c r="AI47" i="10"/>
  <c r="AI48" i="10"/>
  <c r="AI49" i="10"/>
  <c r="AI50" i="10"/>
  <c r="AI59" i="10"/>
  <c r="AI60" i="10"/>
  <c r="AI61" i="10"/>
  <c r="AI62" i="10"/>
  <c r="AI63" i="10"/>
  <c r="AI64" i="10"/>
  <c r="AI65" i="10"/>
  <c r="AI66" i="10"/>
  <c r="AI111" i="10"/>
  <c r="AI36" i="10"/>
  <c r="AI37" i="10"/>
  <c r="AI38" i="10"/>
  <c r="AI39" i="10"/>
  <c r="AI40" i="10"/>
  <c r="AI52" i="10"/>
  <c r="AI120" i="10"/>
  <c r="AI75" i="10"/>
  <c r="AI256" i="10"/>
  <c r="AI112" i="10"/>
  <c r="AI159" i="10"/>
  <c r="AI160" i="10"/>
  <c r="AI161" i="10"/>
  <c r="AI257" i="10"/>
  <c r="AI258" i="10"/>
  <c r="AI259" i="10"/>
  <c r="AI260" i="10"/>
  <c r="AI261" i="10"/>
  <c r="AI170" i="10"/>
  <c r="AI171" i="10"/>
  <c r="AI172" i="10"/>
  <c r="AI173" i="10"/>
  <c r="AI174" i="10"/>
  <c r="AI124" i="10"/>
  <c r="AI125" i="10"/>
  <c r="AI126" i="10"/>
  <c r="AI127" i="10"/>
  <c r="AI113" i="10"/>
  <c r="AI41" i="10"/>
  <c r="AI42" i="10"/>
  <c r="AI43" i="10"/>
  <c r="AI44" i="10"/>
  <c r="AI45" i="10"/>
  <c r="AI130" i="10"/>
  <c r="AI147" i="10"/>
  <c r="AI169" i="10"/>
  <c r="AI184" i="10"/>
  <c r="AI128" i="10"/>
  <c r="AI135" i="10"/>
  <c r="AI213" i="10"/>
  <c r="AI215" i="10"/>
  <c r="AI217" i="10"/>
  <c r="AI218" i="10"/>
  <c r="AI219" i="10"/>
  <c r="AI212" i="10"/>
  <c r="AI121" i="10"/>
  <c r="AI122" i="10"/>
  <c r="AI123" i="10"/>
  <c r="AI162" i="10"/>
  <c r="AI5" i="10"/>
  <c r="AI6" i="10"/>
  <c r="AI7" i="10"/>
  <c r="AI8" i="10"/>
  <c r="AI15" i="10"/>
  <c r="AI9" i="10"/>
  <c r="AI10" i="10"/>
  <c r="AI11" i="10"/>
  <c r="AI12" i="10"/>
  <c r="AI13" i="10"/>
  <c r="AI14" i="10"/>
  <c r="AI158" i="10"/>
  <c r="AI185" i="10"/>
  <c r="AI186" i="10"/>
  <c r="AI187" i="10"/>
  <c r="AI188" i="10"/>
  <c r="AI189" i="10"/>
  <c r="AI190" i="10"/>
  <c r="AI191" i="10"/>
  <c r="AI192" i="10"/>
  <c r="AI272" i="10"/>
  <c r="AI137" i="10"/>
  <c r="AI138" i="10"/>
  <c r="AI139" i="10"/>
  <c r="AI140" i="10"/>
  <c r="AI141" i="10"/>
  <c r="AI142" i="10"/>
  <c r="AI143" i="10"/>
  <c r="AI144" i="10"/>
  <c r="AI145" i="10"/>
  <c r="AI202" i="10"/>
  <c r="AI220" i="10"/>
  <c r="AI221" i="10"/>
  <c r="AI222" i="10"/>
  <c r="AI223" i="10"/>
  <c r="AI224" i="10"/>
  <c r="AI226" i="10"/>
  <c r="AI227" i="10"/>
  <c r="AI228" i="10"/>
  <c r="AI229" i="10"/>
  <c r="AI255" i="10"/>
  <c r="AI273" i="10"/>
  <c r="AI230" i="10"/>
  <c r="AI231" i="10"/>
  <c r="AI232" i="10"/>
  <c r="AI233" i="10"/>
  <c r="AI234" i="10"/>
  <c r="AI235" i="10"/>
  <c r="AI236" i="10"/>
  <c r="AI237" i="10"/>
  <c r="AI238" i="10"/>
  <c r="AI239" i="10"/>
  <c r="AI152" i="10"/>
  <c r="AI153" i="10"/>
  <c r="AI154" i="10"/>
  <c r="AI155" i="10"/>
  <c r="AI156" i="10"/>
  <c r="AI92" i="10"/>
  <c r="AI93" i="10"/>
  <c r="AI94" i="10"/>
  <c r="AI95" i="10"/>
  <c r="AI68" i="10"/>
  <c r="AI69" i="10"/>
  <c r="AI70" i="10"/>
  <c r="AI71" i="10"/>
  <c r="AI72" i="10"/>
  <c r="AI74" i="10"/>
  <c r="AI163" i="10"/>
  <c r="AI240" i="10"/>
  <c r="AI241" i="10"/>
  <c r="AI242" i="10"/>
  <c r="AI243" i="10"/>
  <c r="AI244" i="10"/>
  <c r="AI245" i="10"/>
  <c r="AI246" i="10"/>
  <c r="AI2" i="10"/>
  <c r="AI25" i="10"/>
  <c r="AI26" i="10"/>
  <c r="AI27" i="10"/>
  <c r="AI28" i="10"/>
  <c r="AI29" i="10"/>
  <c r="AI30" i="10"/>
  <c r="AI31" i="10"/>
  <c r="AI32" i="10"/>
  <c r="AI33" i="10"/>
  <c r="AI34" i="10"/>
  <c r="AI3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31" i="10"/>
  <c r="AI133" i="10"/>
  <c r="AI146" i="10"/>
  <c r="AI265" i="10"/>
  <c r="AI116" i="10"/>
  <c r="AI197" i="10"/>
  <c r="AI20" i="10"/>
  <c r="AI21" i="10"/>
  <c r="AI19" i="10"/>
  <c r="AI90" i="10"/>
  <c r="AI53" i="10"/>
  <c r="AI54" i="10"/>
  <c r="AI55" i="10"/>
  <c r="AI56" i="10"/>
  <c r="AI57" i="10"/>
  <c r="AI193" i="10"/>
  <c r="AI203" i="10"/>
  <c r="AI204" i="10"/>
  <c r="AI205" i="10"/>
  <c r="AI206" i="10"/>
  <c r="AI207" i="10"/>
  <c r="AI208" i="10"/>
  <c r="AI209" i="10"/>
  <c r="AI210" i="10"/>
  <c r="AI24" i="10"/>
  <c r="AI179" i="10"/>
  <c r="AI17" i="10"/>
  <c r="AI129" i="10"/>
  <c r="AI175" i="10"/>
  <c r="AI73" i="10"/>
  <c r="AI225" i="10"/>
  <c r="AI136" i="10"/>
  <c r="P132" i="10"/>
  <c r="P133" i="10"/>
  <c r="P134" i="10"/>
  <c r="AX192" i="10"/>
  <c r="AT192" i="10" s="1"/>
  <c r="AZ192" i="10"/>
  <c r="BA192" i="10" s="1"/>
  <c r="AX191" i="10"/>
  <c r="AZ191" i="10"/>
  <c r="BA191" i="10" s="1"/>
  <c r="AX190" i="10"/>
  <c r="AY190" i="10" s="1"/>
  <c r="AZ190" i="10"/>
  <c r="BA190" i="10" s="1"/>
  <c r="AX189" i="10"/>
  <c r="AT189" i="10" s="1"/>
  <c r="AZ189" i="10"/>
  <c r="AV189" i="10" s="1"/>
  <c r="AX188" i="10"/>
  <c r="AT188" i="10" s="1"/>
  <c r="AZ188" i="10"/>
  <c r="BA188" i="10" s="1"/>
  <c r="AX187" i="10"/>
  <c r="AT187" i="10" s="1"/>
  <c r="AZ187" i="10"/>
  <c r="BA187" i="10" s="1"/>
  <c r="AX186" i="10"/>
  <c r="AT186" i="10" s="1"/>
  <c r="AZ186" i="10"/>
  <c r="AV186" i="10" s="1"/>
  <c r="P192" i="10"/>
  <c r="P191" i="10"/>
  <c r="P190" i="10"/>
  <c r="P189" i="10"/>
  <c r="P188" i="10"/>
  <c r="P187" i="10"/>
  <c r="P186" i="10"/>
  <c r="AH164" i="10" l="1"/>
  <c r="AI164" i="10" s="1"/>
  <c r="AH252" i="10"/>
  <c r="AI252" i="10" s="1"/>
  <c r="AH253" i="10"/>
  <c r="AI253" i="10" s="1"/>
  <c r="AH263" i="10"/>
  <c r="AI263" i="10" s="1"/>
  <c r="AH149" i="10"/>
  <c r="AI149" i="10" s="1"/>
  <c r="AH165" i="10"/>
  <c r="AI165" i="10" s="1"/>
  <c r="AH3" i="10"/>
  <c r="AI3" i="10" s="1"/>
  <c r="AH67" i="10"/>
  <c r="AI67" i="10" s="1"/>
  <c r="AH199" i="10"/>
  <c r="AI199" i="10" s="1"/>
  <c r="AH251" i="10"/>
  <c r="AI251" i="10" s="1"/>
  <c r="AH177" i="10"/>
  <c r="AI177" i="10" s="1"/>
  <c r="AH201" i="10"/>
  <c r="AI201" i="10" s="1"/>
  <c r="AH216" i="10"/>
  <c r="AI216" i="10" s="1"/>
  <c r="AH166" i="10"/>
  <c r="AI166" i="10" s="1"/>
  <c r="AH4" i="10"/>
  <c r="AI4" i="10" s="1"/>
  <c r="AH117" i="10"/>
  <c r="AI117" i="10" s="1"/>
  <c r="AH250" i="10"/>
  <c r="AI250" i="10" s="1"/>
  <c r="AH51" i="10"/>
  <c r="AI51" i="10" s="1"/>
  <c r="AH132" i="10"/>
  <c r="AI132" i="10" s="1"/>
  <c r="AH150" i="10"/>
  <c r="AI150" i="10" s="1"/>
  <c r="AH195" i="10"/>
  <c r="AI195" i="10" s="1"/>
  <c r="AH114" i="10"/>
  <c r="AI114" i="10" s="1"/>
  <c r="AH168" i="10"/>
  <c r="AI168" i="10" s="1"/>
  <c r="AH115" i="10"/>
  <c r="AI115" i="10" s="1"/>
  <c r="AH16" i="10"/>
  <c r="AI16" i="10" s="1"/>
  <c r="AH194" i="10"/>
  <c r="AI194" i="10" s="1"/>
  <c r="AH247" i="10"/>
  <c r="AI247" i="10" s="1"/>
  <c r="AH91" i="10"/>
  <c r="AI91" i="10" s="1"/>
  <c r="AH211" i="10"/>
  <c r="AI211" i="10" s="1"/>
  <c r="AH148" i="10"/>
  <c r="AI148" i="10" s="1"/>
  <c r="AH200" i="10"/>
  <c r="AI200" i="10" s="1"/>
  <c r="AH119" i="10"/>
  <c r="AI119" i="10" s="1"/>
  <c r="AH151" i="10"/>
  <c r="AI151" i="10" s="1"/>
  <c r="AH134" i="10"/>
  <c r="AI134" i="10" s="1"/>
  <c r="AH270" i="10"/>
  <c r="AI270" i="10" s="1"/>
  <c r="AH264" i="10"/>
  <c r="AI264" i="10" s="1"/>
  <c r="AH58" i="10"/>
  <c r="AI58" i="10" s="1"/>
  <c r="AH248" i="10"/>
  <c r="AI248" i="10" s="1"/>
  <c r="AH249" i="10"/>
  <c r="AI249" i="10" s="1"/>
  <c r="AH266" i="10"/>
  <c r="AI266" i="10" s="1"/>
  <c r="AH167" i="10"/>
  <c r="AI167" i="10" s="1"/>
  <c r="AH268" i="10"/>
  <c r="AI268" i="10" s="1"/>
  <c r="AH214" i="10"/>
  <c r="AI214" i="10" s="1"/>
  <c r="AH176" i="10"/>
  <c r="AI176" i="10" s="1"/>
  <c r="AH118" i="10"/>
  <c r="AI118" i="10" s="1"/>
  <c r="AH262" i="10"/>
  <c r="AI262" i="10" s="1"/>
  <c r="AH269" i="10"/>
  <c r="AI269" i="10" s="1"/>
  <c r="AH198" i="10"/>
  <c r="AI198" i="10" s="1"/>
  <c r="AH254" i="10"/>
  <c r="AI254" i="10" s="1"/>
  <c r="AH271" i="10"/>
  <c r="AI271" i="10" s="1"/>
  <c r="AH267" i="10"/>
  <c r="AI267" i="10" s="1"/>
  <c r="AL168" i="10"/>
  <c r="AM168" i="10" s="1"/>
  <c r="AL115" i="10"/>
  <c r="AM115" i="10" s="1"/>
  <c r="AJ168" i="10"/>
  <c r="AK168" i="10" s="1"/>
  <c r="AJ176" i="10"/>
  <c r="AK176" i="10" s="1"/>
  <c r="AL114" i="10"/>
  <c r="AM114" i="10" s="1"/>
  <c r="AL167" i="10"/>
  <c r="AM167" i="10" s="1"/>
  <c r="AJ114" i="10"/>
  <c r="AK114" i="10" s="1"/>
  <c r="AJ167" i="10"/>
  <c r="AK167" i="10" s="1"/>
  <c r="AL176" i="10"/>
  <c r="AM176" i="10" s="1"/>
  <c r="AJ115" i="10"/>
  <c r="AK115" i="10" s="1"/>
  <c r="AL91" i="10"/>
  <c r="AM91" i="10" s="1"/>
  <c r="AL211" i="10"/>
  <c r="AM211" i="10" s="1"/>
  <c r="AL252" i="10"/>
  <c r="AM252" i="10" s="1"/>
  <c r="AJ247" i="10"/>
  <c r="AK247" i="10" s="1"/>
  <c r="AL199" i="10"/>
  <c r="AM199" i="10" s="1"/>
  <c r="AJ118" i="10"/>
  <c r="AK118" i="10" s="1"/>
  <c r="AL67" i="10"/>
  <c r="AM67" i="10" s="1"/>
  <c r="AJ16" i="10"/>
  <c r="AK16" i="10" s="1"/>
  <c r="AJ3" i="10"/>
  <c r="AK3" i="10" s="1"/>
  <c r="AJ263" i="10"/>
  <c r="AK263" i="10" s="1"/>
  <c r="AL165" i="10"/>
  <c r="AM165" i="10" s="1"/>
  <c r="AL164" i="10"/>
  <c r="AM164" i="10" s="1"/>
  <c r="AL264" i="10"/>
  <c r="AM264" i="10" s="1"/>
  <c r="AL58" i="10"/>
  <c r="AM58" i="10" s="1"/>
  <c r="AJ149" i="10"/>
  <c r="AK149" i="10" s="1"/>
  <c r="AJ150" i="10"/>
  <c r="AK150" i="10" s="1"/>
  <c r="AJ269" i="10"/>
  <c r="AK269" i="10" s="1"/>
  <c r="AL195" i="10"/>
  <c r="AM195" i="10" s="1"/>
  <c r="AL177" i="10"/>
  <c r="AM177" i="10" s="1"/>
  <c r="AL262" i="10"/>
  <c r="AM262" i="10" s="1"/>
  <c r="AJ91" i="10"/>
  <c r="AK91" i="10" s="1"/>
  <c r="AJ211" i="10"/>
  <c r="AK211" i="10" s="1"/>
  <c r="AL151" i="10"/>
  <c r="AM151" i="10" s="1"/>
  <c r="AJ254" i="10"/>
  <c r="AK254" i="10" s="1"/>
  <c r="AJ253" i="10"/>
  <c r="AK253" i="10" s="1"/>
  <c r="AJ252" i="10"/>
  <c r="AK252" i="10" s="1"/>
  <c r="AL251" i="10"/>
  <c r="AM251" i="10" s="1"/>
  <c r="AL250" i="10"/>
  <c r="AM250" i="10" s="1"/>
  <c r="AL249" i="10"/>
  <c r="AM249" i="10" s="1"/>
  <c r="AJ201" i="10"/>
  <c r="AK201" i="10" s="1"/>
  <c r="AJ200" i="10"/>
  <c r="AK200" i="10" s="1"/>
  <c r="AJ199" i="10"/>
  <c r="AK199" i="10" s="1"/>
  <c r="AL198" i="10"/>
  <c r="AM198" i="10" s="1"/>
  <c r="AL194" i="10"/>
  <c r="AM194" i="10" s="1"/>
  <c r="AJ117" i="10"/>
  <c r="AK117" i="10" s="1"/>
  <c r="AJ67" i="10"/>
  <c r="AK67" i="10" s="1"/>
  <c r="AL51" i="10"/>
  <c r="AM51" i="10" s="1"/>
  <c r="AL268" i="10"/>
  <c r="AM268" i="10" s="1"/>
  <c r="AL267" i="10"/>
  <c r="AM267" i="10" s="1"/>
  <c r="AL134" i="10"/>
  <c r="AM134" i="10" s="1"/>
  <c r="AL132" i="10"/>
  <c r="AM132" i="10" s="1"/>
  <c r="AJ166" i="10"/>
  <c r="AK166" i="10" s="1"/>
  <c r="AJ165" i="10"/>
  <c r="AK165" i="10" s="1"/>
  <c r="AJ164" i="10"/>
  <c r="AK164" i="10" s="1"/>
  <c r="AJ264" i="10"/>
  <c r="AK264" i="10" s="1"/>
  <c r="AJ58" i="10"/>
  <c r="AK58" i="10" s="1"/>
  <c r="AL214" i="10"/>
  <c r="AM214" i="10" s="1"/>
  <c r="AL270" i="10"/>
  <c r="AM270" i="10" s="1"/>
  <c r="AL271" i="10"/>
  <c r="AM271" i="10" s="1"/>
  <c r="AJ177" i="10"/>
  <c r="AK177" i="10" s="1"/>
  <c r="AJ262" i="10"/>
  <c r="AK262" i="10" s="1"/>
  <c r="AJ151" i="10"/>
  <c r="AK151" i="10" s="1"/>
  <c r="AJ251" i="10"/>
  <c r="AK251" i="10" s="1"/>
  <c r="AL248" i="10"/>
  <c r="AM248" i="10" s="1"/>
  <c r="AJ198" i="10"/>
  <c r="AK198" i="10" s="1"/>
  <c r="AL119" i="10"/>
  <c r="AM119" i="10" s="1"/>
  <c r="AJ51" i="10"/>
  <c r="AK51" i="10" s="1"/>
  <c r="AL266" i="10"/>
  <c r="AM266" i="10" s="1"/>
  <c r="AJ134" i="10"/>
  <c r="AK134" i="10" s="1"/>
  <c r="AJ132" i="10"/>
  <c r="AK132" i="10" s="1"/>
  <c r="AL16" i="10"/>
  <c r="AM16" i="10" s="1"/>
  <c r="AL4" i="10"/>
  <c r="AM4" i="10" s="1"/>
  <c r="AL263" i="10"/>
  <c r="AM263" i="10" s="1"/>
  <c r="AL148" i="10"/>
  <c r="AM148" i="10" s="1"/>
  <c r="AL216" i="10"/>
  <c r="AM216" i="10" s="1"/>
  <c r="AJ214" i="10"/>
  <c r="AK214" i="10" s="1"/>
  <c r="AJ270" i="10"/>
  <c r="AK270" i="10" s="1"/>
  <c r="AJ271" i="10"/>
  <c r="AK271" i="10" s="1"/>
  <c r="AJ195" i="10"/>
  <c r="AK195" i="10" s="1"/>
  <c r="AL254" i="10"/>
  <c r="AM254" i="10" s="1"/>
  <c r="AL253" i="10"/>
  <c r="AM253" i="10" s="1"/>
  <c r="AJ250" i="10"/>
  <c r="AK250" i="10" s="1"/>
  <c r="AJ249" i="10"/>
  <c r="AK249" i="10" s="1"/>
  <c r="AJ248" i="10"/>
  <c r="AK248" i="10" s="1"/>
  <c r="AL247" i="10"/>
  <c r="AM247" i="10" s="1"/>
  <c r="AL201" i="10"/>
  <c r="AM201" i="10" s="1"/>
  <c r="AL200" i="10"/>
  <c r="AM200" i="10" s="1"/>
  <c r="AJ194" i="10"/>
  <c r="AK194" i="10" s="1"/>
  <c r="AJ119" i="10"/>
  <c r="AK119" i="10" s="1"/>
  <c r="AL118" i="10"/>
  <c r="AM118" i="10" s="1"/>
  <c r="AL117" i="10"/>
  <c r="AM117" i="10" s="1"/>
  <c r="AJ268" i="10"/>
  <c r="AK268" i="10" s="1"/>
  <c r="AJ267" i="10"/>
  <c r="AK267" i="10" s="1"/>
  <c r="AJ266" i="10"/>
  <c r="AK266" i="10" s="1"/>
  <c r="AJ4" i="10"/>
  <c r="AK4" i="10" s="1"/>
  <c r="AL3" i="10"/>
  <c r="AM3" i="10" s="1"/>
  <c r="AL166" i="10"/>
  <c r="AM166" i="10" s="1"/>
  <c r="AJ148" i="10"/>
  <c r="AK148" i="10" s="1"/>
  <c r="AL149" i="10"/>
  <c r="AM149" i="10" s="1"/>
  <c r="AL150" i="10"/>
  <c r="AM150" i="10" s="1"/>
  <c r="AJ216" i="10"/>
  <c r="AK216" i="10" s="1"/>
  <c r="AL269" i="10"/>
  <c r="AM269" i="10" s="1"/>
  <c r="AY189" i="10"/>
  <c r="BA186" i="10"/>
  <c r="AT190" i="10"/>
  <c r="AV191" i="10"/>
  <c r="AV190" i="10"/>
  <c r="BA189" i="10"/>
  <c r="AV187" i="10"/>
  <c r="AY186" i="10"/>
  <c r="AV192" i="10"/>
  <c r="AY192" i="10"/>
  <c r="BB192" i="10" s="1"/>
  <c r="AT191" i="10"/>
  <c r="AY191" i="10"/>
  <c r="BB191" i="10" s="1"/>
  <c r="BB190" i="10"/>
  <c r="AY188" i="10"/>
  <c r="BB188" i="10" s="1"/>
  <c r="AV188" i="10"/>
  <c r="AY187" i="10"/>
  <c r="BB187" i="10" s="1"/>
  <c r="AH183" i="10"/>
  <c r="AH182" i="10"/>
  <c r="AH181" i="10"/>
  <c r="AH180" i="10"/>
  <c r="AH178" i="10"/>
  <c r="AI181" i="10" l="1"/>
  <c r="AJ181" i="10"/>
  <c r="AK181" i="10" s="1"/>
  <c r="AL181" i="10"/>
  <c r="AM181" i="10" s="1"/>
  <c r="AI178" i="10"/>
  <c r="AJ178" i="10"/>
  <c r="AK178" i="10" s="1"/>
  <c r="AL178" i="10"/>
  <c r="AM178" i="10" s="1"/>
  <c r="AI183" i="10"/>
  <c r="AJ183" i="10"/>
  <c r="AK183" i="10" s="1"/>
  <c r="AL183" i="10"/>
  <c r="AM183" i="10" s="1"/>
  <c r="AI180" i="10"/>
  <c r="AL180" i="10"/>
  <c r="AM180" i="10" s="1"/>
  <c r="AJ180" i="10"/>
  <c r="AK180" i="10" s="1"/>
  <c r="AI182" i="10"/>
  <c r="AJ182" i="10"/>
  <c r="AK182" i="10" s="1"/>
  <c r="AL182" i="10"/>
  <c r="AM182" i="10" s="1"/>
  <c r="BB186" i="10"/>
  <c r="BB189" i="10"/>
  <c r="AH196" i="10"/>
  <c r="AI196" i="10" l="1"/>
  <c r="AL196" i="10"/>
  <c r="AM196" i="10" s="1"/>
  <c r="AJ196" i="10"/>
  <c r="AK196" i="10" s="1"/>
  <c r="AH274" i="10"/>
  <c r="AH157" i="10"/>
  <c r="AH23" i="10"/>
  <c r="AH22" i="10"/>
  <c r="AH18" i="10"/>
  <c r="AI18" i="10" l="1"/>
  <c r="AL18" i="10"/>
  <c r="AM18" i="10" s="1"/>
  <c r="AJ18" i="10"/>
  <c r="AK18" i="10" s="1"/>
  <c r="AI22" i="10"/>
  <c r="AJ22" i="10"/>
  <c r="AK22" i="10" s="1"/>
  <c r="AL22" i="10"/>
  <c r="AM22" i="10" s="1"/>
  <c r="AI23" i="10"/>
  <c r="AJ23" i="10"/>
  <c r="AK23" i="10" s="1"/>
  <c r="AL23" i="10"/>
  <c r="AM23" i="10" s="1"/>
  <c r="AI274" i="10"/>
  <c r="AJ274" i="10"/>
  <c r="AK274" i="10" s="1"/>
  <c r="AL274" i="10"/>
  <c r="AM274" i="10" s="1"/>
  <c r="AI157" i="10"/>
  <c r="AJ157" i="10"/>
  <c r="AK157" i="10" s="1"/>
  <c r="AL157" i="10"/>
  <c r="AM157" i="10" s="1"/>
  <c r="P274" i="10"/>
  <c r="BB274" i="10"/>
  <c r="AZ274" i="10"/>
  <c r="AV274" i="10" s="1"/>
  <c r="AX274" i="10"/>
  <c r="AT274" i="10" s="1"/>
  <c r="BB273" i="10"/>
  <c r="BA273" i="10"/>
  <c r="AY273" i="10"/>
  <c r="AV273" i="10"/>
  <c r="AT273" i="10"/>
  <c r="P273" i="10"/>
  <c r="BB272" i="10"/>
  <c r="BA272" i="10"/>
  <c r="AY272" i="10"/>
  <c r="AV272" i="10"/>
  <c r="AT272" i="10"/>
  <c r="P272" i="10"/>
  <c r="BB271" i="10"/>
  <c r="AW271" i="10"/>
  <c r="AV271" i="10" s="1"/>
  <c r="AU271" i="10"/>
  <c r="AT271" i="10" s="1"/>
  <c r="P271" i="10"/>
  <c r="BB270" i="10"/>
  <c r="AW270" i="10"/>
  <c r="AV270" i="10" s="1"/>
  <c r="AU270" i="10"/>
  <c r="AT270" i="10" s="1"/>
  <c r="P270" i="10"/>
  <c r="BA269" i="10"/>
  <c r="AY269" i="10"/>
  <c r="AV269" i="10"/>
  <c r="AT269" i="10"/>
  <c r="P269" i="10"/>
  <c r="BA268" i="10"/>
  <c r="AY268" i="10"/>
  <c r="AV268" i="10"/>
  <c r="AT268" i="10"/>
  <c r="P268" i="10"/>
  <c r="BA267" i="10"/>
  <c r="AY267" i="10"/>
  <c r="AV267" i="10"/>
  <c r="AT267" i="10"/>
  <c r="P267" i="10"/>
  <c r="BA266" i="10"/>
  <c r="AY266" i="10"/>
  <c r="AV266" i="10"/>
  <c r="AT266" i="10"/>
  <c r="P266" i="10"/>
  <c r="AW265" i="10"/>
  <c r="P265" i="10"/>
  <c r="BA264" i="10"/>
  <c r="AY264" i="10"/>
  <c r="AV264" i="10"/>
  <c r="AT264" i="10"/>
  <c r="P264" i="10"/>
  <c r="BA263" i="10"/>
  <c r="AY263" i="10"/>
  <c r="AV263" i="10"/>
  <c r="AT263" i="10"/>
  <c r="P263" i="10"/>
  <c r="BA262" i="10"/>
  <c r="AY262" i="10"/>
  <c r="AV262" i="10"/>
  <c r="AT262" i="10"/>
  <c r="P262" i="10"/>
  <c r="AW261" i="10"/>
  <c r="AV261" i="10" s="1"/>
  <c r="AU261" i="10"/>
  <c r="P261" i="10"/>
  <c r="AW260" i="10"/>
  <c r="AU260" i="10"/>
  <c r="AT260" i="10" s="1"/>
  <c r="P260" i="10"/>
  <c r="AW259" i="10"/>
  <c r="AV259" i="10" s="1"/>
  <c r="AU259" i="10"/>
  <c r="P259" i="10"/>
  <c r="AW258" i="10"/>
  <c r="AU258" i="10"/>
  <c r="AY258" i="10" s="1"/>
  <c r="P258" i="10"/>
  <c r="P257" i="10"/>
  <c r="AY256" i="10"/>
  <c r="AW256" i="10"/>
  <c r="AV256" i="10" s="1"/>
  <c r="AT256" i="10"/>
  <c r="P256" i="10"/>
  <c r="BA255" i="10"/>
  <c r="AY255" i="10"/>
  <c r="AV255" i="10"/>
  <c r="AT255" i="10"/>
  <c r="P255" i="10"/>
  <c r="BA254" i="10"/>
  <c r="AY254" i="10"/>
  <c r="AV254" i="10"/>
  <c r="AT254" i="10"/>
  <c r="P254" i="10"/>
  <c r="BA253" i="10"/>
  <c r="AY253" i="10"/>
  <c r="AV253" i="10"/>
  <c r="AT253" i="10"/>
  <c r="P253" i="10"/>
  <c r="BA252" i="10"/>
  <c r="AY252" i="10"/>
  <c r="AV252" i="10"/>
  <c r="AT252" i="10"/>
  <c r="P252" i="10"/>
  <c r="BA251" i="10"/>
  <c r="AY251" i="10"/>
  <c r="AV251" i="10"/>
  <c r="AT251" i="10"/>
  <c r="P251" i="10"/>
  <c r="BA250" i="10"/>
  <c r="AY250" i="10"/>
  <c r="AV250" i="10"/>
  <c r="AT250" i="10"/>
  <c r="P250" i="10"/>
  <c r="BA249" i="10"/>
  <c r="AY249" i="10"/>
  <c r="AV249" i="10"/>
  <c r="AT249" i="10"/>
  <c r="P249" i="10"/>
  <c r="BA248" i="10"/>
  <c r="AY248" i="10"/>
  <c r="AV248" i="10"/>
  <c r="AT248" i="10"/>
  <c r="P248" i="10"/>
  <c r="BA247" i="10"/>
  <c r="AY247" i="10"/>
  <c r="AV247" i="10"/>
  <c r="AT247" i="10"/>
  <c r="P247" i="10"/>
  <c r="BA246" i="10"/>
  <c r="AY246" i="10"/>
  <c r="AV246" i="10"/>
  <c r="AT246" i="10"/>
  <c r="P246" i="10"/>
  <c r="BA245" i="10"/>
  <c r="AY245" i="10"/>
  <c r="AV245" i="10"/>
  <c r="AT245" i="10"/>
  <c r="P245" i="10"/>
  <c r="BA244" i="10"/>
  <c r="AY244" i="10"/>
  <c r="AV244" i="10"/>
  <c r="AT244" i="10"/>
  <c r="P244" i="10"/>
  <c r="BA243" i="10"/>
  <c r="AY243" i="10"/>
  <c r="AV243" i="10"/>
  <c r="AT243" i="10"/>
  <c r="P243" i="10"/>
  <c r="BA242" i="10"/>
  <c r="AY242" i="10"/>
  <c r="AV242" i="10"/>
  <c r="AT242" i="10"/>
  <c r="P242" i="10"/>
  <c r="BA241" i="10"/>
  <c r="AY241" i="10"/>
  <c r="AV241" i="10"/>
  <c r="AT241" i="10"/>
  <c r="P241" i="10"/>
  <c r="BA240" i="10"/>
  <c r="AY240" i="10"/>
  <c r="AV240" i="10"/>
  <c r="AT240" i="10"/>
  <c r="P240" i="10"/>
  <c r="BA239" i="10"/>
  <c r="AY239" i="10"/>
  <c r="AV239" i="10"/>
  <c r="AT239" i="10"/>
  <c r="P239" i="10"/>
  <c r="BA238" i="10"/>
  <c r="AY238" i="10"/>
  <c r="AV238" i="10"/>
  <c r="AT238" i="10"/>
  <c r="P238" i="10"/>
  <c r="BA237" i="10"/>
  <c r="AY237" i="10"/>
  <c r="AV237" i="10"/>
  <c r="AT237" i="10"/>
  <c r="P237" i="10"/>
  <c r="BA236" i="10"/>
  <c r="AY236" i="10"/>
  <c r="AV236" i="10"/>
  <c r="AT236" i="10"/>
  <c r="P236" i="10"/>
  <c r="BA235" i="10"/>
  <c r="AY235" i="10"/>
  <c r="AV235" i="10"/>
  <c r="AT235" i="10"/>
  <c r="P235" i="10"/>
  <c r="BA234" i="10"/>
  <c r="AY234" i="10"/>
  <c r="AV234" i="10"/>
  <c r="AT234" i="10"/>
  <c r="P234" i="10"/>
  <c r="BA233" i="10"/>
  <c r="AY233" i="10"/>
  <c r="AV233" i="10"/>
  <c r="AT233" i="10"/>
  <c r="P233" i="10"/>
  <c r="BA232" i="10"/>
  <c r="AY232" i="10"/>
  <c r="AV232" i="10"/>
  <c r="AT232" i="10"/>
  <c r="P232" i="10"/>
  <c r="BA231" i="10"/>
  <c r="AY231" i="10"/>
  <c r="AV231" i="10"/>
  <c r="AT231" i="10"/>
  <c r="P231" i="10"/>
  <c r="BA230" i="10"/>
  <c r="AY230" i="10"/>
  <c r="AV230" i="10"/>
  <c r="AT230" i="10"/>
  <c r="P230" i="10"/>
  <c r="BA229" i="10"/>
  <c r="AY229" i="10"/>
  <c r="AV229" i="10"/>
  <c r="AT229" i="10"/>
  <c r="P229" i="10"/>
  <c r="BA228" i="10"/>
  <c r="AY228" i="10"/>
  <c r="AV228" i="10"/>
  <c r="AT228" i="10"/>
  <c r="P228" i="10"/>
  <c r="BA227" i="10"/>
  <c r="AY227" i="10"/>
  <c r="AV227" i="10"/>
  <c r="AT227" i="10"/>
  <c r="P227" i="10"/>
  <c r="BA226" i="10"/>
  <c r="AY226" i="10"/>
  <c r="AV226" i="10"/>
  <c r="AT226" i="10"/>
  <c r="P226" i="10"/>
  <c r="BA225" i="10"/>
  <c r="AY225" i="10"/>
  <c r="AV225" i="10"/>
  <c r="AT225" i="10"/>
  <c r="P225" i="10"/>
  <c r="BA224" i="10"/>
  <c r="AY224" i="10"/>
  <c r="AV224" i="10"/>
  <c r="AT224" i="10"/>
  <c r="P224" i="10"/>
  <c r="BA223" i="10"/>
  <c r="AY223" i="10"/>
  <c r="AV223" i="10"/>
  <c r="AT223" i="10"/>
  <c r="P223" i="10"/>
  <c r="BA222" i="10"/>
  <c r="AY222" i="10"/>
  <c r="AV222" i="10"/>
  <c r="AT222" i="10"/>
  <c r="P222" i="10"/>
  <c r="BA221" i="10"/>
  <c r="AY221" i="10"/>
  <c r="AV221" i="10"/>
  <c r="AT221" i="10"/>
  <c r="P221" i="10"/>
  <c r="BA220" i="10"/>
  <c r="AY220" i="10"/>
  <c r="AV220" i="10"/>
  <c r="AT220" i="10"/>
  <c r="P220" i="10"/>
  <c r="BA219" i="10"/>
  <c r="AY219" i="10"/>
  <c r="AV219" i="10"/>
  <c r="AT219" i="10"/>
  <c r="P219" i="10"/>
  <c r="BA218" i="10"/>
  <c r="AY218" i="10"/>
  <c r="AV218" i="10"/>
  <c r="AT218" i="10"/>
  <c r="P218" i="10"/>
  <c r="BA217" i="10"/>
  <c r="AY217" i="10"/>
  <c r="AV217" i="10"/>
  <c r="AT217" i="10"/>
  <c r="P217" i="10"/>
  <c r="BA216" i="10"/>
  <c r="AY216" i="10"/>
  <c r="AV216" i="10"/>
  <c r="AT216" i="10"/>
  <c r="P216" i="10"/>
  <c r="BA215" i="10"/>
  <c r="AY215" i="10"/>
  <c r="AV215" i="10"/>
  <c r="AT215" i="10"/>
  <c r="P215" i="10"/>
  <c r="BA214" i="10"/>
  <c r="AY214" i="10"/>
  <c r="AV214" i="10"/>
  <c r="AT214" i="10"/>
  <c r="P214" i="10"/>
  <c r="BA213" i="10"/>
  <c r="AY213" i="10"/>
  <c r="AV213" i="10"/>
  <c r="AT213" i="10"/>
  <c r="P213" i="10"/>
  <c r="U212" i="10"/>
  <c r="P212" i="10"/>
  <c r="BA211" i="10"/>
  <c r="AY211" i="10"/>
  <c r="AV211" i="10"/>
  <c r="AT211" i="10"/>
  <c r="P211" i="10"/>
  <c r="BA210" i="10"/>
  <c r="AY210" i="10"/>
  <c r="AV210" i="10"/>
  <c r="AT210" i="10"/>
  <c r="P210" i="10"/>
  <c r="BA209" i="10"/>
  <c r="AY209" i="10"/>
  <c r="AV209" i="10"/>
  <c r="AT209" i="10"/>
  <c r="P209" i="10"/>
  <c r="BA208" i="10"/>
  <c r="AY208" i="10"/>
  <c r="AV208" i="10"/>
  <c r="AT208" i="10"/>
  <c r="P208" i="10"/>
  <c r="BA207" i="10"/>
  <c r="AY207" i="10"/>
  <c r="AV207" i="10"/>
  <c r="AT207" i="10"/>
  <c r="P207" i="10"/>
  <c r="BA206" i="10"/>
  <c r="AY206" i="10"/>
  <c r="AV206" i="10"/>
  <c r="AT206" i="10"/>
  <c r="P206" i="10"/>
  <c r="BA205" i="10"/>
  <c r="AY205" i="10"/>
  <c r="AV205" i="10"/>
  <c r="AT205" i="10"/>
  <c r="P205" i="10"/>
  <c r="P204" i="10"/>
  <c r="BA203" i="10"/>
  <c r="AY203" i="10"/>
  <c r="AV203" i="10"/>
  <c r="AT203" i="10"/>
  <c r="P203" i="10"/>
  <c r="AW202" i="10"/>
  <c r="AU202" i="10"/>
  <c r="P202" i="10"/>
  <c r="AW201" i="10"/>
  <c r="AV201" i="10" s="1"/>
  <c r="AZ201" i="10" s="1"/>
  <c r="AU201" i="10"/>
  <c r="AT201" i="10" s="1"/>
  <c r="AX201" i="10" s="1"/>
  <c r="P201" i="10"/>
  <c r="AW200" i="10"/>
  <c r="AV200" i="10" s="1"/>
  <c r="AZ200" i="10" s="1"/>
  <c r="AU200" i="10"/>
  <c r="AT200" i="10" s="1"/>
  <c r="AX200" i="10" s="1"/>
  <c r="P200" i="10"/>
  <c r="AW199" i="10"/>
  <c r="AU199" i="10"/>
  <c r="P199" i="10"/>
  <c r="AW198" i="10"/>
  <c r="AU198" i="10"/>
  <c r="AT198" i="10" s="1"/>
  <c r="AX198" i="10" s="1"/>
  <c r="P198" i="10"/>
  <c r="P197" i="10"/>
  <c r="AW196" i="10"/>
  <c r="AZ196" i="10" s="1"/>
  <c r="AU196" i="10"/>
  <c r="AT196" i="10"/>
  <c r="P196" i="10"/>
  <c r="AW195" i="10"/>
  <c r="AV195" i="10"/>
  <c r="AU195" i="10"/>
  <c r="AT195" i="10"/>
  <c r="P195" i="10"/>
  <c r="AZ194" i="10"/>
  <c r="AV194" i="10" s="1"/>
  <c r="AX194" i="10"/>
  <c r="AY194" i="10" s="1"/>
  <c r="P194" i="10"/>
  <c r="BA193" i="10"/>
  <c r="AY193" i="10"/>
  <c r="AV193" i="10"/>
  <c r="AT193" i="10"/>
  <c r="P193" i="10"/>
  <c r="BB185" i="10"/>
  <c r="AW185" i="10"/>
  <c r="AU185" i="10"/>
  <c r="P185" i="10"/>
  <c r="AV184" i="10"/>
  <c r="AZ184" i="10" s="1"/>
  <c r="BA184" i="10" s="1"/>
  <c r="AT184" i="10"/>
  <c r="AX184" i="10" s="1"/>
  <c r="P184" i="10"/>
  <c r="AZ183" i="10"/>
  <c r="BA183" i="10" s="1"/>
  <c r="AX183" i="10"/>
  <c r="P183" i="10"/>
  <c r="AZ182" i="10"/>
  <c r="BA182" i="10" s="1"/>
  <c r="AX182" i="10"/>
  <c r="P182" i="10"/>
  <c r="AZ181" i="10"/>
  <c r="BA181" i="10" s="1"/>
  <c r="AX181" i="10"/>
  <c r="AY181" i="10" s="1"/>
  <c r="P181" i="10"/>
  <c r="AZ180" i="10"/>
  <c r="BA180" i="10" s="1"/>
  <c r="AX180" i="10"/>
  <c r="AY180" i="10" s="1"/>
  <c r="P180" i="10"/>
  <c r="P179" i="10"/>
  <c r="AW178" i="10"/>
  <c r="AV178" i="10"/>
  <c r="AU178" i="10"/>
  <c r="AT178" i="10"/>
  <c r="P178" i="10"/>
  <c r="AZ177" i="10"/>
  <c r="BA177" i="10" s="1"/>
  <c r="AX177" i="10"/>
  <c r="P177" i="10"/>
  <c r="BA176" i="10"/>
  <c r="AY176" i="10"/>
  <c r="AV176" i="10"/>
  <c r="AT176" i="10"/>
  <c r="P176" i="10"/>
  <c r="AW175" i="10"/>
  <c r="AV175" i="10"/>
  <c r="AU175" i="10"/>
  <c r="AT175" i="10"/>
  <c r="P175" i="10"/>
  <c r="AZ174" i="10"/>
  <c r="AX174" i="10"/>
  <c r="AW174" i="10"/>
  <c r="AU174" i="10"/>
  <c r="P174" i="10"/>
  <c r="AZ173" i="10"/>
  <c r="AX173" i="10"/>
  <c r="AW173" i="10"/>
  <c r="AU173" i="10"/>
  <c r="P173" i="10"/>
  <c r="AZ172" i="10"/>
  <c r="AX172" i="10"/>
  <c r="AW172" i="10"/>
  <c r="AU172" i="10"/>
  <c r="P172" i="10"/>
  <c r="AZ171" i="10"/>
  <c r="AX171" i="10"/>
  <c r="AW171" i="10"/>
  <c r="AU171" i="10"/>
  <c r="P171" i="10"/>
  <c r="P170" i="10"/>
  <c r="AW169" i="10"/>
  <c r="AV169" i="10"/>
  <c r="AU169" i="10"/>
  <c r="AT169" i="10"/>
  <c r="P169" i="10"/>
  <c r="AW168" i="10"/>
  <c r="AU168" i="10"/>
  <c r="AX168" i="10" s="1"/>
  <c r="P168" i="10"/>
  <c r="AW167" i="10"/>
  <c r="AV167" i="10"/>
  <c r="AU167" i="10"/>
  <c r="AT167" i="10"/>
  <c r="P167" i="10"/>
  <c r="AZ166" i="10"/>
  <c r="BA166" i="10" s="1"/>
  <c r="AX166" i="10"/>
  <c r="AY166" i="10" s="1"/>
  <c r="P166" i="10"/>
  <c r="AZ165" i="10"/>
  <c r="BA165" i="10" s="1"/>
  <c r="AX165" i="10"/>
  <c r="AY165" i="10" s="1"/>
  <c r="P165" i="10"/>
  <c r="AZ164" i="10"/>
  <c r="BA164" i="10" s="1"/>
  <c r="AX164" i="10"/>
  <c r="AY164" i="10" s="1"/>
  <c r="P164" i="10"/>
  <c r="P163" i="10"/>
  <c r="BA162" i="10"/>
  <c r="AZ162" i="10"/>
  <c r="AY162" i="10"/>
  <c r="AX162" i="10"/>
  <c r="AW162" i="10"/>
  <c r="AU162" i="10"/>
  <c r="P162" i="10"/>
  <c r="AW161" i="10"/>
  <c r="AV161" i="10"/>
  <c r="AU161" i="10"/>
  <c r="AT161" i="10"/>
  <c r="P161" i="10"/>
  <c r="AW160" i="10"/>
  <c r="AV160" i="10"/>
  <c r="AU160" i="10"/>
  <c r="AT160" i="10"/>
  <c r="P160" i="10"/>
  <c r="P159" i="10"/>
  <c r="AW158" i="10"/>
  <c r="AZ158" i="10" s="1"/>
  <c r="AU158" i="10"/>
  <c r="AX158" i="10" s="1"/>
  <c r="AY158" i="10" s="1"/>
  <c r="P158" i="10"/>
  <c r="BA157" i="10"/>
  <c r="AY157" i="10"/>
  <c r="AV157" i="10"/>
  <c r="AT157" i="10"/>
  <c r="P157" i="10"/>
  <c r="AW156" i="10"/>
  <c r="AU156" i="10"/>
  <c r="P156" i="10"/>
  <c r="AW155" i="10"/>
  <c r="AU155" i="10"/>
  <c r="P155" i="10"/>
  <c r="AW154" i="10"/>
  <c r="AZ154" i="10" s="1"/>
  <c r="BA154" i="10" s="1"/>
  <c r="AU154" i="10"/>
  <c r="P154" i="10"/>
  <c r="AW153" i="10"/>
  <c r="AZ153" i="10" s="1"/>
  <c r="AU153" i="10"/>
  <c r="P153" i="10"/>
  <c r="P152" i="10"/>
  <c r="AW151" i="10"/>
  <c r="AV151" i="10"/>
  <c r="AU151" i="10"/>
  <c r="AT151" i="10"/>
  <c r="P151" i="10"/>
  <c r="AZ150" i="10"/>
  <c r="AX150" i="10"/>
  <c r="AW150" i="10"/>
  <c r="AU150" i="10"/>
  <c r="P150" i="10"/>
  <c r="BA149" i="10"/>
  <c r="AY149" i="10"/>
  <c r="AV149" i="10"/>
  <c r="AT149" i="10"/>
  <c r="P149" i="10"/>
  <c r="AW148" i="10"/>
  <c r="BA148" i="10" s="1"/>
  <c r="AU148" i="10"/>
  <c r="AY148" i="10" s="1"/>
  <c r="P148" i="10"/>
  <c r="AW147" i="10"/>
  <c r="AV147" i="10"/>
  <c r="AU147" i="10"/>
  <c r="AT147" i="10"/>
  <c r="P147" i="10"/>
  <c r="AW146" i="10"/>
  <c r="AV146" i="10"/>
  <c r="AU146" i="10"/>
  <c r="P146" i="10"/>
  <c r="AW145" i="10"/>
  <c r="AV145" i="10"/>
  <c r="AU145" i="10"/>
  <c r="AT145" i="10"/>
  <c r="P145" i="10"/>
  <c r="AW144" i="10"/>
  <c r="AV144" i="10"/>
  <c r="AU144" i="10"/>
  <c r="AT144" i="10"/>
  <c r="P144" i="10"/>
  <c r="AW143" i="10"/>
  <c r="AV143" i="10"/>
  <c r="AU143" i="10"/>
  <c r="AT143" i="10"/>
  <c r="P143" i="10"/>
  <c r="AW142" i="10"/>
  <c r="AV142" i="10"/>
  <c r="AU142" i="10"/>
  <c r="AT142" i="10"/>
  <c r="P142" i="10"/>
  <c r="AW141" i="10"/>
  <c r="AV141" i="10"/>
  <c r="AU141" i="10"/>
  <c r="AT141" i="10"/>
  <c r="P141" i="10"/>
  <c r="AW140" i="10"/>
  <c r="AV140" i="10"/>
  <c r="AU140" i="10"/>
  <c r="AT140" i="10"/>
  <c r="P140" i="10"/>
  <c r="AW139" i="10"/>
  <c r="AV139" i="10"/>
  <c r="AU139" i="10"/>
  <c r="AT139" i="10"/>
  <c r="P139" i="10"/>
  <c r="AW138" i="10"/>
  <c r="AV138" i="10"/>
  <c r="AU138" i="10"/>
  <c r="AT138" i="10"/>
  <c r="P138" i="10"/>
  <c r="AW137" i="10"/>
  <c r="AZ137" i="10" s="1"/>
  <c r="AU137" i="10"/>
  <c r="AX137" i="10" s="1"/>
  <c r="P137" i="10"/>
  <c r="BA136" i="10"/>
  <c r="AY136" i="10"/>
  <c r="P136" i="10"/>
  <c r="BA135" i="10"/>
  <c r="AY135" i="10"/>
  <c r="P135" i="10"/>
  <c r="AW131" i="10"/>
  <c r="AZ131" i="10" s="1"/>
  <c r="BA131" i="10" s="1"/>
  <c r="AU131" i="10"/>
  <c r="P131" i="10"/>
  <c r="AW130" i="10"/>
  <c r="BA130" i="10" s="1"/>
  <c r="AU130" i="10"/>
  <c r="AY130" i="10" s="1"/>
  <c r="P130" i="10"/>
  <c r="AV129" i="10"/>
  <c r="AZ129" i="10" s="1"/>
  <c r="AT129" i="10"/>
  <c r="AX129" i="10" s="1"/>
  <c r="AY129" i="10" s="1"/>
  <c r="P129" i="10"/>
  <c r="AW128" i="10"/>
  <c r="AV128" i="10"/>
  <c r="AU128" i="10"/>
  <c r="AT128" i="10"/>
  <c r="P128" i="10"/>
  <c r="AW127" i="10"/>
  <c r="AV127" i="10"/>
  <c r="AU127" i="10"/>
  <c r="AT127" i="10"/>
  <c r="P127" i="10"/>
  <c r="AW126" i="10"/>
  <c r="AV126" i="10"/>
  <c r="AU126" i="10"/>
  <c r="AT126" i="10"/>
  <c r="P126" i="10"/>
  <c r="AW125" i="10"/>
  <c r="AV125" i="10"/>
  <c r="AU125" i="10"/>
  <c r="AT125" i="10"/>
  <c r="P125" i="10"/>
  <c r="P124" i="10"/>
  <c r="AW123" i="10"/>
  <c r="AV123" i="10"/>
  <c r="AU123" i="10"/>
  <c r="AT123" i="10"/>
  <c r="U123" i="10"/>
  <c r="P123" i="10"/>
  <c r="AW122" i="10"/>
  <c r="AV122" i="10"/>
  <c r="AU122" i="10"/>
  <c r="AT122" i="10"/>
  <c r="U122" i="10"/>
  <c r="P122" i="10"/>
  <c r="U121" i="10"/>
  <c r="P121" i="10"/>
  <c r="AW120" i="10"/>
  <c r="AV120" i="10"/>
  <c r="AU120" i="10"/>
  <c r="AT120" i="10"/>
  <c r="P120" i="10"/>
  <c r="AZ119" i="10"/>
  <c r="AX119" i="10"/>
  <c r="AW119" i="10"/>
  <c r="AU119" i="10"/>
  <c r="P119" i="10"/>
  <c r="AZ118" i="10"/>
  <c r="AX118" i="10"/>
  <c r="AW118" i="10"/>
  <c r="AU118" i="10"/>
  <c r="P118" i="10"/>
  <c r="AZ117" i="10"/>
  <c r="AX117" i="10"/>
  <c r="AW117" i="10"/>
  <c r="AU117" i="10"/>
  <c r="P117" i="10"/>
  <c r="P116" i="10"/>
  <c r="AV115" i="10"/>
  <c r="AZ115" i="10" s="1"/>
  <c r="BA115" i="10" s="1"/>
  <c r="AT115" i="10"/>
  <c r="AX115" i="10" s="1"/>
  <c r="P115" i="10"/>
  <c r="AV114" i="10"/>
  <c r="AZ114" i="10" s="1"/>
  <c r="AT114" i="10"/>
  <c r="AX114" i="10" s="1"/>
  <c r="P114" i="10"/>
  <c r="P113" i="10"/>
  <c r="AV112" i="10"/>
  <c r="AZ112" i="10" s="1"/>
  <c r="BA112" i="10" s="1"/>
  <c r="AT112" i="10"/>
  <c r="AX112" i="10" s="1"/>
  <c r="AY112" i="10" s="1"/>
  <c r="P112" i="10"/>
  <c r="AW111" i="10"/>
  <c r="AZ111" i="10" s="1"/>
  <c r="AU111" i="10"/>
  <c r="P111" i="10"/>
  <c r="AW110" i="10"/>
  <c r="AV110" i="10"/>
  <c r="AU110" i="10"/>
  <c r="AT110" i="10"/>
  <c r="P110" i="10"/>
  <c r="AW109" i="10"/>
  <c r="AV109" i="10"/>
  <c r="AU109" i="10"/>
  <c r="AT109" i="10"/>
  <c r="P109" i="10"/>
  <c r="AW108" i="10"/>
  <c r="AV108" i="10"/>
  <c r="AU108" i="10"/>
  <c r="AT108" i="10"/>
  <c r="P108" i="10"/>
  <c r="AW107" i="10"/>
  <c r="AV107" i="10"/>
  <c r="AU107" i="10"/>
  <c r="AT107" i="10"/>
  <c r="P107" i="10"/>
  <c r="AW106" i="10"/>
  <c r="AV106" i="10"/>
  <c r="AU106" i="10"/>
  <c r="AT106" i="10"/>
  <c r="P106" i="10"/>
  <c r="AW105" i="10"/>
  <c r="AV105" i="10"/>
  <c r="AU105" i="10"/>
  <c r="AT105" i="10"/>
  <c r="P105" i="10"/>
  <c r="AW104" i="10"/>
  <c r="AV104" i="10"/>
  <c r="AU104" i="10"/>
  <c r="AT104" i="10"/>
  <c r="P104" i="10"/>
  <c r="AW103" i="10"/>
  <c r="AV103" i="10"/>
  <c r="AU103" i="10"/>
  <c r="AT103" i="10"/>
  <c r="P103" i="10"/>
  <c r="AW102" i="10"/>
  <c r="AV102" i="10"/>
  <c r="AU102" i="10"/>
  <c r="AT102" i="10"/>
  <c r="P102" i="10"/>
  <c r="AW101" i="10"/>
  <c r="AV101" i="10"/>
  <c r="AU101" i="10"/>
  <c r="AT101" i="10"/>
  <c r="P101" i="10"/>
  <c r="AW100" i="10"/>
  <c r="AV100" i="10"/>
  <c r="AU100" i="10"/>
  <c r="AT100" i="10"/>
  <c r="P100" i="10"/>
  <c r="AW99" i="10"/>
  <c r="AV99" i="10"/>
  <c r="AU99" i="10"/>
  <c r="AT99" i="10"/>
  <c r="P99" i="10"/>
  <c r="AW98" i="10"/>
  <c r="AV98" i="10"/>
  <c r="AU98" i="10"/>
  <c r="AT98" i="10"/>
  <c r="P98" i="10"/>
  <c r="AW97" i="10"/>
  <c r="AV97" i="10"/>
  <c r="AU97" i="10"/>
  <c r="AT97" i="10"/>
  <c r="P97" i="10"/>
  <c r="AV96" i="10"/>
  <c r="AU96" i="10"/>
  <c r="AT96" i="10"/>
  <c r="P96" i="10"/>
  <c r="AZ95" i="10"/>
  <c r="AX95" i="10"/>
  <c r="AW95" i="10"/>
  <c r="AV95" i="10"/>
  <c r="AU95" i="10"/>
  <c r="AT95" i="10"/>
  <c r="P95" i="10"/>
  <c r="AZ94" i="10"/>
  <c r="AX94" i="10"/>
  <c r="AW94" i="10"/>
  <c r="AV94" i="10"/>
  <c r="AU94" i="10"/>
  <c r="AT94" i="10"/>
  <c r="P94" i="10"/>
  <c r="AZ93" i="10"/>
  <c r="AX93" i="10"/>
  <c r="AW93" i="10"/>
  <c r="AV93" i="10"/>
  <c r="AU93" i="10"/>
  <c r="AT93" i="10"/>
  <c r="P93" i="10"/>
  <c r="AZ92" i="10"/>
  <c r="BA92" i="10" s="1"/>
  <c r="AX92" i="10"/>
  <c r="AY92" i="10" s="1"/>
  <c r="AV92" i="10"/>
  <c r="AT92" i="10"/>
  <c r="P92" i="10"/>
  <c r="AW91" i="10"/>
  <c r="AV91" i="10"/>
  <c r="AU91" i="10"/>
  <c r="AT91" i="10"/>
  <c r="P91" i="10"/>
  <c r="AW90" i="10"/>
  <c r="AV90" i="10"/>
  <c r="AU90" i="10"/>
  <c r="AT90" i="10"/>
  <c r="P90" i="10"/>
  <c r="AZ89" i="10"/>
  <c r="BA89" i="10" s="1"/>
  <c r="AX89" i="10"/>
  <c r="AY89" i="10" s="1"/>
  <c r="P89" i="10"/>
  <c r="AZ88" i="10"/>
  <c r="BA88" i="10" s="1"/>
  <c r="AX88" i="10"/>
  <c r="P88" i="10"/>
  <c r="AZ87" i="10"/>
  <c r="BA87" i="10" s="1"/>
  <c r="AX87" i="10"/>
  <c r="AY87" i="10" s="1"/>
  <c r="P87" i="10"/>
  <c r="AZ86" i="10"/>
  <c r="BA86" i="10" s="1"/>
  <c r="AX86" i="10"/>
  <c r="P86" i="10"/>
  <c r="AZ85" i="10"/>
  <c r="BA85" i="10" s="1"/>
  <c r="AX85" i="10"/>
  <c r="AY85" i="10" s="1"/>
  <c r="P85" i="10"/>
  <c r="AZ84" i="10"/>
  <c r="BA84" i="10" s="1"/>
  <c r="AX84" i="10"/>
  <c r="AY84" i="10" s="1"/>
  <c r="P84" i="10"/>
  <c r="AZ83" i="10"/>
  <c r="BA83" i="10" s="1"/>
  <c r="AX83" i="10"/>
  <c r="AY83" i="10" s="1"/>
  <c r="P83" i="10"/>
  <c r="AZ82" i="10"/>
  <c r="BA82" i="10" s="1"/>
  <c r="AX82" i="10"/>
  <c r="AY82" i="10" s="1"/>
  <c r="P82" i="10"/>
  <c r="AZ81" i="10"/>
  <c r="BA81" i="10" s="1"/>
  <c r="AX81" i="10"/>
  <c r="AY81" i="10" s="1"/>
  <c r="P81" i="10"/>
  <c r="AZ80" i="10"/>
  <c r="BA80" i="10" s="1"/>
  <c r="AX80" i="10"/>
  <c r="P80" i="10"/>
  <c r="AZ79" i="10"/>
  <c r="BA79" i="10" s="1"/>
  <c r="AX79" i="10"/>
  <c r="AY79" i="10" s="1"/>
  <c r="P79" i="10"/>
  <c r="AZ78" i="10"/>
  <c r="BA78" i="10" s="1"/>
  <c r="AX78" i="10"/>
  <c r="P78" i="10"/>
  <c r="AZ77" i="10"/>
  <c r="BA77" i="10" s="1"/>
  <c r="AX77" i="10"/>
  <c r="AY77" i="10" s="1"/>
  <c r="P77" i="10"/>
  <c r="AZ76" i="10"/>
  <c r="BA76" i="10" s="1"/>
  <c r="AX76" i="10"/>
  <c r="AY76" i="10" s="1"/>
  <c r="P76" i="10"/>
  <c r="AW75" i="10"/>
  <c r="AV75" i="10"/>
  <c r="AU75" i="10"/>
  <c r="AT75" i="10"/>
  <c r="P75" i="10"/>
  <c r="AZ74" i="10"/>
  <c r="BA74" i="10" s="1"/>
  <c r="AX74" i="10"/>
  <c r="AY74" i="10" s="1"/>
  <c r="P74" i="10"/>
  <c r="AZ73" i="10"/>
  <c r="BA73" i="10" s="1"/>
  <c r="AX73" i="10"/>
  <c r="AY73" i="10" s="1"/>
  <c r="P73" i="10"/>
  <c r="AZ72" i="10"/>
  <c r="BA72" i="10" s="1"/>
  <c r="AX72" i="10"/>
  <c r="AY72" i="10" s="1"/>
  <c r="P72" i="10"/>
  <c r="AZ71" i="10"/>
  <c r="BA71" i="10" s="1"/>
  <c r="AX71" i="10"/>
  <c r="P71" i="10"/>
  <c r="AZ70" i="10"/>
  <c r="BA70" i="10" s="1"/>
  <c r="AX70" i="10"/>
  <c r="AY70" i="10" s="1"/>
  <c r="P70" i="10"/>
  <c r="AZ69" i="10"/>
  <c r="BA69" i="10" s="1"/>
  <c r="AX69" i="10"/>
  <c r="P69" i="10"/>
  <c r="AZ68" i="10"/>
  <c r="BA68" i="10" s="1"/>
  <c r="AX68" i="10"/>
  <c r="P68" i="10"/>
  <c r="AW67" i="10"/>
  <c r="AU67" i="10"/>
  <c r="AX67" i="10" s="1"/>
  <c r="AY67" i="10" s="1"/>
  <c r="P67" i="10"/>
  <c r="AV66" i="10"/>
  <c r="AZ66" i="10" s="1"/>
  <c r="BA66" i="10" s="1"/>
  <c r="AT66" i="10"/>
  <c r="AX66" i="10" s="1"/>
  <c r="P66" i="10"/>
  <c r="AV65" i="10"/>
  <c r="AZ65" i="10" s="1"/>
  <c r="BA65" i="10" s="1"/>
  <c r="AT65" i="10"/>
  <c r="AX65" i="10" s="1"/>
  <c r="AY65" i="10" s="1"/>
  <c r="P65" i="10"/>
  <c r="AV64" i="10"/>
  <c r="AZ64" i="10" s="1"/>
  <c r="BA64" i="10" s="1"/>
  <c r="AT64" i="10"/>
  <c r="AX64" i="10" s="1"/>
  <c r="P64" i="10"/>
  <c r="AV63" i="10"/>
  <c r="AZ63" i="10" s="1"/>
  <c r="BA63" i="10" s="1"/>
  <c r="AT63" i="10"/>
  <c r="AX63" i="10" s="1"/>
  <c r="AY63" i="10" s="1"/>
  <c r="P63" i="10"/>
  <c r="AV62" i="10"/>
  <c r="AZ62" i="10" s="1"/>
  <c r="BA62" i="10" s="1"/>
  <c r="AT62" i="10"/>
  <c r="AX62" i="10" s="1"/>
  <c r="P62" i="10"/>
  <c r="AV61" i="10"/>
  <c r="AZ61" i="10" s="1"/>
  <c r="BA61" i="10" s="1"/>
  <c r="AT61" i="10"/>
  <c r="AX61" i="10" s="1"/>
  <c r="AY61" i="10" s="1"/>
  <c r="P61" i="10"/>
  <c r="AV60" i="10"/>
  <c r="AZ60" i="10" s="1"/>
  <c r="BA60" i="10" s="1"/>
  <c r="AT60" i="10"/>
  <c r="AX60" i="10" s="1"/>
  <c r="P60" i="10"/>
  <c r="AV59" i="10"/>
  <c r="AZ59" i="10" s="1"/>
  <c r="BA59" i="10" s="1"/>
  <c r="AT59" i="10"/>
  <c r="AX59" i="10" s="1"/>
  <c r="P59" i="10"/>
  <c r="AW58" i="10"/>
  <c r="AV58" i="10"/>
  <c r="AU58" i="10"/>
  <c r="AT58" i="10"/>
  <c r="P58" i="10"/>
  <c r="AW57" i="10"/>
  <c r="AZ57" i="10" s="1"/>
  <c r="AU57" i="10"/>
  <c r="AX57" i="10" s="1"/>
  <c r="P57" i="10"/>
  <c r="AW56" i="10"/>
  <c r="AU56" i="10"/>
  <c r="AX56" i="10" s="1"/>
  <c r="P56" i="10"/>
  <c r="AW55" i="10"/>
  <c r="AV55" i="10"/>
  <c r="AU55" i="10"/>
  <c r="AX55" i="10" s="1"/>
  <c r="P55" i="10"/>
  <c r="AW54" i="10"/>
  <c r="AV54" i="10"/>
  <c r="AU54" i="10"/>
  <c r="P54" i="10"/>
  <c r="P53" i="10"/>
  <c r="AV52" i="10"/>
  <c r="AZ52" i="10" s="1"/>
  <c r="BA52" i="10" s="1"/>
  <c r="AT52" i="10"/>
  <c r="AX52" i="10" s="1"/>
  <c r="P52" i="10"/>
  <c r="AW51" i="10"/>
  <c r="AV51" i="10"/>
  <c r="AU51" i="10"/>
  <c r="AT51" i="10"/>
  <c r="P51" i="10"/>
  <c r="AZ50" i="10"/>
  <c r="AX50" i="10"/>
  <c r="AY50" i="10" s="1"/>
  <c r="P50" i="10"/>
  <c r="AZ49" i="10"/>
  <c r="BA49" i="10" s="1"/>
  <c r="AX49" i="10"/>
  <c r="AY49" i="10" s="1"/>
  <c r="P49" i="10"/>
  <c r="AZ48" i="10"/>
  <c r="BA48" i="10" s="1"/>
  <c r="AX48" i="10"/>
  <c r="AY48" i="10" s="1"/>
  <c r="P48" i="10"/>
  <c r="AZ47" i="10"/>
  <c r="BA47" i="10" s="1"/>
  <c r="AX47" i="10"/>
  <c r="AY47" i="10" s="1"/>
  <c r="P47" i="10"/>
  <c r="P46" i="10"/>
  <c r="AW45" i="10"/>
  <c r="AV45" i="10"/>
  <c r="AU45" i="10"/>
  <c r="AT45" i="10"/>
  <c r="P45" i="10"/>
  <c r="AW44" i="10"/>
  <c r="AV44" i="10"/>
  <c r="AU44" i="10"/>
  <c r="AT44" i="10"/>
  <c r="P44" i="10"/>
  <c r="AW43" i="10"/>
  <c r="AV43" i="10"/>
  <c r="AU43" i="10"/>
  <c r="AT43" i="10"/>
  <c r="P43" i="10"/>
  <c r="AW42" i="10"/>
  <c r="AV42" i="10"/>
  <c r="AU42" i="10"/>
  <c r="AT42" i="10"/>
  <c r="P42" i="10"/>
  <c r="P41" i="10"/>
  <c r="AZ40" i="10"/>
  <c r="BA40" i="10" s="1"/>
  <c r="AU40" i="10"/>
  <c r="AT40" i="10"/>
  <c r="P40" i="10"/>
  <c r="AZ39" i="10"/>
  <c r="BA39" i="10" s="1"/>
  <c r="AU39" i="10"/>
  <c r="AT39" i="10"/>
  <c r="P39" i="10"/>
  <c r="AZ38" i="10"/>
  <c r="BA38" i="10" s="1"/>
  <c r="AU38" i="10"/>
  <c r="AT38" i="10"/>
  <c r="P38" i="10"/>
  <c r="AZ37" i="10"/>
  <c r="BA37" i="10" s="1"/>
  <c r="AU37" i="10"/>
  <c r="AT37" i="10"/>
  <c r="P37" i="10"/>
  <c r="P36" i="10"/>
  <c r="AW35" i="10"/>
  <c r="AV35" i="10"/>
  <c r="AU35" i="10"/>
  <c r="AT35" i="10"/>
  <c r="P35" i="10"/>
  <c r="AW34" i="10"/>
  <c r="AV34" i="10"/>
  <c r="AU34" i="10"/>
  <c r="AT34" i="10"/>
  <c r="P34" i="10"/>
  <c r="AW33" i="10"/>
  <c r="AV33" i="10"/>
  <c r="AU33" i="10"/>
  <c r="AT33" i="10"/>
  <c r="P33" i="10"/>
  <c r="AW32" i="10"/>
  <c r="AV32" i="10"/>
  <c r="AU32" i="10"/>
  <c r="AT32" i="10"/>
  <c r="P32" i="10"/>
  <c r="AW31" i="10"/>
  <c r="AV31" i="10"/>
  <c r="AU31" i="10"/>
  <c r="AT31" i="10"/>
  <c r="P31" i="10"/>
  <c r="AW30" i="10"/>
  <c r="AV30" i="10"/>
  <c r="AU30" i="10"/>
  <c r="AT30" i="10"/>
  <c r="P30" i="10"/>
  <c r="AW29" i="10"/>
  <c r="AV29" i="10"/>
  <c r="AU29" i="10"/>
  <c r="AT29" i="10"/>
  <c r="P29" i="10"/>
  <c r="AW28" i="10"/>
  <c r="AV28" i="10"/>
  <c r="AU28" i="10"/>
  <c r="AT28" i="10"/>
  <c r="P28" i="10"/>
  <c r="AW27" i="10"/>
  <c r="AV27" i="10"/>
  <c r="AU27" i="10"/>
  <c r="AT27" i="10"/>
  <c r="P27" i="10"/>
  <c r="AW26" i="10"/>
  <c r="AV26" i="10"/>
  <c r="AU26" i="10"/>
  <c r="AT26" i="10"/>
  <c r="P26" i="10"/>
  <c r="P25" i="10"/>
  <c r="AZ24" i="10"/>
  <c r="AX24" i="10"/>
  <c r="AW24" i="10"/>
  <c r="AU24" i="10"/>
  <c r="P24" i="10"/>
  <c r="AV23" i="10"/>
  <c r="AZ23" i="10" s="1"/>
  <c r="BA23" i="10" s="1"/>
  <c r="AT23" i="10"/>
  <c r="AX23" i="10" s="1"/>
  <c r="P23" i="10"/>
  <c r="AV22" i="10"/>
  <c r="AZ22" i="10" s="1"/>
  <c r="BA22" i="10" s="1"/>
  <c r="AT22" i="10"/>
  <c r="AX22" i="10" s="1"/>
  <c r="P22" i="10"/>
  <c r="AV21" i="10"/>
  <c r="AZ21" i="10" s="1"/>
  <c r="BA21" i="10" s="1"/>
  <c r="AT21" i="10"/>
  <c r="AX21" i="10" s="1"/>
  <c r="P21" i="10"/>
  <c r="AV20" i="10"/>
  <c r="AZ20" i="10" s="1"/>
  <c r="AT20" i="10"/>
  <c r="AX20" i="10" s="1"/>
  <c r="AY20" i="10" s="1"/>
  <c r="P20" i="10"/>
  <c r="BA19" i="10"/>
  <c r="AZ19" i="10"/>
  <c r="AY19" i="10"/>
  <c r="AX19" i="10"/>
  <c r="P19" i="10"/>
  <c r="AW18" i="10"/>
  <c r="AV18" i="10" s="1"/>
  <c r="AZ18" i="10" s="1"/>
  <c r="AU18" i="10"/>
  <c r="AT18" i="10" s="1"/>
  <c r="AX18" i="10" s="1"/>
  <c r="P18" i="10"/>
  <c r="BA17" i="10"/>
  <c r="AY17" i="10"/>
  <c r="P17" i="10"/>
  <c r="AZ16" i="10"/>
  <c r="BA16" i="10" s="1"/>
  <c r="AX16" i="10"/>
  <c r="P16" i="10"/>
  <c r="A16" i="10"/>
  <c r="AW14" i="10"/>
  <c r="AV14" i="10"/>
  <c r="AU14" i="10"/>
  <c r="AT14" i="10"/>
  <c r="P14" i="10"/>
  <c r="AW13" i="10"/>
  <c r="AV13" i="10"/>
  <c r="AU13" i="10"/>
  <c r="AT13" i="10"/>
  <c r="P13" i="10"/>
  <c r="AW12" i="10"/>
  <c r="AV12" i="10"/>
  <c r="AU12" i="10"/>
  <c r="AT12" i="10"/>
  <c r="P12" i="10"/>
  <c r="AW11" i="10"/>
  <c r="AV11" i="10"/>
  <c r="AU11" i="10"/>
  <c r="AT11" i="10"/>
  <c r="P11" i="10"/>
  <c r="AW10" i="10"/>
  <c r="AV10" i="10"/>
  <c r="AU10" i="10"/>
  <c r="AT10" i="10"/>
  <c r="P10" i="10"/>
  <c r="AW9" i="10"/>
  <c r="AV9" i="10"/>
  <c r="AU9" i="10"/>
  <c r="AT9" i="10"/>
  <c r="P9" i="10"/>
  <c r="AW15" i="10"/>
  <c r="AV15" i="10"/>
  <c r="AU15" i="10"/>
  <c r="AT15" i="10"/>
  <c r="P15" i="10"/>
  <c r="AW8" i="10"/>
  <c r="AV8" i="10"/>
  <c r="AU8" i="10"/>
  <c r="AT8" i="10"/>
  <c r="P8" i="10"/>
  <c r="A8" i="10"/>
  <c r="AW7" i="10"/>
  <c r="AV7" i="10"/>
  <c r="AU7" i="10"/>
  <c r="AT7" i="10"/>
  <c r="P7" i="10"/>
  <c r="A7" i="10"/>
  <c r="AW6" i="10"/>
  <c r="AV6" i="10"/>
  <c r="AU6" i="10"/>
  <c r="AT6" i="10"/>
  <c r="P6" i="10"/>
  <c r="A6" i="10"/>
  <c r="AV5" i="10"/>
  <c r="AT5" i="10"/>
  <c r="P5" i="10"/>
  <c r="A5" i="10"/>
  <c r="BA4" i="10"/>
  <c r="AZ4" i="10"/>
  <c r="AY4" i="10"/>
  <c r="AX4" i="10"/>
  <c r="AW4" i="10"/>
  <c r="AU4" i="10"/>
  <c r="P4" i="10"/>
  <c r="A4" i="10"/>
  <c r="BA3" i="10"/>
  <c r="AZ3" i="10"/>
  <c r="AY3" i="10"/>
  <c r="AX3" i="10"/>
  <c r="AW3" i="10"/>
  <c r="AU3" i="10"/>
  <c r="P3" i="10"/>
  <c r="A3" i="10"/>
  <c r="P2" i="10"/>
  <c r="A2" i="10"/>
  <c r="BA212" i="10" l="1"/>
  <c r="AY16" i="10"/>
  <c r="BB16" i="10" s="1"/>
  <c r="AY68" i="10"/>
  <c r="BB68" i="10" s="1"/>
  <c r="AY212" i="10"/>
  <c r="AX265" i="10"/>
  <c r="AX257" i="10" s="1"/>
  <c r="AZ265" i="10"/>
  <c r="AZ257" i="10" s="1"/>
  <c r="AZ161" i="10"/>
  <c r="BA161" i="10" s="1"/>
  <c r="AZ123" i="10"/>
  <c r="BA123" i="10" s="1"/>
  <c r="AX145" i="10"/>
  <c r="AY145" i="10" s="1"/>
  <c r="AX196" i="10"/>
  <c r="AY196" i="10" s="1"/>
  <c r="AX75" i="10"/>
  <c r="AY75" i="10" s="1"/>
  <c r="AZ175" i="10"/>
  <c r="BA175" i="10" s="1"/>
  <c r="AV119" i="10"/>
  <c r="AX139" i="10"/>
  <c r="AY139" i="10" s="1"/>
  <c r="AX143" i="10"/>
  <c r="AY143" i="10" s="1"/>
  <c r="AY274" i="10"/>
  <c r="AV171" i="10"/>
  <c r="AW2" i="10"/>
  <c r="AV2" i="10" s="1"/>
  <c r="AZ167" i="10"/>
  <c r="BA167" i="10" s="1"/>
  <c r="AX175" i="10"/>
  <c r="AY175" i="10" s="1"/>
  <c r="AV162" i="10"/>
  <c r="BA274" i="10"/>
  <c r="AZ42" i="10"/>
  <c r="BA42" i="10" s="1"/>
  <c r="AX58" i="10"/>
  <c r="AY58" i="10" s="1"/>
  <c r="BA173" i="10"/>
  <c r="AV118" i="10"/>
  <c r="AX38" i="10"/>
  <c r="AY38" i="10" s="1"/>
  <c r="AZ141" i="10"/>
  <c r="BA141" i="10" s="1"/>
  <c r="AX44" i="10"/>
  <c r="AY44" i="10" s="1"/>
  <c r="AX167" i="10"/>
  <c r="AY167" i="10" s="1"/>
  <c r="AT150" i="10"/>
  <c r="BA94" i="10"/>
  <c r="BB176" i="10"/>
  <c r="BB148" i="10"/>
  <c r="BB180" i="10"/>
  <c r="BA57" i="10"/>
  <c r="AZ151" i="10"/>
  <c r="BA151" i="10" s="1"/>
  <c r="AV24" i="10"/>
  <c r="AZ146" i="10"/>
  <c r="BA146" i="10" s="1"/>
  <c r="AX123" i="10"/>
  <c r="AY123" i="10" s="1"/>
  <c r="AZ127" i="10"/>
  <c r="BA127" i="10" s="1"/>
  <c r="AZ7" i="10"/>
  <c r="BA7" i="10" s="1"/>
  <c r="AX15" i="10"/>
  <c r="AY15" i="10" s="1"/>
  <c r="AZ10" i="10"/>
  <c r="BA10" i="10" s="1"/>
  <c r="AX12" i="10"/>
  <c r="AY12" i="10" s="1"/>
  <c r="AZ14" i="10"/>
  <c r="BA14" i="10" s="1"/>
  <c r="AZ51" i="10"/>
  <c r="BA51" i="10" s="1"/>
  <c r="AX90" i="10"/>
  <c r="AY90" i="10" s="1"/>
  <c r="AX100" i="10"/>
  <c r="AY100" i="10" s="1"/>
  <c r="AZ102" i="10"/>
  <c r="BA102" i="10" s="1"/>
  <c r="AX104" i="10"/>
  <c r="AY104" i="10" s="1"/>
  <c r="AX108" i="10"/>
  <c r="AY108" i="10" s="1"/>
  <c r="BB193" i="10"/>
  <c r="AZ195" i="10"/>
  <c r="BA195" i="10" s="1"/>
  <c r="BB262" i="10"/>
  <c r="BB266" i="10"/>
  <c r="AV117" i="10"/>
  <c r="BA150" i="10"/>
  <c r="AV172" i="10"/>
  <c r="BA174" i="10"/>
  <c r="AW19" i="10"/>
  <c r="AV19" i="10" s="1"/>
  <c r="AZ26" i="10"/>
  <c r="BA26" i="10" s="1"/>
  <c r="AX28" i="10"/>
  <c r="AY28" i="10" s="1"/>
  <c r="AZ30" i="10"/>
  <c r="BA30" i="10" s="1"/>
  <c r="AX32" i="10"/>
  <c r="AY32" i="10" s="1"/>
  <c r="AZ34" i="10"/>
  <c r="BA34" i="10" s="1"/>
  <c r="AX51" i="10"/>
  <c r="AY51" i="10" s="1"/>
  <c r="AZ90" i="10"/>
  <c r="BA90" i="10" s="1"/>
  <c r="BA95" i="10"/>
  <c r="AX98" i="10"/>
  <c r="AY98" i="10" s="1"/>
  <c r="BB135" i="10"/>
  <c r="BB215" i="10"/>
  <c r="BB219" i="10"/>
  <c r="BB223" i="10"/>
  <c r="BB231" i="10"/>
  <c r="BB239" i="10"/>
  <c r="BB247" i="10"/>
  <c r="BB251" i="10"/>
  <c r="BB264" i="10"/>
  <c r="BB17" i="10"/>
  <c r="BB227" i="10"/>
  <c r="BB235" i="10"/>
  <c r="BB243" i="10"/>
  <c r="BB255" i="10"/>
  <c r="BB48" i="10"/>
  <c r="BB206" i="10"/>
  <c r="BB210" i="10"/>
  <c r="BB213" i="10"/>
  <c r="BB217" i="10"/>
  <c r="BB221" i="10"/>
  <c r="BB225" i="10"/>
  <c r="BB229" i="10"/>
  <c r="BB233" i="10"/>
  <c r="BB237" i="10"/>
  <c r="BB241" i="10"/>
  <c r="BB245" i="10"/>
  <c r="BB249" i="10"/>
  <c r="BB253" i="10"/>
  <c r="BB263" i="10"/>
  <c r="AY115" i="10"/>
  <c r="BB115" i="10" s="1"/>
  <c r="AZ6" i="10"/>
  <c r="BA6" i="10" s="1"/>
  <c r="AX8" i="10"/>
  <c r="AY8" i="10" s="1"/>
  <c r="AZ9" i="10"/>
  <c r="BA9" i="10" s="1"/>
  <c r="AX11" i="10"/>
  <c r="AY11" i="10" s="1"/>
  <c r="AZ13" i="10"/>
  <c r="BA13" i="10" s="1"/>
  <c r="AU19" i="10"/>
  <c r="AT19" i="10" s="1"/>
  <c r="AZ27" i="10"/>
  <c r="BA27" i="10" s="1"/>
  <c r="AX29" i="10"/>
  <c r="AY29" i="10" s="1"/>
  <c r="AZ31" i="10"/>
  <c r="BA31" i="10" s="1"/>
  <c r="AX33" i="10"/>
  <c r="AY33" i="10" s="1"/>
  <c r="AZ35" i="10"/>
  <c r="BA35" i="10" s="1"/>
  <c r="AX40" i="10"/>
  <c r="AY40" i="10" s="1"/>
  <c r="BB40" i="10" s="1"/>
  <c r="AX43" i="10"/>
  <c r="AY43" i="10" s="1"/>
  <c r="AZ45" i="10"/>
  <c r="BA45" i="10" s="1"/>
  <c r="AY94" i="10"/>
  <c r="AX97" i="10"/>
  <c r="AY97" i="10" s="1"/>
  <c r="AZ103" i="10"/>
  <c r="BA103" i="10" s="1"/>
  <c r="AZ126" i="10"/>
  <c r="BA126" i="10" s="1"/>
  <c r="BA137" i="10"/>
  <c r="AX138" i="10"/>
  <c r="AY138" i="10" s="1"/>
  <c r="AZ140" i="10"/>
  <c r="BA140" i="10" s="1"/>
  <c r="BB149" i="10"/>
  <c r="AZ169" i="10"/>
  <c r="BA169" i="10" s="1"/>
  <c r="AT194" i="10"/>
  <c r="BA194" i="10"/>
  <c r="BB194" i="10" s="1"/>
  <c r="AX195" i="10"/>
  <c r="AY195" i="10" s="1"/>
  <c r="BA196" i="10"/>
  <c r="BB216" i="10"/>
  <c r="BB220" i="10"/>
  <c r="BB224" i="10"/>
  <c r="BB228" i="10"/>
  <c r="BB232" i="10"/>
  <c r="BB236" i="10"/>
  <c r="BB240" i="10"/>
  <c r="BB244" i="10"/>
  <c r="BB248" i="10"/>
  <c r="BB252" i="10"/>
  <c r="BA261" i="10"/>
  <c r="BA93" i="10"/>
  <c r="BA118" i="10"/>
  <c r="BA119" i="10"/>
  <c r="BA256" i="10"/>
  <c r="BB256" i="10" s="1"/>
  <c r="AY260" i="10"/>
  <c r="AU2" i="10"/>
  <c r="AT2" i="10" s="1"/>
  <c r="AX6" i="10"/>
  <c r="AY6" i="10" s="1"/>
  <c r="AZ8" i="10"/>
  <c r="BA8" i="10" s="1"/>
  <c r="AX9" i="10"/>
  <c r="AY9" i="10" s="1"/>
  <c r="AZ11" i="10"/>
  <c r="BA11" i="10" s="1"/>
  <c r="AX13" i="10"/>
  <c r="AY13" i="10" s="1"/>
  <c r="AX27" i="10"/>
  <c r="AY27" i="10" s="1"/>
  <c r="AZ29" i="10"/>
  <c r="BA29" i="10" s="1"/>
  <c r="AX31" i="10"/>
  <c r="AY31" i="10" s="1"/>
  <c r="AZ33" i="10"/>
  <c r="BA33" i="10" s="1"/>
  <c r="AX35" i="10"/>
  <c r="AY35" i="10" s="1"/>
  <c r="AX37" i="10"/>
  <c r="AY37" i="10" s="1"/>
  <c r="AX39" i="10"/>
  <c r="AY39" i="10" s="1"/>
  <c r="BB39" i="10" s="1"/>
  <c r="AZ91" i="10"/>
  <c r="BA91" i="10" s="1"/>
  <c r="AX99" i="10"/>
  <c r="AY99" i="10" s="1"/>
  <c r="AZ101" i="10"/>
  <c r="BA101" i="10" s="1"/>
  <c r="AW124" i="10"/>
  <c r="AV124" i="10" s="1"/>
  <c r="AZ128" i="10"/>
  <c r="BA128" i="10" s="1"/>
  <c r="AX144" i="10"/>
  <c r="AY144" i="10" s="1"/>
  <c r="AX147" i="10"/>
  <c r="AY147" i="10" s="1"/>
  <c r="AX160" i="10"/>
  <c r="AY160" i="10" s="1"/>
  <c r="AT172" i="10"/>
  <c r="AZ178" i="10"/>
  <c r="BA178" i="10" s="1"/>
  <c r="BB203" i="10"/>
  <c r="BB207" i="10"/>
  <c r="BB211" i="10"/>
  <c r="BB214" i="10"/>
  <c r="BB218" i="10"/>
  <c r="BB222" i="10"/>
  <c r="BB226" i="10"/>
  <c r="BB230" i="10"/>
  <c r="BB234" i="10"/>
  <c r="BB238" i="10"/>
  <c r="BB242" i="10"/>
  <c r="BB246" i="10"/>
  <c r="BB250" i="10"/>
  <c r="BB254" i="10"/>
  <c r="AT258" i="10"/>
  <c r="BB47" i="10"/>
  <c r="AU53" i="10"/>
  <c r="AU46" i="10" s="1"/>
  <c r="AZ56" i="10"/>
  <c r="BA56" i="10" s="1"/>
  <c r="AZ97" i="10"/>
  <c r="BA97" i="10" s="1"/>
  <c r="AZ98" i="10"/>
  <c r="BA98" i="10" s="1"/>
  <c r="AX122" i="10"/>
  <c r="AY122" i="10" s="1"/>
  <c r="AY177" i="10"/>
  <c r="BB177" i="10" s="1"/>
  <c r="BB3" i="10"/>
  <c r="BB63" i="10"/>
  <c r="AY95" i="10"/>
  <c r="AZ67" i="10"/>
  <c r="AZ2" i="10" s="1"/>
  <c r="BB73" i="10"/>
  <c r="BB82" i="10"/>
  <c r="AZ125" i="10"/>
  <c r="BA125" i="10" s="1"/>
  <c r="AV199" i="10"/>
  <c r="AZ199" i="10" s="1"/>
  <c r="BA199" i="10" s="1"/>
  <c r="AY69" i="10"/>
  <c r="BB69" i="10" s="1"/>
  <c r="AY71" i="10"/>
  <c r="BB71" i="10" s="1"/>
  <c r="AZ96" i="10"/>
  <c r="AT117" i="10"/>
  <c r="AZ155" i="10"/>
  <c r="BA155" i="10" s="1"/>
  <c r="AZ168" i="10"/>
  <c r="BA168" i="10" s="1"/>
  <c r="AT171" i="10"/>
  <c r="BB269" i="10"/>
  <c r="AY56" i="10"/>
  <c r="AY80" i="10"/>
  <c r="BB80" i="10" s="1"/>
  <c r="AY88" i="10"/>
  <c r="BB88" i="10" s="1"/>
  <c r="AY117" i="10"/>
  <c r="AX153" i="10"/>
  <c r="AZ156" i="10"/>
  <c r="BA156" i="10" s="1"/>
  <c r="AY168" i="10"/>
  <c r="AY171" i="10"/>
  <c r="BA172" i="10"/>
  <c r="AV174" i="10"/>
  <c r="AX202" i="10"/>
  <c r="AY202" i="10" s="1"/>
  <c r="BA259" i="10"/>
  <c r="AX2" i="10"/>
  <c r="AY2" i="10"/>
  <c r="BB4" i="10"/>
  <c r="AX7" i="10"/>
  <c r="AZ15" i="10"/>
  <c r="BA15" i="10" s="1"/>
  <c r="AX10" i="10"/>
  <c r="AY10" i="10" s="1"/>
  <c r="AZ12" i="10"/>
  <c r="BA12" i="10" s="1"/>
  <c r="AX14" i="10"/>
  <c r="BB19" i="10"/>
  <c r="AT24" i="10"/>
  <c r="AX26" i="10"/>
  <c r="AZ28" i="10"/>
  <c r="AX30" i="10"/>
  <c r="AY30" i="10" s="1"/>
  <c r="AU41" i="10"/>
  <c r="AU36" i="10" s="1"/>
  <c r="AU25" i="10" s="1"/>
  <c r="AZ43" i="10"/>
  <c r="BA43" i="10" s="1"/>
  <c r="AX45" i="10"/>
  <c r="AZ58" i="10"/>
  <c r="BA58" i="10" s="1"/>
  <c r="BB76" i="10"/>
  <c r="AY78" i="10"/>
  <c r="BB78" i="10" s="1"/>
  <c r="BB84" i="10"/>
  <c r="AY86" i="10"/>
  <c r="BB86" i="10" s="1"/>
  <c r="BA117" i="10"/>
  <c r="AZ120" i="10"/>
  <c r="BA120" i="10" s="1"/>
  <c r="AY137" i="10"/>
  <c r="AV150" i="10"/>
  <c r="AX155" i="10"/>
  <c r="AX161" i="10"/>
  <c r="AY161" i="10" s="1"/>
  <c r="AV173" i="10"/>
  <c r="BB181" i="10"/>
  <c r="AT199" i="10"/>
  <c r="AX199" i="10" s="1"/>
  <c r="BA200" i="10"/>
  <c r="AZ202" i="10"/>
  <c r="BA202" i="10" s="1"/>
  <c r="BA153" i="10"/>
  <c r="BB162" i="10"/>
  <c r="AY174" i="10"/>
  <c r="BB268" i="10"/>
  <c r="AZ32" i="10"/>
  <c r="BA32" i="10" s="1"/>
  <c r="AX34" i="10"/>
  <c r="AY34" i="10" s="1"/>
  <c r="AX42" i="10"/>
  <c r="AY42" i="10" s="1"/>
  <c r="AZ44" i="10"/>
  <c r="BA44" i="10" s="1"/>
  <c r="AZ75" i="10"/>
  <c r="BA75" i="10" s="1"/>
  <c r="AX91" i="10"/>
  <c r="AY93" i="10"/>
  <c r="AZ100" i="10"/>
  <c r="BA100" i="10" s="1"/>
  <c r="AX102" i="10"/>
  <c r="AY102" i="10" s="1"/>
  <c r="AX106" i="10"/>
  <c r="AY106" i="10" s="1"/>
  <c r="AX110" i="10"/>
  <c r="AY110" i="10" s="1"/>
  <c r="BA111" i="10"/>
  <c r="AX120" i="10"/>
  <c r="AY120" i="10" s="1"/>
  <c r="AX126" i="10"/>
  <c r="AY126" i="10" s="1"/>
  <c r="AX127" i="10"/>
  <c r="AY127" i="10" s="1"/>
  <c r="BB130" i="10"/>
  <c r="AX141" i="10"/>
  <c r="AY141" i="10" s="1"/>
  <c r="AX142" i="10"/>
  <c r="AY142" i="10" s="1"/>
  <c r="AZ144" i="10"/>
  <c r="BA144" i="10" s="1"/>
  <c r="AZ147" i="10"/>
  <c r="BA147" i="10" s="1"/>
  <c r="AY150" i="10"/>
  <c r="BA158" i="10"/>
  <c r="BB158" i="10" s="1"/>
  <c r="AZ160" i="10"/>
  <c r="AT162" i="10"/>
  <c r="AX169" i="10"/>
  <c r="AY169" i="10" s="1"/>
  <c r="BA171" i="10"/>
  <c r="AX178" i="10"/>
  <c r="AY178" i="10" s="1"/>
  <c r="AY183" i="10"/>
  <c r="BB183" i="10" s="1"/>
  <c r="BB205" i="10"/>
  <c r="BB209" i="10"/>
  <c r="BB267" i="10"/>
  <c r="AY18" i="10"/>
  <c r="AY52" i="10"/>
  <c r="BB52" i="10" s="1"/>
  <c r="AY22" i="10"/>
  <c r="BB22" i="10" s="1"/>
  <c r="AY21" i="10"/>
  <c r="BB21" i="10" s="1"/>
  <c r="BA20" i="10"/>
  <c r="BB20" i="10" s="1"/>
  <c r="BA18" i="10"/>
  <c r="BA114" i="10"/>
  <c r="AY23" i="10"/>
  <c r="BB23" i="10" s="1"/>
  <c r="BA50" i="10"/>
  <c r="BB50" i="10" s="1"/>
  <c r="AZ54" i="10"/>
  <c r="BA54" i="10" s="1"/>
  <c r="AY62" i="10"/>
  <c r="BB62" i="10" s="1"/>
  <c r="AY66" i="10"/>
  <c r="BB66" i="10" s="1"/>
  <c r="AY118" i="10"/>
  <c r="AT119" i="10"/>
  <c r="AY119" i="10"/>
  <c r="BA129" i="10"/>
  <c r="BB129" i="10" s="1"/>
  <c r="AY24" i="10"/>
  <c r="AT118" i="10"/>
  <c r="BA24" i="10"/>
  <c r="AY55" i="10"/>
  <c r="AY57" i="10"/>
  <c r="AY59" i="10"/>
  <c r="BB59" i="10" s="1"/>
  <c r="AZ99" i="10"/>
  <c r="BA99" i="10" s="1"/>
  <c r="AU124" i="10"/>
  <c r="AT124" i="10" s="1"/>
  <c r="BB49" i="10"/>
  <c r="AZ55" i="10"/>
  <c r="BA55" i="10" s="1"/>
  <c r="AY60" i="10"/>
  <c r="BB60" i="10" s="1"/>
  <c r="BB61" i="10"/>
  <c r="AY64" i="10"/>
  <c r="BB64" i="10" s="1"/>
  <c r="BB65" i="10"/>
  <c r="BB70" i="10"/>
  <c r="BB72" i="10"/>
  <c r="BB74" i="10"/>
  <c r="BB77" i="10"/>
  <c r="BB79" i="10"/>
  <c r="BB81" i="10"/>
  <c r="BB83" i="10"/>
  <c r="BB85" i="10"/>
  <c r="BB87" i="10"/>
  <c r="BB89" i="10"/>
  <c r="BB112" i="10"/>
  <c r="AZ122" i="10"/>
  <c r="BB92" i="10"/>
  <c r="AY172" i="10"/>
  <c r="AT173" i="10"/>
  <c r="AY173" i="10"/>
  <c r="BB208" i="10"/>
  <c r="AX54" i="10"/>
  <c r="AY54" i="10" s="1"/>
  <c r="AX101" i="10"/>
  <c r="AX103" i="10"/>
  <c r="AX105" i="10"/>
  <c r="AY105" i="10" s="1"/>
  <c r="AX107" i="10"/>
  <c r="AX109" i="10"/>
  <c r="AX111" i="10"/>
  <c r="AY111" i="10" s="1"/>
  <c r="AY114" i="10"/>
  <c r="AX128" i="10"/>
  <c r="AY128" i="10" s="1"/>
  <c r="AX131" i="10"/>
  <c r="AX140" i="10"/>
  <c r="AY140" i="10" s="1"/>
  <c r="AV198" i="10"/>
  <c r="AY259" i="10"/>
  <c r="AT259" i="10"/>
  <c r="AU257" i="10"/>
  <c r="AX125" i="10"/>
  <c r="AY125" i="10" s="1"/>
  <c r="AX151" i="10"/>
  <c r="AY182" i="10"/>
  <c r="BB182" i="10" s="1"/>
  <c r="AZ104" i="10"/>
  <c r="BA104" i="10" s="1"/>
  <c r="AZ105" i="10"/>
  <c r="BA105" i="10" s="1"/>
  <c r="AZ106" i="10"/>
  <c r="BA106" i="10" s="1"/>
  <c r="AZ107" i="10"/>
  <c r="BA107" i="10" s="1"/>
  <c r="AZ108" i="10"/>
  <c r="BA108" i="10" s="1"/>
  <c r="AZ109" i="10"/>
  <c r="BA109" i="10" s="1"/>
  <c r="AZ110" i="10"/>
  <c r="BA110" i="10" s="1"/>
  <c r="AZ139" i="10"/>
  <c r="BA139" i="10" s="1"/>
  <c r="AZ143" i="10"/>
  <c r="BA143" i="10" s="1"/>
  <c r="AX154" i="10"/>
  <c r="AY154" i="10" s="1"/>
  <c r="AX156" i="10"/>
  <c r="AY200" i="10"/>
  <c r="BA201" i="10"/>
  <c r="BB136" i="10"/>
  <c r="AZ138" i="10"/>
  <c r="BA138" i="10" s="1"/>
  <c r="AZ142" i="10"/>
  <c r="BA142" i="10" s="1"/>
  <c r="AX146" i="10"/>
  <c r="BB157" i="10"/>
  <c r="AT174" i="10"/>
  <c r="AY184" i="10"/>
  <c r="BB184" i="10" s="1"/>
  <c r="AY201" i="10"/>
  <c r="AV260" i="10"/>
  <c r="BA260" i="10"/>
  <c r="AZ145" i="10"/>
  <c r="BA145" i="10" s="1"/>
  <c r="AY198" i="10"/>
  <c r="AV258" i="10"/>
  <c r="BA258" i="10"/>
  <c r="AY261" i="10"/>
  <c r="AT261" i="10"/>
  <c r="BB164" i="10"/>
  <c r="BB165" i="10"/>
  <c r="BB166" i="10"/>
  <c r="BA96" i="10" l="1"/>
  <c r="BB96" i="10" s="1"/>
  <c r="AT265" i="10"/>
  <c r="AY265" i="10"/>
  <c r="AW257" i="10"/>
  <c r="AV257" i="10" s="1"/>
  <c r="AT257" i="10"/>
  <c r="AW53" i="10"/>
  <c r="AW46" i="10" s="1"/>
  <c r="AW41" i="10" s="1"/>
  <c r="AW36" i="10" s="1"/>
  <c r="AW25" i="10" s="1"/>
  <c r="BA265" i="10"/>
  <c r="BA257" i="10" s="1"/>
  <c r="AV265" i="10"/>
  <c r="BB51" i="10"/>
  <c r="AW121" i="10"/>
  <c r="AU121" i="10"/>
  <c r="AU116" i="10" s="1"/>
  <c r="AU113" i="10" s="1"/>
  <c r="AX5" i="10" s="1"/>
  <c r="AY5" i="10" s="1"/>
  <c r="BB196" i="10"/>
  <c r="BB173" i="10"/>
  <c r="BB167" i="10"/>
  <c r="BB94" i="10"/>
  <c r="BB38" i="10"/>
  <c r="AU204" i="10"/>
  <c r="AU197" i="10" s="1"/>
  <c r="BB137" i="10"/>
  <c r="BB93" i="10"/>
  <c r="AY131" i="10"/>
  <c r="AY124" i="10" s="1"/>
  <c r="AY121" i="10" s="1"/>
  <c r="AY116" i="10" s="1"/>
  <c r="AY113" i="10" s="1"/>
  <c r="BB95" i="10"/>
  <c r="BB161" i="10"/>
  <c r="BB57" i="10"/>
  <c r="BB99" i="10"/>
  <c r="BB174" i="10"/>
  <c r="BB260" i="10"/>
  <c r="BB75" i="10"/>
  <c r="BB195" i="10"/>
  <c r="BB97" i="10"/>
  <c r="BB201" i="10"/>
  <c r="BB102" i="10"/>
  <c r="BB90" i="10"/>
  <c r="BB11" i="10"/>
  <c r="BB259" i="10"/>
  <c r="BB172" i="10"/>
  <c r="BB18" i="10"/>
  <c r="BB175" i="10"/>
  <c r="BB150" i="10"/>
  <c r="BB171" i="10"/>
  <c r="BB35" i="10"/>
  <c r="BB127" i="10"/>
  <c r="BB34" i="10"/>
  <c r="AY53" i="10"/>
  <c r="AY46" i="10" s="1"/>
  <c r="BB55" i="10"/>
  <c r="BA28" i="10"/>
  <c r="BB28" i="10" s="1"/>
  <c r="BB118" i="10"/>
  <c r="AY45" i="10"/>
  <c r="BB117" i="10"/>
  <c r="BB126" i="10"/>
  <c r="BB110" i="10"/>
  <c r="BA124" i="10"/>
  <c r="BB144" i="10"/>
  <c r="BB200" i="10"/>
  <c r="AZ124" i="10"/>
  <c r="AZ121" i="10" s="1"/>
  <c r="BB12" i="10"/>
  <c r="BB6" i="10"/>
  <c r="BB141" i="10"/>
  <c r="BB123" i="10"/>
  <c r="BB98" i="10"/>
  <c r="BB56" i="10"/>
  <c r="BB100" i="10"/>
  <c r="BB168" i="10"/>
  <c r="BB261" i="10"/>
  <c r="BB106" i="10"/>
  <c r="BA160" i="10"/>
  <c r="BB160" i="10" s="1"/>
  <c r="BB10" i="10"/>
  <c r="AY153" i="10"/>
  <c r="BB153" i="10" s="1"/>
  <c r="AY7" i="10"/>
  <c r="BB7" i="10" s="1"/>
  <c r="BB169" i="10"/>
  <c r="BB120" i="10"/>
  <c r="AY26" i="10"/>
  <c r="BB29" i="10"/>
  <c r="BB30" i="10"/>
  <c r="BB8" i="10"/>
  <c r="BB32" i="10"/>
  <c r="BB15" i="10"/>
  <c r="BA67" i="10"/>
  <c r="AY14" i="10"/>
  <c r="BB14" i="10" s="1"/>
  <c r="BB9" i="10"/>
  <c r="BB145" i="10"/>
  <c r="BB178" i="10"/>
  <c r="BB138" i="10"/>
  <c r="BB27" i="10"/>
  <c r="BB108" i="10"/>
  <c r="BB143" i="10"/>
  <c r="AY91" i="10"/>
  <c r="BB91" i="10" s="1"/>
  <c r="BB13" i="10"/>
  <c r="AY199" i="10"/>
  <c r="AY155" i="10"/>
  <c r="BB155" i="10" s="1"/>
  <c r="BB202" i="10"/>
  <c r="BB147" i="10"/>
  <c r="BB58" i="10"/>
  <c r="BB119" i="10"/>
  <c r="BB43" i="10"/>
  <c r="BB31" i="10"/>
  <c r="BB44" i="10"/>
  <c r="BB33" i="10"/>
  <c r="BB139" i="10"/>
  <c r="BB142" i="10"/>
  <c r="BB104" i="10"/>
  <c r="AY257" i="10"/>
  <c r="AY103" i="10"/>
  <c r="BB103" i="10" s="1"/>
  <c r="BB24" i="10"/>
  <c r="AZ53" i="10"/>
  <c r="AY151" i="10"/>
  <c r="BB151" i="10" s="1"/>
  <c r="BB42" i="10"/>
  <c r="BB140" i="10"/>
  <c r="BB105" i="10"/>
  <c r="AY156" i="10"/>
  <c r="BB156" i="10" s="1"/>
  <c r="BB258" i="10"/>
  <c r="AZ198" i="10"/>
  <c r="BB114" i="10"/>
  <c r="AY109" i="10"/>
  <c r="BB109" i="10" s="1"/>
  <c r="AY101" i="10"/>
  <c r="BB101" i="10" s="1"/>
  <c r="BB125" i="10"/>
  <c r="AX124" i="10"/>
  <c r="AX121" i="10" s="1"/>
  <c r="BB111" i="10"/>
  <c r="BB154" i="10"/>
  <c r="BB128" i="10"/>
  <c r="AX53" i="10"/>
  <c r="AX46" i="10" s="1"/>
  <c r="AX41" i="10" s="1"/>
  <c r="AT41" i="10" s="1"/>
  <c r="BB54" i="10"/>
  <c r="AY146" i="10"/>
  <c r="BB146" i="10" s="1"/>
  <c r="BA122" i="10"/>
  <c r="AY107" i="10"/>
  <c r="BB107" i="10" s="1"/>
  <c r="BB37" i="10"/>
  <c r="BB265" i="10" l="1"/>
  <c r="BB67" i="10"/>
  <c r="BA2" i="10"/>
  <c r="AT121" i="10"/>
  <c r="BA121" i="10"/>
  <c r="BA116" i="10" s="1"/>
  <c r="BA113" i="10" s="1"/>
  <c r="AX204" i="10"/>
  <c r="AX116" i="10"/>
  <c r="AW179" i="10"/>
  <c r="AW170" i="10"/>
  <c r="AW163" i="10" s="1"/>
  <c r="AX36" i="10"/>
  <c r="AX25" i="10" s="1"/>
  <c r="AU179" i="10"/>
  <c r="AU170" i="10"/>
  <c r="AU163" i="10" s="1"/>
  <c r="AV53" i="10"/>
  <c r="AZ46" i="10"/>
  <c r="AZ41" i="10" s="1"/>
  <c r="AY41" i="10"/>
  <c r="AY36" i="10" s="1"/>
  <c r="AY25" i="10" s="1"/>
  <c r="AV121" i="10"/>
  <c r="AW116" i="10"/>
  <c r="AW113" i="10" s="1"/>
  <c r="AZ204" i="10" s="1"/>
  <c r="AZ116" i="10"/>
  <c r="AY204" i="10"/>
  <c r="BB131" i="10"/>
  <c r="BB26" i="10"/>
  <c r="BB45" i="10"/>
  <c r="BB124" i="10"/>
  <c r="BB257" i="10"/>
  <c r="BB199" i="10"/>
  <c r="BB122" i="10"/>
  <c r="AZ197" i="10"/>
  <c r="AZ170" i="10" s="1"/>
  <c r="BA198" i="10"/>
  <c r="AT53" i="10"/>
  <c r="AT25" i="10" l="1"/>
  <c r="AW204" i="10"/>
  <c r="AW197" i="10" s="1"/>
  <c r="AV197" i="10" s="1"/>
  <c r="BA53" i="10"/>
  <c r="BB2" i="10"/>
  <c r="AT212" i="10"/>
  <c r="BB121" i="10"/>
  <c r="AV179" i="10"/>
  <c r="AZ179" i="10" s="1"/>
  <c r="BA179" i="10" s="1"/>
  <c r="AT36" i="10"/>
  <c r="AV170" i="10"/>
  <c r="BA197" i="10"/>
  <c r="BA170" i="10" s="1"/>
  <c r="AY197" i="10"/>
  <c r="AY170" i="10" s="1"/>
  <c r="AV41" i="10"/>
  <c r="AZ36" i="10"/>
  <c r="AZ113" i="10"/>
  <c r="AV113" i="10" s="1"/>
  <c r="AV116" i="10"/>
  <c r="AU159" i="10"/>
  <c r="AU152" i="10" s="1"/>
  <c r="AX163" i="10"/>
  <c r="BB5" i="10"/>
  <c r="AX113" i="10"/>
  <c r="AT116" i="10"/>
  <c r="BB116" i="10"/>
  <c r="AZ163" i="10"/>
  <c r="AW159" i="10"/>
  <c r="AW152" i="10" s="1"/>
  <c r="AZ152" i="10" s="1"/>
  <c r="BA152" i="10" s="1"/>
  <c r="AT204" i="10"/>
  <c r="AT197" i="10" s="1"/>
  <c r="AT179" i="10" s="1"/>
  <c r="AX179" i="10" s="1"/>
  <c r="AY179" i="10" s="1"/>
  <c r="AX197" i="10"/>
  <c r="AX170" i="10" s="1"/>
  <c r="BB198" i="10"/>
  <c r="AV204" i="10" l="1"/>
  <c r="AV212" i="10"/>
  <c r="BA204" i="10"/>
  <c r="BB204" i="10" s="1"/>
  <c r="BA46" i="10"/>
  <c r="BB53" i="10"/>
  <c r="BB179" i="10"/>
  <c r="BB197" i="10"/>
  <c r="AT170" i="10"/>
  <c r="BB170" i="10"/>
  <c r="AY163" i="10"/>
  <c r="AY159" i="10" s="1"/>
  <c r="AX159" i="10"/>
  <c r="AT159" i="10" s="1"/>
  <c r="AX152" i="10"/>
  <c r="AY152" i="10" s="1"/>
  <c r="AT113" i="10"/>
  <c r="BB113" i="10"/>
  <c r="AV36" i="10"/>
  <c r="AZ25" i="10"/>
  <c r="BA163" i="10"/>
  <c r="BA159" i="10" s="1"/>
  <c r="AZ159" i="10"/>
  <c r="AV159" i="10" s="1"/>
  <c r="BB212" i="10" l="1"/>
  <c r="BA41" i="10"/>
  <c r="BB46" i="10"/>
  <c r="BB159" i="10"/>
  <c r="BB163" i="10"/>
  <c r="AV25" i="10"/>
  <c r="BB152" i="10"/>
  <c r="BA36" i="10" l="1"/>
  <c r="BB41" i="10"/>
  <c r="BA25" i="10" l="1"/>
  <c r="BB25" i="10" s="1"/>
  <c r="BB36" i="10"/>
  <c r="A226" i="10"/>
  <c r="A233" i="10"/>
  <c r="A47" i="10"/>
  <c r="A128" i="10"/>
  <c r="A77" i="10"/>
  <c r="A40" i="10"/>
  <c r="A272" i="10"/>
  <c r="A29" i="10"/>
  <c r="A169" i="10"/>
  <c r="A147" i="10"/>
  <c r="A208" i="10"/>
  <c r="A24" i="10"/>
  <c r="A146" i="10"/>
  <c r="A131" i="10"/>
  <c r="A111" i="10"/>
  <c r="A256" i="10"/>
  <c r="A110" i="10"/>
  <c r="A199" i="10"/>
  <c r="A88" i="10"/>
  <c r="A41" i="10"/>
  <c r="A162" i="10"/>
  <c r="A49" i="10"/>
  <c r="A81" i="10"/>
  <c r="A104" i="10"/>
  <c r="A249" i="10"/>
  <c r="A73" i="10"/>
  <c r="A63" i="10"/>
  <c r="A185" i="10"/>
  <c r="A176" i="10"/>
  <c r="A93" i="10"/>
  <c r="A135" i="10"/>
  <c r="A36" i="10"/>
  <c r="A123" i="10"/>
  <c r="A204" i="10"/>
  <c r="A138" i="10"/>
  <c r="A103" i="10"/>
  <c r="A86" i="10"/>
  <c r="A127" i="10"/>
  <c r="A28" i="10"/>
  <c r="A115" i="10"/>
  <c r="A122" i="10"/>
  <c r="A179" i="10"/>
  <c r="A45" i="10"/>
  <c r="A213" i="10"/>
  <c r="A32" i="10"/>
  <c r="A264" i="10"/>
  <c r="A108" i="10"/>
  <c r="A125" i="10"/>
  <c r="A258" i="10"/>
  <c r="A183" i="10"/>
  <c r="A200" i="10"/>
  <c r="A48" i="10"/>
  <c r="A129" i="10"/>
  <c r="A17" i="10"/>
  <c r="A141" i="10"/>
  <c r="A243" i="10"/>
  <c r="A235" i="10"/>
  <c r="A180" i="10"/>
  <c r="A58" i="10"/>
  <c r="A22" i="10"/>
  <c r="A261" i="10"/>
  <c r="A197" i="10"/>
  <c r="A218" i="10"/>
  <c r="A209" i="10"/>
  <c r="A23" i="10"/>
  <c r="A117" i="10"/>
  <c r="A94" i="10"/>
  <c r="A134" i="10"/>
  <c r="A35" i="10"/>
  <c r="A120" i="10"/>
  <c r="A201" i="10"/>
  <c r="A70" i="10"/>
  <c r="A27" i="10"/>
  <c r="A57" i="10"/>
  <c r="A85" i="10"/>
  <c r="A253" i="10"/>
  <c r="A72" i="10"/>
  <c r="A153" i="10"/>
  <c r="A263" i="10"/>
  <c r="A165" i="10"/>
  <c r="A89" i="10"/>
  <c r="A101" i="10"/>
  <c r="A269" i="10"/>
  <c r="A50" i="10"/>
  <c r="A90" i="10"/>
  <c r="A188" i="10"/>
  <c r="A42" i="10"/>
  <c r="A100" i="10"/>
  <c r="A62" i="10"/>
  <c r="A268" i="10"/>
  <c r="A202" i="10"/>
  <c r="A266" i="10"/>
  <c r="A248" i="10"/>
  <c r="A191" i="10"/>
  <c r="A92" i="10"/>
  <c r="A38" i="10"/>
  <c r="A260" i="10"/>
  <c r="A265" i="10"/>
  <c r="A30" i="10"/>
  <c r="A190" i="10"/>
  <c r="A65" i="10"/>
  <c r="A55" i="10"/>
  <c r="A230" i="10"/>
  <c r="A67" i="10"/>
  <c r="A217" i="10"/>
  <c r="A215" i="10"/>
  <c r="A142" i="10"/>
  <c r="A97" i="10"/>
  <c r="A71" i="10"/>
  <c r="A246" i="10"/>
  <c r="A83" i="10"/>
  <c r="A156" i="10"/>
  <c r="A148" i="10"/>
  <c r="A227" i="10"/>
  <c r="A82" i="10"/>
  <c r="A238" i="10"/>
  <c r="A174" i="10"/>
  <c r="A75" i="10"/>
  <c r="A124" i="10"/>
  <c r="A273" i="10"/>
  <c r="A87" i="10"/>
  <c r="A54" i="10"/>
  <c r="A262" i="10"/>
  <c r="A198" i="10"/>
  <c r="A99" i="10"/>
  <c r="A113" i="10"/>
  <c r="A242" i="10"/>
  <c r="A167" i="10"/>
  <c r="A144" i="10"/>
  <c r="A154" i="10"/>
  <c r="A207" i="10"/>
  <c r="A44" i="10"/>
  <c r="A212" i="10"/>
  <c r="A95" i="10"/>
  <c r="A270" i="10"/>
  <c r="A107" i="10"/>
  <c r="A170" i="10"/>
  <c r="A216" i="10"/>
  <c r="A60" i="10"/>
  <c r="A228" i="10"/>
  <c r="A210" i="10"/>
  <c r="A219" i="10"/>
  <c r="A121" i="10"/>
  <c r="A267" i="10"/>
  <c r="A222" i="10"/>
  <c r="A160" i="10"/>
  <c r="A158" i="10"/>
  <c r="A245" i="10"/>
  <c r="A59" i="10"/>
  <c r="A181" i="10"/>
  <c r="A171" i="10"/>
  <c r="A80" i="10"/>
  <c r="A225" i="10"/>
  <c r="A33" i="10"/>
  <c r="A39" i="10"/>
  <c r="A161" i="10"/>
  <c r="A255" i="10"/>
  <c r="A69" i="10"/>
  <c r="A214" i="10"/>
  <c r="A136" i="10"/>
  <c r="A150" i="10"/>
  <c r="A237" i="10"/>
  <c r="A51" i="10"/>
  <c r="A173" i="10"/>
  <c r="A155" i="10"/>
  <c r="A56" i="10"/>
  <c r="A79" i="10"/>
  <c r="A137" i="10"/>
  <c r="A254" i="10"/>
  <c r="A223" i="10"/>
  <c r="A91" i="10"/>
  <c r="A149" i="10"/>
  <c r="A241" i="10"/>
  <c r="A139" i="10"/>
  <c r="A152" i="10"/>
  <c r="A21" i="10"/>
  <c r="A166" i="10"/>
  <c r="A102" i="10"/>
  <c r="A187" i="10"/>
  <c r="A194" i="10"/>
  <c r="A31" i="10"/>
  <c r="A240" i="10"/>
  <c r="A206" i="10"/>
  <c r="A84" i="10"/>
  <c r="A43" i="10"/>
  <c r="A252" i="10"/>
  <c r="A257" i="10"/>
  <c r="A163" i="10"/>
  <c r="A192" i="10"/>
  <c r="A37" i="10"/>
  <c r="A182" i="10"/>
  <c r="A205" i="10"/>
  <c r="A98" i="10"/>
  <c r="A34" i="10"/>
  <c r="A196" i="10"/>
  <c r="A74" i="10"/>
  <c r="A66" i="10"/>
  <c r="A203" i="10"/>
  <c r="A106" i="10"/>
  <c r="A164" i="10"/>
  <c r="A151" i="10"/>
  <c r="A116" i="10"/>
  <c r="A52" i="10"/>
  <c r="A118" i="10"/>
  <c r="A239" i="10"/>
  <c r="A133" i="10"/>
  <c r="A220" i="10"/>
  <c r="A64" i="10"/>
  <c r="A186" i="10"/>
  <c r="A195" i="10"/>
  <c r="A250" i="10"/>
  <c r="A145" i="10"/>
  <c r="A232" i="10"/>
  <c r="A53" i="10"/>
  <c r="A175" i="10"/>
  <c r="A247" i="10"/>
  <c r="A76" i="10"/>
  <c r="A221" i="10"/>
  <c r="A168" i="10"/>
  <c r="A157" i="10"/>
  <c r="A244" i="10"/>
  <c r="A178" i="10"/>
  <c r="A105" i="10"/>
  <c r="A224" i="10"/>
  <c r="A109" i="10"/>
  <c r="A68" i="10"/>
  <c r="A126" i="10"/>
  <c r="A236" i="10"/>
  <c r="A96" i="10"/>
  <c r="A119" i="10"/>
  <c r="A177" i="10"/>
  <c r="A143" i="10"/>
  <c r="A184" i="10"/>
  <c r="A231" i="10"/>
  <c r="A189" i="10"/>
  <c r="A130" i="10"/>
  <c r="A25" i="10"/>
  <c r="A78" i="10"/>
  <c r="A61" i="10"/>
  <c r="A20" i="10"/>
  <c r="A229" i="10"/>
  <c r="A114" i="10"/>
  <c r="A112" i="10"/>
  <c r="A234" i="10"/>
  <c r="A193" i="10"/>
  <c r="A159" i="10"/>
  <c r="A46" i="10"/>
  <c r="A271" i="10"/>
  <c r="A19" i="10"/>
  <c r="A172" i="10"/>
  <c r="A259" i="10"/>
  <c r="A26" i="10"/>
  <c r="A132" i="10"/>
  <c r="A211" i="10"/>
  <c r="A140" i="10"/>
  <c r="A251" i="10"/>
  <c r="A18" i="10"/>
  <c r="A274" i="10"/>
</calcChain>
</file>

<file path=xl/sharedStrings.xml><?xml version="1.0" encoding="utf-8"?>
<sst xmlns="http://schemas.openxmlformats.org/spreadsheetml/2006/main" count="3442" uniqueCount="742">
  <si>
    <t>Victims and Offenders</t>
  </si>
  <si>
    <t>Victimized Twice: A Field Experiment on the Employability of Victims</t>
  </si>
  <si>
    <t>Title</t>
  </si>
  <si>
    <t>Journal</t>
  </si>
  <si>
    <t>Authors</t>
  </si>
  <si>
    <t>Ahmed &amp; Lang</t>
  </si>
  <si>
    <t>Labour Economics</t>
  </si>
  <si>
    <t>Carlsson &amp; Eriksson</t>
  </si>
  <si>
    <t>Age discrimination in hiring decisions: Evidence from a ﬁeld experiment in the labor market</t>
  </si>
  <si>
    <t>Yavorsky</t>
  </si>
  <si>
    <t>Uneven Patterns of Inequality: An Audit Analysis of Hiring-Related Practices by Gendered and Classed Contexts</t>
  </si>
  <si>
    <t>Social Forces</t>
  </si>
  <si>
    <t>Employment discrimination in a former Soviet Union Republic: Evidence from a field experiment</t>
  </si>
  <si>
    <t>Journal of Comparative Economics</t>
  </si>
  <si>
    <t>Discrimination in hiring based on potential and realized fertility: Evidence from a large-scale field experiment.</t>
  </si>
  <si>
    <t>International Journal of Manpower</t>
  </si>
  <si>
    <t>Journal of Social and Political Psychology</t>
  </si>
  <si>
    <t>Language skills and homophilous hiring discrimination: Evidence from gender and racially differentiated applications.</t>
  </si>
  <si>
    <t>Review of Economics of the Household</t>
  </si>
  <si>
    <t>Work &amp; Occupations</t>
  </si>
  <si>
    <t>American Sociological Review</t>
  </si>
  <si>
    <t>First depressed, then discriminated against?</t>
  </si>
  <si>
    <t>Social Science &amp; Medicine</t>
  </si>
  <si>
    <t>Applied Economics Letters</t>
  </si>
  <si>
    <t>Class Advantage, Commitment Penalty: The Gendered Effect of Social Class Signals in an Elite Labor Market.</t>
  </si>
  <si>
    <t>Racial Discrimination in the Labor Market for Recent College Graduates: Evidence from a Field Experiment.</t>
  </si>
  <si>
    <t>B.E. Journal of Economic Analysis &amp; Policy</t>
  </si>
  <si>
    <t>Journal of Population Economics</t>
  </si>
  <si>
    <t>Management Science</t>
  </si>
  <si>
    <t>From Opt Out to Blocked Out: The Challenges for Labor Market Re-entry after Family-Related Employment Lapses.</t>
  </si>
  <si>
    <t>Do Employer Preferences Contribute to Sticky Floors?</t>
  </si>
  <si>
    <t>ILR Review</t>
  </si>
  <si>
    <t>Sexual orientation discrimination in the United Kingdom’s labour market: A field experiment.</t>
  </si>
  <si>
    <t>Human Relations</t>
  </si>
  <si>
    <t>PubYear</t>
  </si>
  <si>
    <t>FemaleN</t>
  </si>
  <si>
    <t>MaleN</t>
  </si>
  <si>
    <t>FemaleProp</t>
  </si>
  <si>
    <t>FemaleSucc</t>
  </si>
  <si>
    <t>FemaleFail</t>
  </si>
  <si>
    <t>MaleSucc</t>
  </si>
  <si>
    <t>MaleFail</t>
  </si>
  <si>
    <t>SampleSize</t>
  </si>
  <si>
    <t>MaleProp</t>
  </si>
  <si>
    <t>Job</t>
  </si>
  <si>
    <t>Various</t>
  </si>
  <si>
    <t>DV</t>
  </si>
  <si>
    <t>AuthFemale</t>
  </si>
  <si>
    <t>AuthMale</t>
  </si>
  <si>
    <t>AuthFemProp</t>
  </si>
  <si>
    <t>DataCounty</t>
  </si>
  <si>
    <t>Sweden</t>
  </si>
  <si>
    <t>ApplEdu</t>
  </si>
  <si>
    <t>Method</t>
  </si>
  <si>
    <t>StudyID</t>
  </si>
  <si>
    <t>Condition</t>
  </si>
  <si>
    <t>Are Good-Looking People More Employable?</t>
  </si>
  <si>
    <t>Ruffle &amp; Shtudiner</t>
  </si>
  <si>
    <t>2008-2010</t>
  </si>
  <si>
    <t>ApplicYear</t>
  </si>
  <si>
    <t>Israel</t>
  </si>
  <si>
    <t>Mixed</t>
  </si>
  <si>
    <t>Total</t>
  </si>
  <si>
    <t>Interview</t>
  </si>
  <si>
    <t>Interview OR Offer</t>
  </si>
  <si>
    <t>A</t>
  </si>
  <si>
    <t>B</t>
  </si>
  <si>
    <t>C</t>
  </si>
  <si>
    <t>D</t>
  </si>
  <si>
    <t>UniqueID</t>
  </si>
  <si>
    <t>Variable</t>
  </si>
  <si>
    <t>Description</t>
  </si>
  <si>
    <t>Unique identifier for each data point</t>
  </si>
  <si>
    <t>Study identifier</t>
  </si>
  <si>
    <t>EffectID</t>
  </si>
  <si>
    <t>Paper title</t>
  </si>
  <si>
    <t>Journal name</t>
  </si>
  <si>
    <t>Author names</t>
  </si>
  <si>
    <t># female authors</t>
  </si>
  <si>
    <t># male authors</t>
  </si>
  <si>
    <t>Publication year</t>
  </si>
  <si>
    <t>Year(s) during which job applications were sent out</t>
  </si>
  <si>
    <t>Type of job that was applied for</t>
  </si>
  <si>
    <t>Applicant education (if reported)</t>
  </si>
  <si>
    <t>Operationalization of dependent measure (e.g., job offer, call back, interview)</t>
  </si>
  <si>
    <t>Condition name if additional factors manipulated other than male vs. female</t>
  </si>
  <si>
    <t>Proportion of female authors</t>
  </si>
  <si>
    <t>Proportion of female applicants that succeeded</t>
  </si>
  <si>
    <t>Proportion of male applicants that succeeded</t>
  </si>
  <si>
    <t>Total number of female applications</t>
  </si>
  <si>
    <t>Total number of male applications</t>
  </si>
  <si>
    <t># of female applicants that succeeded</t>
  </si>
  <si>
    <t># of male applicants that succeeded</t>
  </si>
  <si>
    <t># of female applicants that did not succeed</t>
  </si>
  <si>
    <t># of male applicants that did not succeed</t>
  </si>
  <si>
    <t>Total sample size (male + female)</t>
  </si>
  <si>
    <t>2015-2016</t>
  </si>
  <si>
    <t>Callback</t>
  </si>
  <si>
    <t>2013-2015</t>
  </si>
  <si>
    <t>Quadlin</t>
  </si>
  <si>
    <t>College</t>
  </si>
  <si>
    <t>United States</t>
  </si>
  <si>
    <t>E</t>
  </si>
  <si>
    <t>Baert, De Visschere, Schoors, Vandenberghe, &amp; Omey</t>
  </si>
  <si>
    <t>Belgium</t>
  </si>
  <si>
    <t>Asali, Pignatti, &amp; Skhirtladze</t>
  </si>
  <si>
    <t>Georgia</t>
  </si>
  <si>
    <t>2009-2010</t>
  </si>
  <si>
    <t>ApplicYearMost</t>
  </si>
  <si>
    <t>Single year(s) during which most job applications were sent out (e.g., middle year if 3 year period, longer period if 2 years, etc.)</t>
  </si>
  <si>
    <t>Becker, Fernandes, &amp; Weichselbaumer</t>
  </si>
  <si>
    <t>Germany, Switzerland, Austria</t>
  </si>
  <si>
    <t>2013-2014</t>
  </si>
  <si>
    <t>Neumark, Burn, Button, &amp; Chehras</t>
  </si>
  <si>
    <t>Ethnic and gender discrimination in recruitment: Experimental evidence from Finland</t>
  </si>
  <si>
    <t>Liebkind, Larja, &amp; Brylka</t>
  </si>
  <si>
    <t>F</t>
  </si>
  <si>
    <t>G</t>
  </si>
  <si>
    <t>H</t>
  </si>
  <si>
    <t>I</t>
  </si>
  <si>
    <t>Rivera &amp; Tilcsik</t>
  </si>
  <si>
    <t>Law school</t>
  </si>
  <si>
    <t>Law summer intern</t>
  </si>
  <si>
    <t>Maurer-Fazio &amp; Lei</t>
  </si>
  <si>
    <t>"As rare as a panda" How facial attractiveness, gender, and occupation affect interview callbacks at Chinese firms</t>
  </si>
  <si>
    <t>China</t>
  </si>
  <si>
    <t>Baert, De Pauw, &amp; Deschacht</t>
  </si>
  <si>
    <t>Edo, Jacquemet, &amp; Yannelis</t>
  </si>
  <si>
    <t>2011-2012</t>
  </si>
  <si>
    <t>France</t>
  </si>
  <si>
    <t>Accounting</t>
  </si>
  <si>
    <t>BTS (Brevet de Technicien Supérieur)</t>
  </si>
  <si>
    <t>Drydakis</t>
  </si>
  <si>
    <t>United Kingdom</t>
  </si>
  <si>
    <t>Weisshaar</t>
  </si>
  <si>
    <t>Duguet, du Parquet, L’Horty, &amp; Petit</t>
  </si>
  <si>
    <t>2008-2009</t>
  </si>
  <si>
    <t>Management controller</t>
  </si>
  <si>
    <t>Are happy people more employable? Evidence from field experiments</t>
  </si>
  <si>
    <t>Sherman &amp; Barokas</t>
  </si>
  <si>
    <t>Unexplored dimensions of discrimination in Europe: homosexuality and physical appearance</t>
  </si>
  <si>
    <t>Patacchini, Ragusa, &amp; Zenou</t>
  </si>
  <si>
    <t>Italy</t>
  </si>
  <si>
    <t>Nunley, Pugh, Romero, &amp; Seals</t>
  </si>
  <si>
    <t>An Experimental Investigation of Sexual Discrimination in Hiring in the English Labor Market</t>
  </si>
  <si>
    <t>The BE Journal of Economic Analysis &amp; Policy</t>
  </si>
  <si>
    <t>Riach &amp; Rich</t>
  </si>
  <si>
    <t>Accountant</t>
  </si>
  <si>
    <t>Programmer</t>
  </si>
  <si>
    <t>Engineer</t>
  </si>
  <si>
    <t>Secretary</t>
  </si>
  <si>
    <t>Sex Discrimination in Job Opportunities for Women</t>
  </si>
  <si>
    <t>Sex Roles</t>
  </si>
  <si>
    <t>Firth</t>
  </si>
  <si>
    <t>Do employers discriminate by gender? A field experiment in female-dominated occupations</t>
  </si>
  <si>
    <t>Economics Letters</t>
  </si>
  <si>
    <t>Booth &amp; Leigh</t>
  </si>
  <si>
    <t>Australia</t>
  </si>
  <si>
    <t>Waitstaff</t>
  </si>
  <si>
    <t>Data entry</t>
  </si>
  <si>
    <t>Customer service</t>
  </si>
  <si>
    <t>Sales</t>
  </si>
  <si>
    <t>Basic School</t>
  </si>
  <si>
    <t>American Economic Review: Papers &amp; Proceedings</t>
  </si>
  <si>
    <t>Arceo-Gomez &amp; Campos-Vazquez</t>
  </si>
  <si>
    <t>Race and Marriage in the Labor Market: A Discrimination Correspondence Study in a Developing Country</t>
  </si>
  <si>
    <t>Mexico</t>
  </si>
  <si>
    <t>Testing for Sexual Discrimiation in the Labour Market</t>
  </si>
  <si>
    <t>Australian Economic Papers</t>
  </si>
  <si>
    <t>J</t>
  </si>
  <si>
    <t>Computer Analyst</t>
  </si>
  <si>
    <t>Computer operator</t>
  </si>
  <si>
    <t>Computer programmer</t>
  </si>
  <si>
    <t>Gardener</t>
  </si>
  <si>
    <t>Industrial Relations office</t>
  </si>
  <si>
    <t>Management Accountant</t>
  </si>
  <si>
    <t>Payroll clerk</t>
  </si>
  <si>
    <t>Austria</t>
  </si>
  <si>
    <t>Is It Sex or Personality? The Impact of Sex Stereotypes on Discrimination in Applicant Selection</t>
  </si>
  <si>
    <t>Eastern Economic Journal</t>
  </si>
  <si>
    <t>White-collar Female-dominated</t>
  </si>
  <si>
    <t>White-collar Male-dominated</t>
  </si>
  <si>
    <t>Working-class Female-dominated</t>
  </si>
  <si>
    <t>Working-class Male-dominated</t>
  </si>
  <si>
    <t>World Development</t>
  </si>
  <si>
    <t>Peru</t>
  </si>
  <si>
    <t>Does Hiring Discrimination Cause Gender Segregation In The Swedish Labor Market?</t>
  </si>
  <si>
    <t>Feminist Economics</t>
  </si>
  <si>
    <t>K</t>
  </si>
  <si>
    <t>L</t>
  </si>
  <si>
    <t>M</t>
  </si>
  <si>
    <t>Source</t>
  </si>
  <si>
    <t>Search source (e.g., Web of Science, Google Scholar, listserv, etc.)</t>
  </si>
  <si>
    <t>JobStereotype</t>
  </si>
  <si>
    <t>StudyNum</t>
  </si>
  <si>
    <t>Study number in paper</t>
  </si>
  <si>
    <t>Moderators</t>
  </si>
  <si>
    <t>Were additional factors (other than gender) manipulated?</t>
  </si>
  <si>
    <t>Is the study published?</t>
  </si>
  <si>
    <t>Published</t>
  </si>
  <si>
    <t>IneqIndex</t>
  </si>
  <si>
    <t>Gender inequality index (retrieved from United Nations Human Development Report)</t>
  </si>
  <si>
    <t>Job application method: Resume audit (e.g., email, post, online form) or in person audit (e.g., with actors)</t>
  </si>
  <si>
    <t>Web of Science</t>
  </si>
  <si>
    <t>Female-dominated jobs</t>
  </si>
  <si>
    <t>Male-dominated jobs</t>
  </si>
  <si>
    <t>Accounting clerk, cleaner, enrolled nurse, preschool teacher, and restaurant worker</t>
  </si>
  <si>
    <t>Resume</t>
  </si>
  <si>
    <t>Accounts manager</t>
  </si>
  <si>
    <t>Junior sales</t>
  </si>
  <si>
    <t>Senior sales</t>
  </si>
  <si>
    <t>Banking</t>
  </si>
  <si>
    <t>Budgeting</t>
  </si>
  <si>
    <t>Finance</t>
  </si>
  <si>
    <t>Computer programming</t>
  </si>
  <si>
    <t>Industrial engineering</t>
  </si>
  <si>
    <t>Chartered accountaing</t>
  </si>
  <si>
    <t>Administrative assistants, chefs, cleaners, food serving and waitresses, retail sales persons and cashiers, sales representatives, and truck drivers</t>
  </si>
  <si>
    <t>Chartered accounting</t>
  </si>
  <si>
    <t>Female-dominated occupations</t>
  </si>
  <si>
    <t>Male-dominated occupations</t>
  </si>
  <si>
    <t>The mark of a woman’s record: Gender and academic performance in hiring</t>
  </si>
  <si>
    <t>EBSCO</t>
  </si>
  <si>
    <t>Getting a job: Is there a motherhood penalty?</t>
  </si>
  <si>
    <t>American Journal of Sociology</t>
  </si>
  <si>
    <t>Correll, Benard, and Paik</t>
  </si>
  <si>
    <t>Entry- and midlevel marketing and business jobs</t>
  </si>
  <si>
    <t>Sex discrimination in restaurant hiring: An audit study</t>
  </si>
  <si>
    <t>Quarterly Journal of Economics</t>
  </si>
  <si>
    <t>Google Scholar</t>
  </si>
  <si>
    <t>Neumark, Bank, &amp; Van Nort</t>
  </si>
  <si>
    <t>Total - Offers</t>
  </si>
  <si>
    <t>Waiter/Waitress at low, mid, and high-priced restaurants</t>
  </si>
  <si>
    <t>High School</t>
  </si>
  <si>
    <t>Job Offer</t>
  </si>
  <si>
    <t>Shop sales assistant</t>
  </si>
  <si>
    <t>Construction worker</t>
  </si>
  <si>
    <t>Preschool teacher</t>
  </si>
  <si>
    <t>High school teacher</t>
  </si>
  <si>
    <t>Motor-vehicle driver</t>
  </si>
  <si>
    <t>Cleaner</t>
  </si>
  <si>
    <t>Restaurant worker</t>
  </si>
  <si>
    <t>Sales person</t>
  </si>
  <si>
    <t>Nurse</t>
  </si>
  <si>
    <t>Mechanic worker</t>
  </si>
  <si>
    <t>Are Gay Men and Lesbians Discriminated against in the Hiring Process?</t>
  </si>
  <si>
    <t>Southern Economic Journal</t>
  </si>
  <si>
    <t>Ahmed, Andersson, &amp; Hammarstedt</t>
  </si>
  <si>
    <t>Network technician</t>
  </si>
  <si>
    <t>Weichselbaumer</t>
  </si>
  <si>
    <t>Low-skilled administrative</t>
  </si>
  <si>
    <t>Low-skilled commercial</t>
  </si>
  <si>
    <t>High-skilled administrative</t>
  </si>
  <si>
    <t>High-skilled commercial</t>
  </si>
  <si>
    <t>Receptionist, counter clerk</t>
  </si>
  <si>
    <t>Administrative technician, administrative clerk, accounting clerk</t>
  </si>
  <si>
    <t>Executive manager, portfolio manager, recovery manager, accounting manager</t>
  </si>
  <si>
    <t>Customer consultant, sales manager, bank customer consultant</t>
  </si>
  <si>
    <t>A-levels</t>
  </si>
  <si>
    <t>Vocational</t>
  </si>
  <si>
    <t>Petit</t>
  </si>
  <si>
    <t>The effects of age and family constraints on gender hiring discrimination: A field experiment in the French financial sector</t>
  </si>
  <si>
    <t>n/a</t>
  </si>
  <si>
    <t>Articled clerk, unqualified personnel, qualified accountants, financial jobs</t>
  </si>
  <si>
    <t>Backward citations</t>
  </si>
  <si>
    <t>Accounting/Bookkeeping</t>
  </si>
  <si>
    <t>Management/Project Management</t>
  </si>
  <si>
    <t>Administrative/Clerical</t>
  </si>
  <si>
    <t>2012-2013</t>
  </si>
  <si>
    <t>Pedulla</t>
  </si>
  <si>
    <t>Penalized or protected? Gender and the consequences of nonstandard and mismatched employment histories</t>
  </si>
  <si>
    <t>Finance, local government, retail, hospitality industry, and health care</t>
  </si>
  <si>
    <t>Netherlands</t>
  </si>
  <si>
    <t>Andriessen, Nievers, Dagevos, &amp; Faulk</t>
  </si>
  <si>
    <t>Ethnic discrimination in the Dutch labor market: Its relationship with job characteristics and multiple group membership</t>
  </si>
  <si>
    <t>Industrial Relations officer</t>
  </si>
  <si>
    <t>1983-1986</t>
  </si>
  <si>
    <t>Managerial and professional occupations</t>
  </si>
  <si>
    <t>Disadvantaged through discrimination? The role of employers in social stratiﬁcation</t>
  </si>
  <si>
    <t>British Journal of Sociology</t>
  </si>
  <si>
    <t>Jackson</t>
  </si>
  <si>
    <t>Sales reps</t>
  </si>
  <si>
    <t>Marketing technicians</t>
  </si>
  <si>
    <t>Accountant's assistant</t>
  </si>
  <si>
    <t>Administrative assistant/receptionist</t>
  </si>
  <si>
    <t>Executive secretary</t>
  </si>
  <si>
    <t>Spain</t>
  </si>
  <si>
    <t>2005-2006</t>
  </si>
  <si>
    <t>Albert, Escot, &amp; Fernandez-Cornejo</t>
  </si>
  <si>
    <t>A field experiment to study sex and age discrimination in the Madrid labour market</t>
  </si>
  <si>
    <t>International Journal of Human Resource Management</t>
  </si>
  <si>
    <t>Canada</t>
  </si>
  <si>
    <t>Adam</t>
  </si>
  <si>
    <t>Stigma and employ ability: discrimination by sex and sexual orientation in the Ontario legal profession</t>
  </si>
  <si>
    <t>Canadian Review of Sociology</t>
  </si>
  <si>
    <t>Computer professionals</t>
  </si>
  <si>
    <t>Motor-vehicle drivers</t>
  </si>
  <si>
    <t>Construction workers</t>
  </si>
  <si>
    <t>Business sales assistants</t>
  </si>
  <si>
    <t>Lower secondary school teachers (language)</t>
  </si>
  <si>
    <t>Upper secondary school teachers</t>
  </si>
  <si>
    <t>Restaurant workers</t>
  </si>
  <si>
    <t>Accountants</t>
  </si>
  <si>
    <t>Cleaners</t>
  </si>
  <si>
    <t>Preschool teachers</t>
  </si>
  <si>
    <t>Shop sales assistants</t>
  </si>
  <si>
    <t>Lower secondary school teachers (math and science)</t>
  </si>
  <si>
    <t>Nurses</t>
  </si>
  <si>
    <t>N</t>
  </si>
  <si>
    <t>Bailey, Wallace, &amp; Wright</t>
  </si>
  <si>
    <t>Journal of Homosexuality</t>
  </si>
  <si>
    <t>Are Gay Men and Lesbians Discriminated Against When Applying for Jobs? A Four-City, Internet-Based Field Experiment</t>
  </si>
  <si>
    <t>Human resources managers, marketing directors, accountants, financial analysts, and software engineers</t>
  </si>
  <si>
    <t>Professional jobs</t>
  </si>
  <si>
    <t>Technical jobs</t>
  </si>
  <si>
    <t>Unskilled jobs</t>
  </si>
  <si>
    <t>Secondary school</t>
  </si>
  <si>
    <t>Labor market discrimination in Lima, Peru: Evidence from a field experiment</t>
  </si>
  <si>
    <t>Store personnel and cashier</t>
  </si>
  <si>
    <t>Engineer industrial economics/machine technology/electronics</t>
  </si>
  <si>
    <t>Engineer computer science, computer specialist</t>
  </si>
  <si>
    <t>Financial assistant</t>
  </si>
  <si>
    <t>Elementary school teacher</t>
  </si>
  <si>
    <t>Chef</t>
  </si>
  <si>
    <t>Receptionist</t>
  </si>
  <si>
    <t>Accountant and auditor</t>
  </si>
  <si>
    <t>Salesperson</t>
  </si>
  <si>
    <t>Assistant nurse</t>
  </si>
  <si>
    <t>Post-secondary school</t>
  </si>
  <si>
    <t>Bygren, Erlandsson, &amp; Gahler</t>
  </si>
  <si>
    <t>European Sociological Review</t>
  </si>
  <si>
    <t>Do Employers Prefer Fathers? Evidence from a Field Experiment Testing the Gender by Parenthood Interaction Effect on Callbacks to Job Applications</t>
  </si>
  <si>
    <t>O</t>
  </si>
  <si>
    <t>Accounting assistant</t>
  </si>
  <si>
    <t>Gringart &amp; Helmes</t>
  </si>
  <si>
    <t>Australian Journal on Ageing</t>
  </si>
  <si>
    <t>Age discrimination in hiring practices against older adults in Western Australia: The case of accounting assistants</t>
  </si>
  <si>
    <t>Total - Positive Response</t>
  </si>
  <si>
    <t>Total - Interview</t>
  </si>
  <si>
    <t>2014-2015</t>
  </si>
  <si>
    <t>Production operator, administrative clerk, waiter, laboratory analyst, management assistant, sales representative</t>
  </si>
  <si>
    <t>Baert, Norga, Thuy, &amp; Van Hecke</t>
  </si>
  <si>
    <t>Getting grey hairs in the labour market. An alternative experiment on age discrimination</t>
  </si>
  <si>
    <t>Journal of Economic Psychology</t>
  </si>
  <si>
    <t>Fifteen types of jobs (e.g., equity researcher, securities analyst, financial advisor, client manager, and product manager)</t>
  </si>
  <si>
    <t>Deng, Li, &amp; Zhou</t>
  </si>
  <si>
    <t>Beauty and job accessibility: new evidence from a field experiment</t>
  </si>
  <si>
    <t>Masculine jobs</t>
  </si>
  <si>
    <t>Feminine jobs</t>
  </si>
  <si>
    <t>Masculine (Driver &amp; construction and Cooks)</t>
  </si>
  <si>
    <t>Feminine (Waiters &amp; Office clerks)</t>
  </si>
  <si>
    <t>NonFemaleTyped</t>
  </si>
  <si>
    <t>Accounting, banking finance and management</t>
  </si>
  <si>
    <t>Education and teaching</t>
  </si>
  <si>
    <t>Social care, social services and charity</t>
  </si>
  <si>
    <t>Baert &amp; Vujic</t>
  </si>
  <si>
    <t>Does it pay to care? Volunteering and employment opportunities</t>
  </si>
  <si>
    <t>Secretaries</t>
  </si>
  <si>
    <t>Gender-balanced occupations</t>
  </si>
  <si>
    <t>Denmark</t>
  </si>
  <si>
    <t>Dahl &amp; Krog</t>
  </si>
  <si>
    <t>Experimental evidence of discrimination in the labour market: Intersections between ethnicity, gender, and socio-economic status</t>
  </si>
  <si>
    <t>Do state laws protecting older workers from discrimination reduce age discrimination in hiring? Evidence from a field experiment</t>
  </si>
  <si>
    <t>Journal of Law and Economics</t>
  </si>
  <si>
    <t>Working Paper</t>
  </si>
  <si>
    <t>Cashier</t>
  </si>
  <si>
    <t>Berson</t>
  </si>
  <si>
    <t>Does Competition Induce Hiring Equity?</t>
  </si>
  <si>
    <t>Journal of Personnel Psychology</t>
  </si>
  <si>
    <t>Carlsson, Agerstrom, Bjorklund, Carlsson, &amp; Rooth</t>
  </si>
  <si>
    <t>2016-2017</t>
  </si>
  <si>
    <t>Germany</t>
  </si>
  <si>
    <t>Event manager</t>
  </si>
  <si>
    <t>Hipp</t>
  </si>
  <si>
    <t>Do hiring practices penalize women and benefit men for having children? Experimental evidence from Germany</t>
  </si>
  <si>
    <t>Obesity and hiring discrimination</t>
  </si>
  <si>
    <t>Economics and Human Biology</t>
  </si>
  <si>
    <t>Granberg, Andersson, &amp; Ahmed</t>
  </si>
  <si>
    <t>Hiring Discrimination Against Transgender People: Evidence from a Field Experiment</t>
  </si>
  <si>
    <t>Information technologists</t>
  </si>
  <si>
    <t>Masters degree</t>
  </si>
  <si>
    <t>Duguet, Gray, L'Horty, du Parquet, &amp; Petit</t>
  </si>
  <si>
    <t>Labour market effects of urban riots: An experimental assessment</t>
  </si>
  <si>
    <t>Papers in Regional Science</t>
  </si>
  <si>
    <t>Jamaica</t>
  </si>
  <si>
    <t>Spencer, Urquhart, &amp; Whitely</t>
  </si>
  <si>
    <t>Class Discrimination? Evidence from Jamaica: A Racially Homogeneous Labor Market</t>
  </si>
  <si>
    <t>Review of Radical Political Economics</t>
  </si>
  <si>
    <t>Busetta, Fiorillo, &amp; Palomba</t>
  </si>
  <si>
    <t>Eonomia Politica</t>
  </si>
  <si>
    <t>The impact of attractiveness on job opportunities in Italy: a gender field experiment</t>
  </si>
  <si>
    <t>Economy, finance, banking, budgeting and junior sales</t>
  </si>
  <si>
    <t>Thomas</t>
  </si>
  <si>
    <t>Sociological Science</t>
  </si>
  <si>
    <t>The labor market value of taste: An experimental study of class bias in US employment</t>
  </si>
  <si>
    <t>Sales and marketing</t>
  </si>
  <si>
    <t>Finance and accounting</t>
  </si>
  <si>
    <t>HR and Op</t>
  </si>
  <si>
    <t>Office admin</t>
  </si>
  <si>
    <t>Pakistan</t>
  </si>
  <si>
    <t>HR and Operations</t>
  </si>
  <si>
    <t>Saeed, Maqsood, &amp; Rafique</t>
  </si>
  <si>
    <t>Color matters: field experiment to explore the impact of facial complexion in Pakistani labor market</t>
  </si>
  <si>
    <t>Journal of the Asia Pacific Economy</t>
  </si>
  <si>
    <t>Brazil</t>
  </si>
  <si>
    <t>Sales, Administrative/Clerical</t>
  </si>
  <si>
    <t>Dias</t>
  </si>
  <si>
    <t>Research in Social Stratification and Mobility</t>
  </si>
  <si>
    <t>How skin color, class status, and gender intersect in the labor market: Evidence from a field experiment</t>
  </si>
  <si>
    <t>Busetta, Campolo, &amp; Panarello</t>
  </si>
  <si>
    <t>International Journal of Social Economics</t>
  </si>
  <si>
    <t>The discrimination decomposition index: a new instrument to separate statistical and taste-based discrimination using first- and second-generation immigrants</t>
  </si>
  <si>
    <t>Horvath</t>
  </si>
  <si>
    <t>BE Journal of Economic Analysis &amp; Policy</t>
  </si>
  <si>
    <t>The Impact of Marital Status on Job Finding: A Field Experiment in the Chinese Labor Market</t>
  </si>
  <si>
    <t>Finance-related jobs</t>
  </si>
  <si>
    <t>Hong Kong</t>
  </si>
  <si>
    <t>Li &amp; Liu</t>
  </si>
  <si>
    <t>Auditing ethnic preference in Hong Kong’s financial job market: The mediation of white privilege and Hong Kong localism</t>
  </si>
  <si>
    <t>International Sociology</t>
  </si>
  <si>
    <t>Mixed gender jobs</t>
  </si>
  <si>
    <t>Male dominated jobs</t>
  </si>
  <si>
    <t>Female dominated jobs</t>
  </si>
  <si>
    <t>Cortina, Rodriguez, &amp; Gonzalez</t>
  </si>
  <si>
    <t>Social Indicators Research</t>
  </si>
  <si>
    <t>Mind the Job: The Role of Occupational Characteristics in Explaining Gender Discrimination</t>
  </si>
  <si>
    <t>United States, United Kingdom, Australia</t>
  </si>
  <si>
    <t>IT, Accounting</t>
  </si>
  <si>
    <t>Mihut</t>
  </si>
  <si>
    <t>Studies in Higher Education</t>
  </si>
  <si>
    <t>Office jobs</t>
  </si>
  <si>
    <t>Restaurant and café services</t>
  </si>
  <si>
    <t>Shop sales</t>
  </si>
  <si>
    <t>Cyprus</t>
  </si>
  <si>
    <t>2010-2011</t>
  </si>
  <si>
    <t>Industry</t>
  </si>
  <si>
    <t>Industry/Blue collar</t>
  </si>
  <si>
    <t>Sexual orientation discrimination in the Cypriot labour market. Distastes or uncertainty?</t>
  </si>
  <si>
    <t>Gorzig &amp; Rho</t>
  </si>
  <si>
    <t>Forward Citations</t>
  </si>
  <si>
    <t>The effect of the 2016 United States presidential election on employment discrimination</t>
  </si>
  <si>
    <t>Ahmad</t>
  </si>
  <si>
    <t>When the Name Matters: An Experimental Investigation of Ethnic Discrimination in the Finnish Labor Market</t>
  </si>
  <si>
    <t>Sociological Inquiry</t>
  </si>
  <si>
    <t>How Do Online Degrees Affect Labor Market Prospects? Evidence from a Correspondence Audit Study</t>
  </si>
  <si>
    <t>Lennon</t>
  </si>
  <si>
    <t>resume</t>
  </si>
  <si>
    <t>Deming, Yuchtman, Abulafi, Goldin, &amp; Katz</t>
  </si>
  <si>
    <t>American Economic Review</t>
  </si>
  <si>
    <t>The Value of Postsecondary Credentials in the Labor Market: An Experimental Study</t>
  </si>
  <si>
    <t>Master's degree</t>
  </si>
  <si>
    <t>HR professionals</t>
  </si>
  <si>
    <t>Koellinger, Mell, Pohl, Roessler, &amp; Treffers</t>
  </si>
  <si>
    <t>Economica</t>
  </si>
  <si>
    <t>Self-employed But Looking: A Labour Market Experiment</t>
  </si>
  <si>
    <t>2017-2019</t>
  </si>
  <si>
    <t>Gaulke, Cassidy, &amp; Namingit</t>
  </si>
  <si>
    <t>The eﬀect of post-baccalaureate business certiﬁcates on job search: Results from a correspondence study</t>
  </si>
  <si>
    <t>Gaddis</t>
  </si>
  <si>
    <t>Dissertations</t>
  </si>
  <si>
    <t>Dissertation</t>
  </si>
  <si>
    <t>A Matter of Degrees: Educational Credentials and Race and Gender Discrimination in the Labor Market</t>
  </si>
  <si>
    <t>Accountant ("mixed")</t>
  </si>
  <si>
    <t>Programmer ("mixed")</t>
  </si>
  <si>
    <t>Engineer ("male dominated)</t>
  </si>
  <si>
    <t>Secretary ("female dominated")</t>
  </si>
  <si>
    <t>Email address of the corresponding author</t>
  </si>
  <si>
    <t>akhlaq.ahmad@helsinki.fi</t>
  </si>
  <si>
    <t>ali.ahmed@liu.se</t>
  </si>
  <si>
    <t>ruffleb@mcmaster.ca</t>
  </si>
  <si>
    <t>Stefan.Eriksson@nek.uu.se</t>
  </si>
  <si>
    <t>quadlin@soc.ucla.edu</t>
  </si>
  <si>
    <t>scorrell@stanford.edu</t>
  </si>
  <si>
    <t>dneumark@uci.edu</t>
  </si>
  <si>
    <t>l-rivera@kellogg.northwestern.edu</t>
  </si>
  <si>
    <t>genderstudies@jku.at</t>
  </si>
  <si>
    <t>pascale.petit@u-pem.fr</t>
  </si>
  <si>
    <t>alison.booth@anu.edu.au</t>
  </si>
  <si>
    <t>unfound</t>
  </si>
  <si>
    <t>dpedulla@fas.harvard.edu</t>
  </si>
  <si>
    <t>iandriessen@verwey-jonker.nl</t>
  </si>
  <si>
    <t>peterriach@aol.com</t>
  </si>
  <si>
    <t>mvjsoc@stanford.edu</t>
  </si>
  <si>
    <t>escot@ucm.es</t>
  </si>
  <si>
    <t>adam@uwindsor.ca</t>
  </si>
  <si>
    <t xml:space="preserve"> magnus.carlsson@lnu.se</t>
  </si>
  <si>
    <t>john.bailey@rutgers.edu</t>
  </si>
  <si>
    <t>weisshaar@unc.edu</t>
  </si>
  <si>
    <t>pnorlander@luc.edu</t>
  </si>
  <si>
    <t>Norlander, Ho, Shih, Walters, &amp; Pittinsky</t>
  </si>
  <si>
    <t>Basic and Applied Social Psychology</t>
  </si>
  <si>
    <t>The Role of Psychological Stigmatization in Unemployment Discrimination</t>
  </si>
  <si>
    <t>Admin</t>
  </si>
  <si>
    <t>IT</t>
  </si>
  <si>
    <t>Medical assisting</t>
  </si>
  <si>
    <t>Medical office / billing</t>
  </si>
  <si>
    <t>Administrative assisting</t>
  </si>
  <si>
    <t>Medical assisting (excl. nursing)</t>
  </si>
  <si>
    <t>koedelc@missouri.edu</t>
  </si>
  <si>
    <t>Darolia, Koedel, Martorell, Wilson &amp; Perez-Arce</t>
  </si>
  <si>
    <t>Race and gender effects on employer interest in job applicants: new evidence from a resume field experiment</t>
  </si>
  <si>
    <t>Do low-wage employers discriminate against applicants with long commutes? Evidence from a correspondence experiment.</t>
  </si>
  <si>
    <t>Journal of Human Resources</t>
  </si>
  <si>
    <t>Phillips</t>
  </si>
  <si>
    <t>david.phillips.184@nd.edu</t>
  </si>
  <si>
    <t>Cook</t>
  </si>
  <si>
    <t>Hairdresser</t>
  </si>
  <si>
    <t>Payroll Clerk</t>
  </si>
  <si>
    <t>Sales Representative</t>
  </si>
  <si>
    <t>Software Developer</t>
  </si>
  <si>
    <t>Store Assistant</t>
  </si>
  <si>
    <t>Carpenter</t>
  </si>
  <si>
    <t>Electrician</t>
  </si>
  <si>
    <t>Plumber</t>
  </si>
  <si>
    <t>Norway</t>
  </si>
  <si>
    <t>Germany, Netherlands, Norway, Spain, United Kingdom</t>
  </si>
  <si>
    <t>v.distasio@uu.nl</t>
  </si>
  <si>
    <t>Di Stasio &amp; Larsen</t>
  </si>
  <si>
    <t>The Racialized and Gendered Workplace: Applying an Intersectional Lens to a Field Experiment on Hiring Discrimination in Five European Labor Markets</t>
  </si>
  <si>
    <t>Social Psychology Quarterly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</si>
  <si>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</si>
  <si>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</si>
  <si>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</si>
  <si>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</si>
  <si>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</si>
  <si>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</si>
  <si>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</si>
  <si>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</si>
  <si>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</si>
  <si>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</si>
  <si>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</si>
  <si>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</si>
  <si>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</si>
  <si>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</si>
  <si>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</si>
  <si>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</si>
  <si>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</si>
  <si>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</si>
  <si>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</si>
  <si>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</si>
  <si>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</si>
  <si>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</si>
  <si>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</si>
  <si>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</si>
  <si>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</si>
  <si>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</si>
  <si>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</si>
  <si>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</si>
  <si>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galarza_fb@up.edu.pe</t>
  </si>
  <si>
    <t>michael.gahler@sociology.su.se</t>
  </si>
  <si>
    <t>edward.helmes@jcu.edu.au</t>
  </si>
  <si>
    <t>Stijn.Baert@UGent.be</t>
  </si>
  <si>
    <t>dzhou002@sjtu.edu.cn</t>
  </si>
  <si>
    <t>Karmela.Liebkind@helsinki.fi</t>
  </si>
  <si>
    <t>nick.drydakis@anglia.ac.uk</t>
  </si>
  <si>
    <t>ana.fernandes@bfh.ch</t>
  </si>
  <si>
    <t>mrd@ifs.ku.dk</t>
  </si>
  <si>
    <t>n.pignatti@iset.ge</t>
  </si>
  <si>
    <t>clemence.berson@banque-france.fr</t>
  </si>
  <si>
    <t>lena.hipp@wzb.eu</t>
  </si>
  <si>
    <t>rickard.carlsson@lnu.se</t>
  </si>
  <si>
    <t>rmcampos@colmex.mx</t>
  </si>
  <si>
    <t>mark.granberg@liu.se</t>
  </si>
  <si>
    <t>yannick.lhorty@univ-mlv.fr</t>
  </si>
  <si>
    <t>murquha1@binghamton.edu</t>
  </si>
  <si>
    <t>f.fiorillo@univpm.it</t>
  </si>
  <si>
    <t>Arieshe@ruppin.ac.il</t>
  </si>
  <si>
    <t>kylathom@usc.edu</t>
  </si>
  <si>
    <t>abubakr.saeed@comsats.edu.pk</t>
  </si>
  <si>
    <t>felipe.dias@tufts.edu</t>
  </si>
  <si>
    <t>mgcampolo@unime.it</t>
  </si>
  <si>
    <t>horvathgergely@gmail.com</t>
  </si>
  <si>
    <t>yaotaili@hkbu.edu.hk</t>
  </si>
  <si>
    <t>clara.cortina@upf.edu</t>
  </si>
  <si>
    <t>georgiana.g.mihut@gmail.com</t>
  </si>
  <si>
    <t>mmaurer@bates.edu</t>
  </si>
  <si>
    <t>anthony.edo@cepii.fr</t>
  </si>
  <si>
    <t>deborah.rho@stthomas.edu</t>
  </si>
  <si>
    <t>conor.lennon@louisville.edu</t>
  </si>
  <si>
    <t>david_deming@harvard.edu</t>
  </si>
  <si>
    <t>emmanuel.duguet@gmail.com</t>
  </si>
  <si>
    <t>ep454@cornell.edu</t>
  </si>
  <si>
    <t>jnunley@uwlax.edu</t>
  </si>
  <si>
    <t>koellinger@wisc.edu</t>
  </si>
  <si>
    <t>gaulke@ksu.edu</t>
  </si>
  <si>
    <t>mgaddis@soc.ucla.edu</t>
  </si>
  <si>
    <t>eva.arceo@cide.edu</t>
  </si>
  <si>
    <t>eva.derous@ugent.be</t>
  </si>
  <si>
    <t>Derous, Ryan, &amp; Nguyen</t>
  </si>
  <si>
    <t>Multiple categorization in resume screening: Examining effects on hiring discrimination against Arab applicants in ﬁ eld and lab settings</t>
  </si>
  <si>
    <t>Journal of Organizational Behavior</t>
  </si>
  <si>
    <t>Oreopoulos</t>
  </si>
  <si>
    <t>American Economic Journal: Economic Policy</t>
  </si>
  <si>
    <t>Why Do Skilled Immigrants Struggle in the Labor Market? A Field Experiment with Thirteen Thousand Resumes</t>
  </si>
  <si>
    <t>Marketing Professional</t>
  </si>
  <si>
    <t>Software Engineer</t>
  </si>
  <si>
    <t>marton@mail.xjtu.edu.cn</t>
  </si>
  <si>
    <t>Zhou, Zhang, &amp; Song</t>
  </si>
  <si>
    <t>Gender Discrimination in Hiring: Evidence from 19,130 Resumes in China</t>
  </si>
  <si>
    <t>Carlsson</t>
  </si>
  <si>
    <t>WithinSubj</t>
  </si>
  <si>
    <t>Gender was manipulated within-subject (i.e., firms received both male and female applications) as opposed to between-subjects (firms only received applications from one gender)</t>
  </si>
  <si>
    <t>Vacancies in the private sector requiring at most five years of work experience</t>
  </si>
  <si>
    <t>PairedRealAppl</t>
  </si>
  <si>
    <t>MultipDVs</t>
  </si>
  <si>
    <t>Testing for Backlash and hiring: A field experiment on agency, communion, and gender</t>
  </si>
  <si>
    <t>Cook, shop assistant, payroll clerk, receptionist, sales representative, and software developer</t>
  </si>
  <si>
    <t>ruta.yemane@wzb.eu</t>
  </si>
  <si>
    <t>Yemane</t>
  </si>
  <si>
    <t>Cumulative disadvantage? The role of race compared to ethnicity, religion, and non-white phenotype in explaining hiring discrimination in the U.S. labour market</t>
  </si>
  <si>
    <t>2016-2018</t>
  </si>
  <si>
    <t>Yemane &amp; Fernandez-Reino</t>
  </si>
  <si>
    <t>Latinos in the United States and in Spain: the impact of ethnic group stereotypes on labour market outcomes</t>
  </si>
  <si>
    <t>Journal of Ethnic and Migration Studies</t>
  </si>
  <si>
    <t>Discrimination of Arabic-Named Applicants in the Netherlands: An Internet-Based Field Experiment Examining Different Phases in Online Recruitment Procedures</t>
  </si>
  <si>
    <t>Blommaert, Coenders, &amp; van Tubergen</t>
  </si>
  <si>
    <t>lieselotte.blommaert@ru.nl</t>
  </si>
  <si>
    <t>philip.oreopoulos@utoronto.ca</t>
  </si>
  <si>
    <t>jyavorsk@uncc.edu</t>
  </si>
  <si>
    <t>Total - Interviews</t>
  </si>
  <si>
    <t>1999-2004</t>
  </si>
  <si>
    <t>Female-dominated</t>
  </si>
  <si>
    <t>Neutral</t>
  </si>
  <si>
    <t>Male-dominated</t>
  </si>
  <si>
    <t>Switzerland</t>
  </si>
  <si>
    <t>2018-2019</t>
  </si>
  <si>
    <t>Fernandes, Huber, &amp; Plaza</t>
  </si>
  <si>
    <t>Public call</t>
  </si>
  <si>
    <t>When Does Gender Occupational Segregation Start? An Experimental Evaluation of the Eﬀects of Gender and Parental Occupation in the Apprenticeship Labor Market</t>
  </si>
  <si>
    <t>Identifier of effect within a particular study</t>
  </si>
  <si>
    <t>Real applicants were matched to the best of the researchers' abilities (as opposed to random assignment of fictitious applicant attributes)</t>
  </si>
  <si>
    <t>Email</t>
  </si>
  <si>
    <t>Does university prestige lead to discrimination in the labor market? Evidence from a labor market ﬁeld experiment in three countries</t>
  </si>
  <si>
    <t>Berson, Laouenan, &amp; Valat</t>
  </si>
  <si>
    <t>Outsourcing recruitment as a solution to prevent discrimination: A correspondence study</t>
  </si>
  <si>
    <t>Galarza &amp; Yamada</t>
  </si>
  <si>
    <t>Finland</t>
  </si>
  <si>
    <t>Graphic design</t>
  </si>
  <si>
    <t>Import/export</t>
  </si>
  <si>
    <t>Law</t>
  </si>
  <si>
    <t>Marketing</t>
  </si>
  <si>
    <t>Technical support (software/hardware)</t>
  </si>
  <si>
    <t>Sales: call centers</t>
  </si>
  <si>
    <t>Sales: face-to-face</t>
  </si>
  <si>
    <t>Campos-Vazquez &amp; Gonzalez</t>
  </si>
  <si>
    <t>Counterproductive hiring discrimination against women: Evidence from a French correspondence test</t>
  </si>
  <si>
    <t>Intersections of Race and Social-Class Discrimination: How Class Signals (Re)Shape the Racial Gap in Hiring</t>
  </si>
  <si>
    <t>2019-2021</t>
  </si>
  <si>
    <t>Customer service, sales, administrative assistant, clerk, analyst</t>
  </si>
  <si>
    <t>Other</t>
  </si>
  <si>
    <t>EffectsLevelData</t>
  </si>
  <si>
    <t>StudyLevelData</t>
  </si>
  <si>
    <t>Discrimination at the Intersection of Race, Gender, Sexual Orientation, and Gender Expression: A Resume Audit Study</t>
  </si>
  <si>
    <t>Irfan &amp; Maurer-Fazio</t>
  </si>
  <si>
    <t>faaiz99@gmail.com</t>
  </si>
  <si>
    <t>Registered Nurse, Marketing, Sales, IT</t>
  </si>
  <si>
    <t>Indicates observations to be used for study-level analyses (i.e., one observation per study)</t>
  </si>
  <si>
    <t>Indicates observations to be used for effects-level analyses (i.e., multiple observations per study, if applicable)</t>
  </si>
  <si>
    <t>Study includes multiple dependent variables (i.e., non-independence of variance)</t>
  </si>
  <si>
    <t>Country/territory in which data was collected</t>
  </si>
  <si>
    <t>Weight-Based Discrimination in the Italian Labor Market: an Analysis of the Interaction with Gender and Ethnicity</t>
  </si>
  <si>
    <t>Journal of Economic Inequality</t>
  </si>
  <si>
    <t>demetrio.panarello@uniud.it</t>
  </si>
  <si>
    <t>Documenting the Adverse Impact of Résumé Screening: Degree of ethnic identiﬁcation matters</t>
  </si>
  <si>
    <t>International Journal of Selection and Assessment</t>
  </si>
  <si>
    <t>Derous &amp; Ryan</t>
  </si>
  <si>
    <t>Jobs in the service sector like desk clerk; medium vocational-level; gender-neutral</t>
  </si>
  <si>
    <t>Sociographic research</t>
  </si>
  <si>
    <t>Beauregard, Arteau, &amp; Drolet-Brassard</t>
  </si>
  <si>
    <t>Testing Hiring Quebecers of Maghreban Origin in Quebec City</t>
  </si>
  <si>
    <t>Accounting, Finance, Marketing, HR</t>
  </si>
  <si>
    <t>Revision</t>
  </si>
  <si>
    <t>jean-philippe.beauregard.1@ulaval.ca</t>
  </si>
  <si>
    <t>IndPrcMale</t>
  </si>
  <si>
    <t>IndPrcFem</t>
  </si>
  <si>
    <t>Laboratory worker, representative, production worker, barkeeper</t>
  </si>
  <si>
    <t>Articled clerk</t>
  </si>
  <si>
    <t xml:space="preserve"> 23% sales, 17-19% customer service, 15% administrative assistant, 9-10% analyst, 8-9% clerical, 5-6% human resources, 5% managerial, and 13-16% other categories</t>
  </si>
  <si>
    <t>Accounting/finance, customer survice/sales, licensed practical nurse, pharmacy technician, medical assistant (admin), medical assistant (clinical)</t>
  </si>
  <si>
    <t>White-collar Female-dominated:  administrative support and human resource associate</t>
  </si>
  <si>
    <t>White-collar Male-dominated: ﬁnancial analyst and sales representative</t>
  </si>
  <si>
    <t>Working-class Female-dominated: housekeeping and customer service</t>
  </si>
  <si>
    <t>Working-class Male-dominated:  manufacturing and maintenance/janitor</t>
  </si>
  <si>
    <t>Accountant, sales rep, admin assistant, software engineer</t>
  </si>
  <si>
    <t>Restaurant and catering, retail trade, cleaning, clerical, and customer service</t>
  </si>
  <si>
    <t>Sales and technical sales managers, Retail store operators &amp; intermediaries, Self-service employees, Sellers, Banking and insurance managers, Banking and insurance employees, Banking and insurance technicians, Hotel, cafe and restaurant managers, Hotel &amp; catering employees and operators, Cooks</t>
  </si>
  <si>
    <t>Managers,  professionals,  technical  jobs,  clerical  jobs, commercials, skilled and craft workers machine and plant operators,  elementary occupations</t>
  </si>
  <si>
    <t>Administrative clerk</t>
  </si>
  <si>
    <t>Bookkeeper</t>
  </si>
  <si>
    <t>Call center</t>
  </si>
  <si>
    <t>Sales clerk</t>
  </si>
  <si>
    <t>Shop assistant</t>
  </si>
  <si>
    <t>Administrative, clerical, customer service, highbrow sales positions, lowbrow sales</t>
  </si>
  <si>
    <t>Service sector (semi-skilled level)</t>
  </si>
  <si>
    <t>Finance and accounting; human resources; transportation; marketing and production management; and health care</t>
  </si>
  <si>
    <t>Banking, finance, insurance, marketing, management and sales</t>
  </si>
  <si>
    <t>Customer service, sales, administrative assistant, accounting clerk</t>
  </si>
  <si>
    <t>Administrative assistant (17 percent), cook (20 per-cent), fast food (13 percent), janitor (2 percent), building maintenance (6 percent), retail (14 percent), server (26 percent), and valet driver (2 percent).</t>
  </si>
  <si>
    <t>Manager, accounting assistant, administrative assistant</t>
  </si>
  <si>
    <t>Business, engineering, IT, and medical professions</t>
  </si>
  <si>
    <t xml:space="preserve">Retail jobs </t>
  </si>
  <si>
    <t>female-dominated occupations (cleaners, restaurant workers, accountants, nurses, primary school teachers, shop sales assistants)</t>
  </si>
  <si>
    <t>gender-balanced occupation (high school teachers)</t>
  </si>
  <si>
    <t>male-dominated occupations (business sales assistants, construction workers, motor-vehicle drivers, and computer professional</t>
  </si>
  <si>
    <t>Female-dominated (hair dresser, dental assistant, social worker, medical practice assistant, pharma assistant, health worker)</t>
  </si>
  <si>
    <t>Gender neutral (baker, retail assistant, cook, restaurant worker, commerce assistant, retail worker, commerce worker)</t>
  </si>
  <si>
    <t>Male-dominated (building maintenance, gardener, logistics worker, plumber, electrician, carpenter, car mechanic, mason, polymecanic, car mecatronic, electric installer, designer/drawer, metallic construction worker, software application engineer, business IT specialist, IT systems engineer, polymecanic)</t>
  </si>
  <si>
    <t>JobStereotype60</t>
  </si>
  <si>
    <t>NonFemaleTyped60</t>
  </si>
  <si>
    <t>JobStereotype65</t>
  </si>
  <si>
    <t>NonFemaleTyped65</t>
  </si>
  <si>
    <t>JobStereotype70</t>
  </si>
  <si>
    <t>NonFemaleTyped70</t>
  </si>
  <si>
    <t>2E</t>
  </si>
  <si>
    <t>2F</t>
  </si>
  <si>
    <t>2G</t>
  </si>
  <si>
    <t>2H</t>
  </si>
  <si>
    <t>2I</t>
  </si>
  <si>
    <t>2J</t>
  </si>
  <si>
    <t>2K</t>
  </si>
  <si>
    <t>Physical</t>
  </si>
  <si>
    <t>Nurturance</t>
  </si>
  <si>
    <t>Mixed (vehicle mechanic, forklift operator, truck driver, warehouse worker, telemarketing, chef, waitsatff, store clerk, customer service, cleaner, childcare, enrolled nurse)</t>
  </si>
  <si>
    <t>HumanDev</t>
  </si>
  <si>
    <t>EduIndex</t>
  </si>
  <si>
    <t>GDP</t>
  </si>
  <si>
    <t>USADist</t>
  </si>
  <si>
    <t>Human development index (retrieved from United Nations Human Development Report)</t>
  </si>
  <si>
    <t>Education index (retrieved from United Nations Human Development Report)</t>
  </si>
  <si>
    <t>GDP per capita (retrieved from The World Bank)</t>
  </si>
  <si>
    <t>Cultural distance from the United States (Muthukrishna et al., 2020)</t>
  </si>
  <si>
    <t>Is the job stereotypically male-typed, neutral-typed, or stereotypically female-typed? (as rated by 4 human coders)</t>
  </si>
  <si>
    <t>Dummy variable for non-female-typed jobs (as rated by 4 human coders)</t>
  </si>
  <si>
    <t>Is the job stereotypically male-typed, neutral-typed, or stereotypically female-typed? (objective country-level data; 60% threshold)</t>
  </si>
  <si>
    <t>Is the job stereotypically male-typed, neutral-typed, or stereotypically female-typed? (objective country-level data; 65% threshold)</t>
  </si>
  <si>
    <t>Is the job stereotypically male-typed, neutral-typed, or stereotypically female-typed? (objective country-level data; 70% threshold)</t>
  </si>
  <si>
    <t>Dummy variable for non-female-typed jobs (objective country-level data; 60% threshold)</t>
  </si>
  <si>
    <t>Dummy variable for non-female-typed jobs (objective country-level data; 65% threshold)</t>
  </si>
  <si>
    <t>Dummy variable for non-female-typed jobs (objective country-level data; 70% threshold)</t>
  </si>
  <si>
    <t>Does the job require physical strength? (as rated by 4 human coders)</t>
  </si>
  <si>
    <t>Does the job require nurturance? (as rated by 4 human coders)</t>
  </si>
  <si>
    <t>Auto mechanic, truck driver, salesperson, and 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</si>
</sst>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0" xfId="1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3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</cellXfs>
  <cellStyles count="8">
    <cellStyle name="Comma 2" xfId="2" xr:uid="{8FF6E0B3-BA95-4205-B781-42156A6636E4}"/>
    <cellStyle name="Hyperlink" xfId="1" builtinId="8"/>
    <cellStyle name="Hyperlink 2" xfId="6" xr:uid="{32ECB7FC-E898-45A3-9616-BCB110D9F69D}"/>
    <cellStyle name="Normal" xfId="0" builtinId="0"/>
    <cellStyle name="Normal 2" xfId="4" xr:uid="{5D8F864F-8F45-44E4-8F48-7B8166ECBED1}"/>
    <cellStyle name="Normal 2 2" xfId="5" xr:uid="{D30F9E0E-E78D-4FF8-99FD-062D70910633}"/>
    <cellStyle name="Normal 3" xfId="3" xr:uid="{9D4710A0-8202-4917-B924-4D8F63E78ED0}"/>
    <cellStyle name="Normal 4" xfId="7" xr:uid="{BD150B51-CED5-43BE-A227-1BFCA5956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4"/>
  <sheetViews>
    <sheetView topLeftCell="A8" zoomScale="90" zoomScaleNormal="90" workbookViewId="0">
      <selection activeCell="F14" sqref="F14"/>
    </sheetView>
  </sheetViews>
  <sheetFormatPr defaultColWidth="8.85546875" defaultRowHeight="15" x14ac:dyDescent="0.25"/>
  <cols>
    <col min="1" max="1" width="3.7109375" style="2" customWidth="1"/>
    <col min="2" max="2" width="15.140625" style="2" customWidth="1"/>
    <col min="3" max="3" width="105.28515625" style="2" bestFit="1" customWidth="1"/>
    <col min="4" max="16384" width="8.85546875" style="2"/>
  </cols>
  <sheetData>
    <row r="2" spans="2:3" s="1" customFormat="1" x14ac:dyDescent="0.25">
      <c r="B2" s="5" t="s">
        <v>70</v>
      </c>
      <c r="C2" s="5" t="s">
        <v>71</v>
      </c>
    </row>
    <row r="3" spans="2:3" x14ac:dyDescent="0.25">
      <c r="B3" s="2" t="s">
        <v>69</v>
      </c>
      <c r="C3" s="2" t="s">
        <v>72</v>
      </c>
    </row>
    <row r="4" spans="2:3" x14ac:dyDescent="0.25">
      <c r="B4" s="2" t="s">
        <v>54</v>
      </c>
      <c r="C4" s="2" t="s">
        <v>73</v>
      </c>
    </row>
    <row r="5" spans="2:3" x14ac:dyDescent="0.25">
      <c r="B5" s="2" t="s">
        <v>194</v>
      </c>
      <c r="C5" s="2" t="s">
        <v>195</v>
      </c>
    </row>
    <row r="6" spans="2:3" x14ac:dyDescent="0.25">
      <c r="B6" s="2" t="s">
        <v>74</v>
      </c>
      <c r="C6" s="2" t="s">
        <v>629</v>
      </c>
    </row>
    <row r="7" spans="2:3" x14ac:dyDescent="0.25">
      <c r="B7" s="2" t="s">
        <v>651</v>
      </c>
      <c r="C7" s="2" t="s">
        <v>656</v>
      </c>
    </row>
    <row r="8" spans="2:3" x14ac:dyDescent="0.25">
      <c r="B8" s="2" t="s">
        <v>650</v>
      </c>
      <c r="C8" s="2" t="s">
        <v>657</v>
      </c>
    </row>
    <row r="9" spans="2:3" x14ac:dyDescent="0.25">
      <c r="B9" s="2" t="s">
        <v>604</v>
      </c>
      <c r="C9" s="2" t="s">
        <v>658</v>
      </c>
    </row>
    <row r="10" spans="2:3" x14ac:dyDescent="0.25">
      <c r="B10" s="2" t="s">
        <v>2</v>
      </c>
      <c r="C10" s="2" t="s">
        <v>75</v>
      </c>
    </row>
    <row r="11" spans="2:3" x14ac:dyDescent="0.25">
      <c r="B11" s="2" t="s">
        <v>3</v>
      </c>
      <c r="C11" s="2" t="s">
        <v>76</v>
      </c>
    </row>
    <row r="12" spans="2:3" x14ac:dyDescent="0.25">
      <c r="B12" s="2" t="s">
        <v>191</v>
      </c>
      <c r="C12" s="2" t="s">
        <v>192</v>
      </c>
    </row>
    <row r="13" spans="2:3" x14ac:dyDescent="0.25">
      <c r="B13" s="2" t="s">
        <v>199</v>
      </c>
      <c r="C13" s="2" t="s">
        <v>198</v>
      </c>
    </row>
    <row r="14" spans="2:3" x14ac:dyDescent="0.25">
      <c r="B14" s="2" t="s">
        <v>4</v>
      </c>
      <c r="C14" s="2" t="s">
        <v>77</v>
      </c>
    </row>
    <row r="15" spans="2:3" x14ac:dyDescent="0.25">
      <c r="B15" s="2" t="s">
        <v>631</v>
      </c>
      <c r="C15" s="2" t="s">
        <v>466</v>
      </c>
    </row>
    <row r="16" spans="2:3" x14ac:dyDescent="0.25">
      <c r="B16" s="2" t="s">
        <v>47</v>
      </c>
      <c r="C16" s="2" t="s">
        <v>78</v>
      </c>
    </row>
    <row r="17" spans="2:3" x14ac:dyDescent="0.25">
      <c r="B17" s="2" t="s">
        <v>48</v>
      </c>
      <c r="C17" s="2" t="s">
        <v>79</v>
      </c>
    </row>
    <row r="18" spans="2:3" x14ac:dyDescent="0.25">
      <c r="B18" s="2" t="s">
        <v>49</v>
      </c>
      <c r="C18" s="2" t="s">
        <v>86</v>
      </c>
    </row>
    <row r="19" spans="2:3" x14ac:dyDescent="0.25">
      <c r="B19" s="2" t="s">
        <v>34</v>
      </c>
      <c r="C19" s="2" t="s">
        <v>80</v>
      </c>
    </row>
    <row r="20" spans="2:3" x14ac:dyDescent="0.25">
      <c r="B20" s="2" t="s">
        <v>59</v>
      </c>
      <c r="C20" s="2" t="s">
        <v>81</v>
      </c>
    </row>
    <row r="21" spans="2:3" x14ac:dyDescent="0.25">
      <c r="B21" s="2" t="s">
        <v>108</v>
      </c>
      <c r="C21" s="2" t="s">
        <v>109</v>
      </c>
    </row>
    <row r="22" spans="2:3" x14ac:dyDescent="0.25">
      <c r="B22" s="2" t="s">
        <v>50</v>
      </c>
      <c r="C22" s="2" t="s">
        <v>659</v>
      </c>
    </row>
    <row r="23" spans="2:3" x14ac:dyDescent="0.25">
      <c r="B23" s="2" t="s">
        <v>200</v>
      </c>
      <c r="C23" s="2" t="s">
        <v>201</v>
      </c>
    </row>
    <row r="24" spans="2:3" x14ac:dyDescent="0.25">
      <c r="B24" s="2" t="s">
        <v>723</v>
      </c>
      <c r="C24" s="2" t="s">
        <v>727</v>
      </c>
    </row>
    <row r="25" spans="2:3" x14ac:dyDescent="0.25">
      <c r="B25" s="2" t="s">
        <v>724</v>
      </c>
      <c r="C25" s="2" t="s">
        <v>728</v>
      </c>
    </row>
    <row r="26" spans="2:3" x14ac:dyDescent="0.25">
      <c r="B26" s="2" t="s">
        <v>725</v>
      </c>
      <c r="C26" s="2" t="s">
        <v>729</v>
      </c>
    </row>
    <row r="27" spans="2:3" x14ac:dyDescent="0.25">
      <c r="B27" s="2" t="s">
        <v>726</v>
      </c>
      <c r="C27" s="2" t="s">
        <v>730</v>
      </c>
    </row>
    <row r="28" spans="2:3" x14ac:dyDescent="0.25">
      <c r="B28" s="2" t="s">
        <v>600</v>
      </c>
      <c r="C28" s="2" t="s">
        <v>601</v>
      </c>
    </row>
    <row r="29" spans="2:3" x14ac:dyDescent="0.25">
      <c r="B29" s="2" t="s">
        <v>603</v>
      </c>
      <c r="C29" s="2" t="s">
        <v>630</v>
      </c>
    </row>
    <row r="30" spans="2:3" x14ac:dyDescent="0.25">
      <c r="B30" s="2" t="s">
        <v>53</v>
      </c>
      <c r="C30" s="2" t="s">
        <v>202</v>
      </c>
    </row>
    <row r="31" spans="2:3" x14ac:dyDescent="0.25">
      <c r="B31" s="2" t="s">
        <v>44</v>
      </c>
      <c r="C31" s="2" t="s">
        <v>82</v>
      </c>
    </row>
    <row r="32" spans="2:3" x14ac:dyDescent="0.25">
      <c r="B32" s="2" t="s">
        <v>193</v>
      </c>
      <c r="C32" s="2" t="s">
        <v>731</v>
      </c>
    </row>
    <row r="33" spans="2:3" x14ac:dyDescent="0.25">
      <c r="B33" s="2" t="s">
        <v>351</v>
      </c>
      <c r="C33" s="2" t="s">
        <v>732</v>
      </c>
    </row>
    <row r="34" spans="2:3" x14ac:dyDescent="0.25">
      <c r="B34" s="2" t="s">
        <v>707</v>
      </c>
      <c r="C34" s="2" t="s">
        <v>733</v>
      </c>
    </row>
    <row r="35" spans="2:3" x14ac:dyDescent="0.25">
      <c r="B35" s="2" t="s">
        <v>708</v>
      </c>
      <c r="C35" s="2" t="s">
        <v>736</v>
      </c>
    </row>
    <row r="36" spans="2:3" x14ac:dyDescent="0.25">
      <c r="B36" s="2" t="s">
        <v>709</v>
      </c>
      <c r="C36" s="2" t="s">
        <v>734</v>
      </c>
    </row>
    <row r="37" spans="2:3" x14ac:dyDescent="0.25">
      <c r="B37" s="2" t="s">
        <v>710</v>
      </c>
      <c r="C37" s="2" t="s">
        <v>737</v>
      </c>
    </row>
    <row r="38" spans="2:3" x14ac:dyDescent="0.25">
      <c r="B38" s="2" t="s">
        <v>711</v>
      </c>
      <c r="C38" s="2" t="s">
        <v>735</v>
      </c>
    </row>
    <row r="39" spans="2:3" x14ac:dyDescent="0.25">
      <c r="B39" s="2" t="s">
        <v>712</v>
      </c>
      <c r="C39" s="2" t="s">
        <v>738</v>
      </c>
    </row>
    <row r="40" spans="2:3" x14ac:dyDescent="0.25">
      <c r="B40" s="2" t="s">
        <v>720</v>
      </c>
      <c r="C40" s="2" t="s">
        <v>739</v>
      </c>
    </row>
    <row r="41" spans="2:3" x14ac:dyDescent="0.25">
      <c r="B41" s="2" t="s">
        <v>721</v>
      </c>
      <c r="C41" s="2" t="s">
        <v>740</v>
      </c>
    </row>
    <row r="42" spans="2:3" x14ac:dyDescent="0.25">
      <c r="B42" s="2" t="s">
        <v>52</v>
      </c>
      <c r="C42" s="2" t="s">
        <v>83</v>
      </c>
    </row>
    <row r="43" spans="2:3" x14ac:dyDescent="0.25">
      <c r="B43" s="2" t="s">
        <v>46</v>
      </c>
      <c r="C43" s="2" t="s">
        <v>84</v>
      </c>
    </row>
    <row r="44" spans="2:3" x14ac:dyDescent="0.25">
      <c r="B44" s="2" t="s">
        <v>196</v>
      </c>
      <c r="C44" s="2" t="s">
        <v>197</v>
      </c>
    </row>
    <row r="45" spans="2:3" x14ac:dyDescent="0.25">
      <c r="B45" s="2" t="s">
        <v>55</v>
      </c>
      <c r="C45" s="2" t="s">
        <v>85</v>
      </c>
    </row>
    <row r="46" spans="2:3" x14ac:dyDescent="0.25">
      <c r="B46" s="2" t="s">
        <v>37</v>
      </c>
      <c r="C46" s="2" t="s">
        <v>87</v>
      </c>
    </row>
    <row r="47" spans="2:3" x14ac:dyDescent="0.25">
      <c r="B47" s="2" t="s">
        <v>35</v>
      </c>
      <c r="C47" s="2" t="s">
        <v>89</v>
      </c>
    </row>
    <row r="48" spans="2:3" x14ac:dyDescent="0.25">
      <c r="B48" s="2" t="s">
        <v>43</v>
      </c>
      <c r="C48" s="2" t="s">
        <v>88</v>
      </c>
    </row>
    <row r="49" spans="2:3" x14ac:dyDescent="0.25">
      <c r="B49" s="2" t="s">
        <v>36</v>
      </c>
      <c r="C49" s="2" t="s">
        <v>90</v>
      </c>
    </row>
    <row r="50" spans="2:3" x14ac:dyDescent="0.25">
      <c r="B50" s="2" t="s">
        <v>38</v>
      </c>
      <c r="C50" s="2" t="s">
        <v>91</v>
      </c>
    </row>
    <row r="51" spans="2:3" x14ac:dyDescent="0.25">
      <c r="B51" s="2" t="s">
        <v>39</v>
      </c>
      <c r="C51" s="2" t="s">
        <v>93</v>
      </c>
    </row>
    <row r="52" spans="2:3" x14ac:dyDescent="0.25">
      <c r="B52" s="2" t="s">
        <v>40</v>
      </c>
      <c r="C52" s="2" t="s">
        <v>92</v>
      </c>
    </row>
    <row r="53" spans="2:3" x14ac:dyDescent="0.25">
      <c r="B53" s="2" t="s">
        <v>41</v>
      </c>
      <c r="C53" s="2" t="s">
        <v>94</v>
      </c>
    </row>
    <row r="54" spans="2:3" x14ac:dyDescent="0.25">
      <c r="B54" s="2" t="s">
        <v>42</v>
      </c>
      <c r="C54" s="2" t="s">
        <v>95</v>
      </c>
    </row>
  </sheetData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DEEC-E2D1-4AF1-A0CC-32B5845073BA}">
  <dimension ref="A1:BB325"/>
  <sheetViews>
    <sheetView tabSelected="1" zoomScaleNormal="100" workbookViewId="0">
      <pane ySplit="1" topLeftCell="A2" activePane="bottomLeft" state="frozen"/>
      <selection activeCell="I1" sqref="I1"/>
      <selection pane="bottomLeft" activeCell="BB3" sqref="BB3:BB274"/>
    </sheetView>
  </sheetViews>
  <sheetFormatPr defaultColWidth="8.85546875" defaultRowHeight="15" x14ac:dyDescent="0.25"/>
  <cols>
    <col min="1" max="1" width="9.28515625" style="1" customWidth="1"/>
    <col min="2" max="3" width="7.85546875" style="4" customWidth="1"/>
    <col min="4" max="4" width="8" style="4" customWidth="1"/>
    <col min="5" max="7" width="10.42578125" style="4" customWidth="1"/>
    <col min="8" max="8" width="35.42578125" style="2" customWidth="1"/>
    <col min="9" max="9" width="26.7109375" style="2" customWidth="1"/>
    <col min="10" max="10" width="19.85546875" style="2" customWidth="1"/>
    <col min="11" max="11" width="13.42578125" style="2" customWidth="1"/>
    <col min="12" max="12" width="28.42578125" style="2" customWidth="1"/>
    <col min="13" max="13" width="24" style="2" customWidth="1"/>
    <col min="14" max="14" width="11.85546875" style="4" customWidth="1"/>
    <col min="15" max="15" width="9.85546875" style="4" customWidth="1"/>
    <col min="16" max="16" width="13.42578125" style="4" customWidth="1"/>
    <col min="17" max="17" width="8.42578125" style="4" customWidth="1"/>
    <col min="18" max="18" width="10.42578125" style="4" customWidth="1"/>
    <col min="19" max="19" width="15.28515625" style="4" customWidth="1"/>
    <col min="20" max="20" width="17.140625" style="4" customWidth="1"/>
    <col min="21" max="25" width="10.7109375" style="4" customWidth="1"/>
    <col min="26" max="27" width="9" style="4" customWidth="1"/>
    <col min="28" max="28" width="12.42578125" style="4" customWidth="1"/>
    <col min="29" max="29" width="51.42578125" style="17" customWidth="1"/>
    <col min="30" max="31" width="8.28515625" style="4" customWidth="1"/>
    <col min="32" max="41" width="9.28515625" style="4" customWidth="1"/>
    <col min="42" max="42" width="22.42578125" style="4" customWidth="1"/>
    <col min="43" max="43" width="21.140625" style="4" customWidth="1"/>
    <col min="44" max="44" width="11.28515625" style="4" customWidth="1"/>
    <col min="45" max="45" width="22.42578125" style="4" customWidth="1"/>
    <col min="46" max="46" width="11.7109375" style="4" customWidth="1"/>
    <col min="47" max="47" width="9" style="4" customWidth="1"/>
    <col min="48" max="48" width="13.28515625" style="4" customWidth="1"/>
    <col min="49" max="49" width="7" style="4" customWidth="1"/>
    <col min="50" max="50" width="11.42578125" style="4" customWidth="1"/>
    <col min="51" max="51" width="10.7109375" style="4" customWidth="1"/>
    <col min="52" max="52" width="9.42578125" style="4" customWidth="1"/>
    <col min="53" max="53" width="8.7109375" style="4" customWidth="1"/>
    <col min="54" max="54" width="11.140625" style="4" customWidth="1"/>
    <col min="55" max="16384" width="8.85546875" style="2"/>
  </cols>
  <sheetData>
    <row r="1" spans="1:54" s="5" customFormat="1" x14ac:dyDescent="0.25">
      <c r="A1" s="5" t="s">
        <v>69</v>
      </c>
      <c r="B1" s="6" t="s">
        <v>54</v>
      </c>
      <c r="C1" s="6" t="s">
        <v>194</v>
      </c>
      <c r="D1" s="6" t="s">
        <v>74</v>
      </c>
      <c r="E1" s="6" t="s">
        <v>651</v>
      </c>
      <c r="F1" s="6" t="s">
        <v>650</v>
      </c>
      <c r="G1" s="6" t="s">
        <v>604</v>
      </c>
      <c r="H1" s="5" t="s">
        <v>2</v>
      </c>
      <c r="I1" s="5" t="s">
        <v>3</v>
      </c>
      <c r="J1" s="5" t="s">
        <v>191</v>
      </c>
      <c r="K1" s="5" t="s">
        <v>199</v>
      </c>
      <c r="L1" s="5" t="s">
        <v>4</v>
      </c>
      <c r="M1" s="5" t="s">
        <v>631</v>
      </c>
      <c r="N1" s="6" t="s">
        <v>47</v>
      </c>
      <c r="O1" s="6" t="s">
        <v>48</v>
      </c>
      <c r="P1" s="6" t="s">
        <v>49</v>
      </c>
      <c r="Q1" s="6" t="s">
        <v>34</v>
      </c>
      <c r="R1" s="6" t="s">
        <v>59</v>
      </c>
      <c r="S1" s="6" t="s">
        <v>108</v>
      </c>
      <c r="T1" s="6" t="s">
        <v>50</v>
      </c>
      <c r="U1" s="6" t="s">
        <v>200</v>
      </c>
      <c r="V1" s="6" t="s">
        <v>723</v>
      </c>
      <c r="W1" s="6" t="s">
        <v>724</v>
      </c>
      <c r="X1" s="6" t="s">
        <v>725</v>
      </c>
      <c r="Y1" s="6" t="s">
        <v>726</v>
      </c>
      <c r="Z1" s="5" t="s">
        <v>600</v>
      </c>
      <c r="AA1" s="5" t="s">
        <v>603</v>
      </c>
      <c r="AB1" s="6" t="s">
        <v>53</v>
      </c>
      <c r="AC1" s="33" t="s">
        <v>44</v>
      </c>
      <c r="AD1" s="6" t="s">
        <v>673</v>
      </c>
      <c r="AE1" s="6" t="s">
        <v>674</v>
      </c>
      <c r="AF1" s="6" t="s">
        <v>193</v>
      </c>
      <c r="AG1" s="6" t="s">
        <v>351</v>
      </c>
      <c r="AH1" s="6" t="s">
        <v>707</v>
      </c>
      <c r="AI1" s="6" t="s">
        <v>708</v>
      </c>
      <c r="AJ1" s="6" t="s">
        <v>709</v>
      </c>
      <c r="AK1" s="6" t="s">
        <v>710</v>
      </c>
      <c r="AL1" s="6" t="s">
        <v>711</v>
      </c>
      <c r="AM1" s="6" t="s">
        <v>712</v>
      </c>
      <c r="AN1" s="6" t="s">
        <v>720</v>
      </c>
      <c r="AO1" s="6" t="s">
        <v>721</v>
      </c>
      <c r="AP1" s="6" t="s">
        <v>52</v>
      </c>
      <c r="AQ1" s="6" t="s">
        <v>46</v>
      </c>
      <c r="AR1" s="6" t="s">
        <v>196</v>
      </c>
      <c r="AS1" s="6" t="s">
        <v>55</v>
      </c>
      <c r="AT1" s="6" t="s">
        <v>37</v>
      </c>
      <c r="AU1" s="6" t="s">
        <v>35</v>
      </c>
      <c r="AV1" s="6" t="s">
        <v>43</v>
      </c>
      <c r="AW1" s="6" t="s">
        <v>36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</row>
    <row r="2" spans="1:54" s="1" customFormat="1" x14ac:dyDescent="0.25">
      <c r="A2" s="9" t="str">
        <f t="shared" ref="A2:A8" si="0">B2&amp;D2</f>
        <v>1A</v>
      </c>
      <c r="B2" s="3">
        <v>1</v>
      </c>
      <c r="C2" s="3">
        <v>1</v>
      </c>
      <c r="D2" s="3" t="s">
        <v>65</v>
      </c>
      <c r="E2" s="3">
        <v>1</v>
      </c>
      <c r="F2" s="3">
        <v>0</v>
      </c>
      <c r="G2" s="3">
        <v>0</v>
      </c>
      <c r="H2" s="1" t="s">
        <v>1</v>
      </c>
      <c r="I2" s="1" t="s">
        <v>0</v>
      </c>
      <c r="J2" s="1" t="s">
        <v>203</v>
      </c>
      <c r="K2" s="3">
        <v>1</v>
      </c>
      <c r="L2" s="1" t="s">
        <v>5</v>
      </c>
      <c r="M2" s="1" t="s">
        <v>468</v>
      </c>
      <c r="N2" s="3">
        <v>1</v>
      </c>
      <c r="O2" s="3">
        <v>1</v>
      </c>
      <c r="P2" s="19">
        <f t="shared" ref="P2:P65" si="1">N2/SUM(N2:O2)</f>
        <v>0.5</v>
      </c>
      <c r="Q2" s="3">
        <v>2019</v>
      </c>
      <c r="R2" s="3">
        <v>2016</v>
      </c>
      <c r="S2" s="3">
        <v>2016</v>
      </c>
      <c r="T2" s="3" t="s">
        <v>51</v>
      </c>
      <c r="U2" s="3">
        <v>4.3999999999999997E-2</v>
      </c>
      <c r="V2" s="3">
        <v>0.93700000000000006</v>
      </c>
      <c r="W2" s="3">
        <v>0.91400000000000003</v>
      </c>
      <c r="X2" s="3">
        <v>51965.157153198517</v>
      </c>
      <c r="Y2" s="3">
        <v>0.115</v>
      </c>
      <c r="Z2" s="14">
        <v>1</v>
      </c>
      <c r="AA2" s="14">
        <v>0</v>
      </c>
      <c r="AB2" s="3" t="s">
        <v>207</v>
      </c>
      <c r="AC2" s="7" t="s">
        <v>61</v>
      </c>
      <c r="AD2" s="3"/>
      <c r="AE2" s="3"/>
      <c r="AF2" s="10">
        <v>2</v>
      </c>
      <c r="AG2" s="3">
        <f t="shared" ref="AG2:AG65" si="2">IF(AF2=0,0,1)</f>
        <v>1</v>
      </c>
      <c r="AH2" s="3">
        <f t="shared" ref="AH2:AH65" si="3">IF(ISBLANK(AE2),2,IF(AE2&gt;0.6,0,IF(AE2&lt;0.4,1,2)))</f>
        <v>2</v>
      </c>
      <c r="AI2" s="4">
        <f t="shared" ref="AI2:AI65" si="4">IF(AH2=0,0,1)</f>
        <v>1</v>
      </c>
      <c r="AJ2" s="4">
        <f t="shared" ref="AJ2:AJ65" si="5">IF(ISBLANK(AE2),2,IF(AE2&gt;0.65,0,IF(AE2&lt;0.35,1,2)))</f>
        <v>2</v>
      </c>
      <c r="AK2" s="4">
        <f t="shared" ref="AK2:AK65" si="6">IF(AJ2=0,0,1)</f>
        <v>1</v>
      </c>
      <c r="AL2" s="4">
        <f t="shared" ref="AL2:AL65" si="7">IF(ISBLANK(AE2),2,IF(AE2&gt;0.7,0,IF(AE2&lt;0.3,1,2)))</f>
        <v>2</v>
      </c>
      <c r="AM2" s="4">
        <f t="shared" ref="AM2:AM65" si="8">IF(AL2=0,0,1)</f>
        <v>1</v>
      </c>
      <c r="AN2" s="4">
        <v>0</v>
      </c>
      <c r="AO2" s="4">
        <v>0</v>
      </c>
      <c r="AP2" s="3" t="s">
        <v>61</v>
      </c>
      <c r="AQ2" s="3" t="s">
        <v>64</v>
      </c>
      <c r="AR2" s="3">
        <v>1</v>
      </c>
      <c r="AS2" s="3" t="s">
        <v>62</v>
      </c>
      <c r="AT2" s="16">
        <f>(AT3*AU3+AT4*AU4)/AU2</f>
        <v>0.30609294320137692</v>
      </c>
      <c r="AU2" s="3">
        <f>AU3+AU4</f>
        <v>1162</v>
      </c>
      <c r="AV2" s="16">
        <f>(AV3*AW3+AV4*AW4)/AW2</f>
        <v>0.25050373134328358</v>
      </c>
      <c r="AW2" s="3">
        <f>AW3+AW4</f>
        <v>1072</v>
      </c>
      <c r="AX2" s="8">
        <f>AX3+AX4</f>
        <v>356</v>
      </c>
      <c r="AY2" s="8">
        <f>AY3+AY4</f>
        <v>806</v>
      </c>
      <c r="AZ2" s="8">
        <f>AZ3+AZ4</f>
        <v>268</v>
      </c>
      <c r="BA2" s="8">
        <f>BA3+BA4</f>
        <v>804</v>
      </c>
      <c r="BB2" s="3">
        <f t="shared" ref="BB2:BB65" si="9">SUM(AX2:BA2)</f>
        <v>2234</v>
      </c>
    </row>
    <row r="3" spans="1:54" x14ac:dyDescent="0.25">
      <c r="A3" s="9" t="str">
        <f t="shared" si="0"/>
        <v>1B</v>
      </c>
      <c r="B3" s="4">
        <v>1</v>
      </c>
      <c r="C3" s="4">
        <v>1</v>
      </c>
      <c r="D3" s="4" t="s">
        <v>66</v>
      </c>
      <c r="E3" s="4">
        <v>0</v>
      </c>
      <c r="F3" s="4">
        <v>1</v>
      </c>
      <c r="G3" s="4">
        <v>0</v>
      </c>
      <c r="H3" s="2" t="s">
        <v>1</v>
      </c>
      <c r="I3" s="2" t="s">
        <v>0</v>
      </c>
      <c r="J3" s="2" t="s">
        <v>203</v>
      </c>
      <c r="K3" s="4">
        <v>1</v>
      </c>
      <c r="L3" s="2" t="s">
        <v>5</v>
      </c>
      <c r="M3" s="1"/>
      <c r="N3" s="4">
        <v>1</v>
      </c>
      <c r="O3" s="4">
        <v>1</v>
      </c>
      <c r="P3" s="20">
        <f t="shared" si="1"/>
        <v>0.5</v>
      </c>
      <c r="Q3" s="4">
        <v>2019</v>
      </c>
      <c r="R3" s="4">
        <v>2016</v>
      </c>
      <c r="S3" s="4">
        <v>2016</v>
      </c>
      <c r="T3" s="4" t="s">
        <v>51</v>
      </c>
      <c r="U3" s="4">
        <v>4.3999999999999997E-2</v>
      </c>
      <c r="V3" s="4">
        <v>0.93700000000000006</v>
      </c>
      <c r="W3" s="4">
        <v>0.91400000000000003</v>
      </c>
      <c r="X3" s="4">
        <v>51965.157153198517</v>
      </c>
      <c r="Y3" s="4">
        <v>0.115</v>
      </c>
      <c r="Z3" s="12">
        <v>1</v>
      </c>
      <c r="AA3" s="12">
        <v>0</v>
      </c>
      <c r="AB3" s="4" t="s">
        <v>207</v>
      </c>
      <c r="AC3" s="17" t="s">
        <v>206</v>
      </c>
      <c r="AD3" s="20">
        <v>0.22900000000000001</v>
      </c>
      <c r="AE3" s="20">
        <v>0.77100000000000002</v>
      </c>
      <c r="AF3" s="10">
        <v>0</v>
      </c>
      <c r="AG3" s="4">
        <f t="shared" si="2"/>
        <v>0</v>
      </c>
      <c r="AH3" s="3">
        <f t="shared" si="3"/>
        <v>0</v>
      </c>
      <c r="AI3" s="4">
        <f t="shared" si="4"/>
        <v>0</v>
      </c>
      <c r="AJ3" s="4">
        <f t="shared" si="5"/>
        <v>0</v>
      </c>
      <c r="AK3" s="4">
        <f t="shared" si="6"/>
        <v>0</v>
      </c>
      <c r="AL3" s="4">
        <f t="shared" si="7"/>
        <v>0</v>
      </c>
      <c r="AM3" s="4">
        <f t="shared" si="8"/>
        <v>0</v>
      </c>
      <c r="AN3" s="4">
        <v>0</v>
      </c>
      <c r="AO3" s="4">
        <v>0</v>
      </c>
      <c r="AP3" s="4" t="s">
        <v>61</v>
      </c>
      <c r="AQ3" s="4" t="s">
        <v>64</v>
      </c>
      <c r="AR3" s="4">
        <v>1</v>
      </c>
      <c r="AS3" s="4" t="s">
        <v>204</v>
      </c>
      <c r="AT3" s="11">
        <v>0.32</v>
      </c>
      <c r="AU3" s="4">
        <f>379*2</f>
        <v>758</v>
      </c>
      <c r="AV3" s="11">
        <v>0.21</v>
      </c>
      <c r="AW3" s="4">
        <f>369*2</f>
        <v>738</v>
      </c>
      <c r="AX3" s="10">
        <f>93*2+35+20</f>
        <v>241</v>
      </c>
      <c r="AY3" s="10">
        <f>231*2+35+20</f>
        <v>517</v>
      </c>
      <c r="AZ3" s="10">
        <f>56*2+31+13</f>
        <v>156</v>
      </c>
      <c r="BA3" s="10">
        <f>269*2+31+13</f>
        <v>582</v>
      </c>
      <c r="BB3" s="4">
        <f t="shared" si="9"/>
        <v>1496</v>
      </c>
    </row>
    <row r="4" spans="1:54" x14ac:dyDescent="0.25">
      <c r="A4" s="9" t="str">
        <f t="shared" si="0"/>
        <v>1C</v>
      </c>
      <c r="B4" s="4">
        <v>1</v>
      </c>
      <c r="C4" s="4">
        <v>1</v>
      </c>
      <c r="D4" s="4" t="s">
        <v>67</v>
      </c>
      <c r="E4" s="4">
        <v>0</v>
      </c>
      <c r="F4" s="4">
        <v>1</v>
      </c>
      <c r="G4" s="4">
        <v>0</v>
      </c>
      <c r="H4" s="2" t="s">
        <v>1</v>
      </c>
      <c r="I4" s="2" t="s">
        <v>0</v>
      </c>
      <c r="J4" s="2" t="s">
        <v>203</v>
      </c>
      <c r="K4" s="4">
        <v>1</v>
      </c>
      <c r="L4" s="2" t="s">
        <v>5</v>
      </c>
      <c r="M4" s="1"/>
      <c r="N4" s="4">
        <v>1</v>
      </c>
      <c r="O4" s="4">
        <v>1</v>
      </c>
      <c r="P4" s="20">
        <f t="shared" si="1"/>
        <v>0.5</v>
      </c>
      <c r="Q4" s="4">
        <v>2019</v>
      </c>
      <c r="R4" s="4">
        <v>2016</v>
      </c>
      <c r="S4" s="4">
        <v>2016</v>
      </c>
      <c r="T4" s="4" t="s">
        <v>51</v>
      </c>
      <c r="U4" s="4">
        <v>4.3999999999999997E-2</v>
      </c>
      <c r="V4" s="4">
        <v>0.93700000000000006</v>
      </c>
      <c r="W4" s="4">
        <v>0.91400000000000003</v>
      </c>
      <c r="X4" s="4">
        <v>51965.157153198517</v>
      </c>
      <c r="Y4" s="4">
        <v>0.115</v>
      </c>
      <c r="Z4" s="12">
        <v>1</v>
      </c>
      <c r="AA4" s="12">
        <v>0</v>
      </c>
      <c r="AB4" s="4" t="s">
        <v>207</v>
      </c>
      <c r="AC4" s="17" t="s">
        <v>741</v>
      </c>
      <c r="AD4" s="20">
        <v>0.85924999999999996</v>
      </c>
      <c r="AE4" s="20">
        <v>0.14075000000000004</v>
      </c>
      <c r="AF4" s="10">
        <v>1</v>
      </c>
      <c r="AG4" s="4">
        <f t="shared" si="2"/>
        <v>1</v>
      </c>
      <c r="AH4" s="3">
        <f t="shared" si="3"/>
        <v>1</v>
      </c>
      <c r="AI4" s="4">
        <f t="shared" si="4"/>
        <v>1</v>
      </c>
      <c r="AJ4" s="4">
        <f t="shared" si="5"/>
        <v>1</v>
      </c>
      <c r="AK4" s="4">
        <f t="shared" si="6"/>
        <v>1</v>
      </c>
      <c r="AL4" s="4">
        <f t="shared" si="7"/>
        <v>1</v>
      </c>
      <c r="AM4" s="4">
        <f t="shared" si="8"/>
        <v>1</v>
      </c>
      <c r="AN4" s="4">
        <v>0</v>
      </c>
      <c r="AO4" s="4">
        <v>0</v>
      </c>
      <c r="AP4" s="4" t="s">
        <v>61</v>
      </c>
      <c r="AQ4" s="4" t="s">
        <v>64</v>
      </c>
      <c r="AR4" s="4">
        <v>1</v>
      </c>
      <c r="AS4" s="4" t="s">
        <v>205</v>
      </c>
      <c r="AT4" s="11">
        <v>0.28000000000000003</v>
      </c>
      <c r="AU4" s="4">
        <f>202*2</f>
        <v>404</v>
      </c>
      <c r="AV4" s="11">
        <v>0.34</v>
      </c>
      <c r="AW4" s="4">
        <f>167*2</f>
        <v>334</v>
      </c>
      <c r="AX4" s="10">
        <f>46*2+17+6</f>
        <v>115</v>
      </c>
      <c r="AY4" s="10">
        <f>133*2+17+6</f>
        <v>289</v>
      </c>
      <c r="AZ4" s="10">
        <f>45*2+11+11</f>
        <v>112</v>
      </c>
      <c r="BA4" s="10">
        <f>100*2+11+11</f>
        <v>222</v>
      </c>
      <c r="BB4" s="4">
        <f t="shared" si="9"/>
        <v>738</v>
      </c>
    </row>
    <row r="5" spans="1:54" s="1" customFormat="1" x14ac:dyDescent="0.25">
      <c r="A5" s="9" t="str">
        <f t="shared" si="0"/>
        <v>2A</v>
      </c>
      <c r="B5" s="3">
        <v>2</v>
      </c>
      <c r="C5" s="3">
        <v>1</v>
      </c>
      <c r="D5" s="3" t="s">
        <v>65</v>
      </c>
      <c r="E5" s="3">
        <v>1</v>
      </c>
      <c r="F5" s="3">
        <v>0</v>
      </c>
      <c r="G5" s="3">
        <v>0</v>
      </c>
      <c r="H5" s="1" t="s">
        <v>56</v>
      </c>
      <c r="I5" s="1" t="s">
        <v>28</v>
      </c>
      <c r="J5" s="1" t="s">
        <v>203</v>
      </c>
      <c r="K5" s="3">
        <v>1</v>
      </c>
      <c r="L5" s="1" t="s">
        <v>57</v>
      </c>
      <c r="M5" s="1" t="s">
        <v>469</v>
      </c>
      <c r="N5" s="3">
        <v>0</v>
      </c>
      <c r="O5" s="3">
        <v>2</v>
      </c>
      <c r="P5" s="19">
        <f t="shared" si="1"/>
        <v>0</v>
      </c>
      <c r="Q5" s="3">
        <v>2015</v>
      </c>
      <c r="R5" s="3" t="s">
        <v>58</v>
      </c>
      <c r="S5" s="3">
        <v>2009</v>
      </c>
      <c r="T5" s="3" t="s">
        <v>60</v>
      </c>
      <c r="U5" s="3">
        <v>0.14899999999999999</v>
      </c>
      <c r="V5" s="3">
        <v>0.89400000000000002</v>
      </c>
      <c r="W5" s="3">
        <v>0.85499999999999998</v>
      </c>
      <c r="X5" s="3">
        <v>28317.040844148712</v>
      </c>
      <c r="Y5" s="3"/>
      <c r="Z5" s="14">
        <v>0</v>
      </c>
      <c r="AA5" s="14">
        <v>0</v>
      </c>
      <c r="AB5" s="3" t="s">
        <v>207</v>
      </c>
      <c r="AC5" s="7" t="s">
        <v>61</v>
      </c>
      <c r="AD5" s="3"/>
      <c r="AE5" s="3"/>
      <c r="AF5" s="10">
        <v>2</v>
      </c>
      <c r="AG5" s="4">
        <f t="shared" si="2"/>
        <v>1</v>
      </c>
      <c r="AH5" s="3">
        <f t="shared" si="3"/>
        <v>2</v>
      </c>
      <c r="AI5" s="4">
        <f t="shared" si="4"/>
        <v>1</v>
      </c>
      <c r="AJ5" s="4">
        <f t="shared" si="5"/>
        <v>2</v>
      </c>
      <c r="AK5" s="4">
        <f t="shared" si="6"/>
        <v>1</v>
      </c>
      <c r="AL5" s="4">
        <f t="shared" si="7"/>
        <v>2</v>
      </c>
      <c r="AM5" s="4">
        <f t="shared" si="8"/>
        <v>1</v>
      </c>
      <c r="AN5" s="4">
        <v>0</v>
      </c>
      <c r="AO5" s="4">
        <v>0</v>
      </c>
      <c r="AP5" s="3" t="s">
        <v>61</v>
      </c>
      <c r="AQ5" s="3" t="s">
        <v>97</v>
      </c>
      <c r="AR5" s="3">
        <v>1</v>
      </c>
      <c r="AS5" s="3" t="s">
        <v>62</v>
      </c>
      <c r="AT5" s="16">
        <f>0.128*0.25+0.136*0.25+0.166*0.5</f>
        <v>0.14900000000000002</v>
      </c>
      <c r="AU5" s="3">
        <f>SUM(AU6:AU15)</f>
        <v>2656</v>
      </c>
      <c r="AV5" s="16">
        <f>0.197*0.25+0.092*0.25+0.137*0.5</f>
        <v>0.14075000000000001</v>
      </c>
      <c r="AW5" s="3">
        <f>SUM(AW6:AW15)</f>
        <v>2656</v>
      </c>
      <c r="AX5" s="8">
        <f t="shared" ref="AX5:AX16" si="10">AT5*AU5</f>
        <v>395.74400000000003</v>
      </c>
      <c r="AY5" s="8">
        <f>AU5-AX5</f>
        <v>2260.2559999999999</v>
      </c>
      <c r="AZ5" s="8">
        <f>AV5*AW5</f>
        <v>373.83200000000005</v>
      </c>
      <c r="BA5" s="8">
        <f>AW5-AZ5</f>
        <v>2282.1680000000001</v>
      </c>
      <c r="BB5" s="3">
        <f t="shared" si="9"/>
        <v>5312</v>
      </c>
    </row>
    <row r="6" spans="1:54" x14ac:dyDescent="0.25">
      <c r="A6" s="9" t="str">
        <f t="shared" si="0"/>
        <v>2B</v>
      </c>
      <c r="B6" s="4">
        <v>2</v>
      </c>
      <c r="C6" s="4">
        <v>1</v>
      </c>
      <c r="D6" s="4" t="s">
        <v>66</v>
      </c>
      <c r="E6" s="4">
        <v>0</v>
      </c>
      <c r="F6" s="4">
        <v>1</v>
      </c>
      <c r="G6" s="4">
        <v>0</v>
      </c>
      <c r="H6" s="2" t="s">
        <v>56</v>
      </c>
      <c r="I6" s="2" t="s">
        <v>28</v>
      </c>
      <c r="J6" s="2" t="s">
        <v>203</v>
      </c>
      <c r="K6" s="4">
        <v>1</v>
      </c>
      <c r="L6" s="2" t="s">
        <v>57</v>
      </c>
      <c r="M6" s="1"/>
      <c r="N6" s="4">
        <v>0</v>
      </c>
      <c r="O6" s="4">
        <v>2</v>
      </c>
      <c r="P6" s="20">
        <f t="shared" si="1"/>
        <v>0</v>
      </c>
      <c r="Q6" s="4">
        <v>2015</v>
      </c>
      <c r="R6" s="4" t="s">
        <v>58</v>
      </c>
      <c r="S6" s="4">
        <v>2009</v>
      </c>
      <c r="T6" s="4" t="s">
        <v>60</v>
      </c>
      <c r="U6" s="4">
        <v>0.14899999999999999</v>
      </c>
      <c r="V6" s="4">
        <v>0.89400000000000002</v>
      </c>
      <c r="W6" s="4">
        <v>0.85499999999999998</v>
      </c>
      <c r="X6" s="4">
        <v>28317.040844148712</v>
      </c>
      <c r="Z6" s="12">
        <v>0</v>
      </c>
      <c r="AA6" s="12">
        <v>0</v>
      </c>
      <c r="AB6" s="4" t="s">
        <v>207</v>
      </c>
      <c r="AC6" s="17" t="s">
        <v>160</v>
      </c>
      <c r="AD6" s="20">
        <v>0.24745762711864405</v>
      </c>
      <c r="AE6" s="20">
        <v>0.75254237288135595</v>
      </c>
      <c r="AF6" s="10">
        <v>0</v>
      </c>
      <c r="AG6" s="4">
        <f t="shared" si="2"/>
        <v>0</v>
      </c>
      <c r="AH6" s="3">
        <f t="shared" si="3"/>
        <v>0</v>
      </c>
      <c r="AI6" s="4">
        <f t="shared" si="4"/>
        <v>0</v>
      </c>
      <c r="AJ6" s="4">
        <f t="shared" si="5"/>
        <v>0</v>
      </c>
      <c r="AK6" s="4">
        <f t="shared" si="6"/>
        <v>0</v>
      </c>
      <c r="AL6" s="4">
        <f t="shared" si="7"/>
        <v>0</v>
      </c>
      <c r="AM6" s="4">
        <f t="shared" si="8"/>
        <v>0</v>
      </c>
      <c r="AN6" s="4">
        <v>0</v>
      </c>
      <c r="AO6" s="4">
        <v>0</v>
      </c>
      <c r="AP6" s="4" t="s">
        <v>61</v>
      </c>
      <c r="AQ6" s="4" t="s">
        <v>97</v>
      </c>
      <c r="AR6" s="4">
        <v>1</v>
      </c>
      <c r="AS6" s="4" t="s">
        <v>160</v>
      </c>
      <c r="AT6" s="18">
        <f>0.14*0.25+0.23*0.25+0.21*0.5</f>
        <v>0.19750000000000001</v>
      </c>
      <c r="AU6" s="4">
        <f>952/2</f>
        <v>476</v>
      </c>
      <c r="AV6" s="18">
        <f>0.31*0.25+0.13*0.25+0.21*0.5</f>
        <v>0.215</v>
      </c>
      <c r="AW6" s="4">
        <f>952/2</f>
        <v>476</v>
      </c>
      <c r="AX6" s="10">
        <f t="shared" si="10"/>
        <v>94.01</v>
      </c>
      <c r="AY6" s="10">
        <f t="shared" ref="AY5:AY18" si="11">AU6-AX6</f>
        <v>381.99</v>
      </c>
      <c r="AZ6" s="10">
        <f t="shared" ref="AZ5:AZ16" si="12">AV6*AW6</f>
        <v>102.34</v>
      </c>
      <c r="BA6" s="10">
        <f t="shared" ref="BA5:BA18" si="13">AW6-AZ6</f>
        <v>373.65999999999997</v>
      </c>
      <c r="BB6" s="4">
        <f t="shared" si="9"/>
        <v>952</v>
      </c>
    </row>
    <row r="7" spans="1:54" x14ac:dyDescent="0.25">
      <c r="A7" s="9" t="str">
        <f t="shared" si="0"/>
        <v>2C</v>
      </c>
      <c r="B7" s="4">
        <v>2</v>
      </c>
      <c r="C7" s="4">
        <v>1</v>
      </c>
      <c r="D7" s="4" t="s">
        <v>67</v>
      </c>
      <c r="E7" s="4">
        <v>0</v>
      </c>
      <c r="F7" s="4">
        <v>1</v>
      </c>
      <c r="G7" s="4">
        <v>0</v>
      </c>
      <c r="H7" s="2" t="s">
        <v>56</v>
      </c>
      <c r="I7" s="2" t="s">
        <v>28</v>
      </c>
      <c r="J7" s="2" t="s">
        <v>203</v>
      </c>
      <c r="K7" s="4">
        <v>1</v>
      </c>
      <c r="L7" s="2" t="s">
        <v>57</v>
      </c>
      <c r="M7" s="1"/>
      <c r="N7" s="4">
        <v>0</v>
      </c>
      <c r="O7" s="4">
        <v>2</v>
      </c>
      <c r="P7" s="20">
        <f t="shared" si="1"/>
        <v>0</v>
      </c>
      <c r="Q7" s="4">
        <v>2015</v>
      </c>
      <c r="R7" s="4" t="s">
        <v>58</v>
      </c>
      <c r="S7" s="4">
        <v>2009</v>
      </c>
      <c r="T7" s="4" t="s">
        <v>60</v>
      </c>
      <c r="U7" s="4">
        <v>0.14899999999999999</v>
      </c>
      <c r="V7" s="4">
        <v>0.89400000000000002</v>
      </c>
      <c r="W7" s="4">
        <v>0.85499999999999998</v>
      </c>
      <c r="X7" s="4">
        <v>28317.040844148712</v>
      </c>
      <c r="Z7" s="12">
        <v>0</v>
      </c>
      <c r="AA7" s="12">
        <v>0</v>
      </c>
      <c r="AB7" s="4" t="s">
        <v>207</v>
      </c>
      <c r="AC7" s="17" t="s">
        <v>208</v>
      </c>
      <c r="AD7" s="20">
        <v>0.43915343915343924</v>
      </c>
      <c r="AE7" s="20">
        <v>0.5608465608465607</v>
      </c>
      <c r="AF7" s="10">
        <v>2</v>
      </c>
      <c r="AG7" s="4">
        <f t="shared" si="2"/>
        <v>1</v>
      </c>
      <c r="AH7" s="3">
        <f t="shared" si="3"/>
        <v>2</v>
      </c>
      <c r="AI7" s="4">
        <f t="shared" si="4"/>
        <v>1</v>
      </c>
      <c r="AJ7" s="4">
        <f t="shared" si="5"/>
        <v>2</v>
      </c>
      <c r="AK7" s="4">
        <f t="shared" si="6"/>
        <v>1</v>
      </c>
      <c r="AL7" s="4">
        <f t="shared" si="7"/>
        <v>2</v>
      </c>
      <c r="AM7" s="4">
        <f t="shared" si="8"/>
        <v>1</v>
      </c>
      <c r="AN7" s="4">
        <v>0</v>
      </c>
      <c r="AO7" s="4">
        <v>0</v>
      </c>
      <c r="AP7" s="4" t="s">
        <v>61</v>
      </c>
      <c r="AQ7" s="4" t="s">
        <v>97</v>
      </c>
      <c r="AR7" s="4">
        <v>1</v>
      </c>
      <c r="AS7" s="4" t="s">
        <v>208</v>
      </c>
      <c r="AT7" s="18">
        <f>0.22*0.25+0.16*0.25+0.18*0.5</f>
        <v>0.185</v>
      </c>
      <c r="AU7" s="4">
        <f>848/2</f>
        <v>424</v>
      </c>
      <c r="AV7" s="21">
        <f>0.16*0.25+0.05*0.25+0.08*0.5</f>
        <v>9.2499999999999999E-2</v>
      </c>
      <c r="AW7" s="4">
        <f>848/2</f>
        <v>424</v>
      </c>
      <c r="AX7" s="10">
        <f t="shared" si="10"/>
        <v>78.44</v>
      </c>
      <c r="AY7" s="10">
        <f t="shared" si="11"/>
        <v>345.56</v>
      </c>
      <c r="AZ7" s="10">
        <f t="shared" si="12"/>
        <v>39.22</v>
      </c>
      <c r="BA7" s="10">
        <f t="shared" si="13"/>
        <v>384.78</v>
      </c>
      <c r="BB7" s="4">
        <f t="shared" si="9"/>
        <v>848</v>
      </c>
    </row>
    <row r="8" spans="1:54" x14ac:dyDescent="0.25">
      <c r="A8" s="9" t="str">
        <f t="shared" si="0"/>
        <v>2D</v>
      </c>
      <c r="B8" s="4">
        <v>2</v>
      </c>
      <c r="C8" s="4">
        <v>1</v>
      </c>
      <c r="D8" s="4" t="s">
        <v>68</v>
      </c>
      <c r="E8" s="4">
        <v>0</v>
      </c>
      <c r="F8" s="4">
        <v>1</v>
      </c>
      <c r="G8" s="4">
        <v>0</v>
      </c>
      <c r="H8" s="2" t="s">
        <v>56</v>
      </c>
      <c r="I8" s="2" t="s">
        <v>28</v>
      </c>
      <c r="J8" s="2" t="s">
        <v>203</v>
      </c>
      <c r="K8" s="4">
        <v>1</v>
      </c>
      <c r="L8" s="2" t="s">
        <v>57</v>
      </c>
      <c r="M8" s="1"/>
      <c r="N8" s="4">
        <v>0</v>
      </c>
      <c r="O8" s="4">
        <v>2</v>
      </c>
      <c r="P8" s="20">
        <f t="shared" si="1"/>
        <v>0</v>
      </c>
      <c r="Q8" s="4">
        <v>2015</v>
      </c>
      <c r="R8" s="4" t="s">
        <v>58</v>
      </c>
      <c r="S8" s="4">
        <v>2009</v>
      </c>
      <c r="T8" s="4" t="s">
        <v>60</v>
      </c>
      <c r="U8" s="4">
        <v>0.14899999999999999</v>
      </c>
      <c r="V8" s="4">
        <v>0.89400000000000002</v>
      </c>
      <c r="W8" s="4">
        <v>0.85499999999999998</v>
      </c>
      <c r="X8" s="4">
        <v>28317.040844148712</v>
      </c>
      <c r="Z8" s="12">
        <v>0</v>
      </c>
      <c r="AA8" s="12">
        <v>0</v>
      </c>
      <c r="AB8" s="4" t="s">
        <v>207</v>
      </c>
      <c r="AC8" s="17" t="s">
        <v>209</v>
      </c>
      <c r="AD8" s="20">
        <v>0.36633663366336633</v>
      </c>
      <c r="AE8" s="20">
        <v>0.63366336633663367</v>
      </c>
      <c r="AF8" s="10">
        <v>0</v>
      </c>
      <c r="AG8" s="4">
        <f t="shared" si="2"/>
        <v>0</v>
      </c>
      <c r="AH8" s="3">
        <f t="shared" si="3"/>
        <v>0</v>
      </c>
      <c r="AI8" s="4">
        <f t="shared" si="4"/>
        <v>0</v>
      </c>
      <c r="AJ8" s="4">
        <f t="shared" si="5"/>
        <v>2</v>
      </c>
      <c r="AK8" s="4">
        <f t="shared" si="6"/>
        <v>1</v>
      </c>
      <c r="AL8" s="4">
        <f t="shared" si="7"/>
        <v>2</v>
      </c>
      <c r="AM8" s="4">
        <f t="shared" si="8"/>
        <v>1</v>
      </c>
      <c r="AN8" s="4">
        <v>0</v>
      </c>
      <c r="AO8" s="4">
        <v>0</v>
      </c>
      <c r="AP8" s="4" t="s">
        <v>61</v>
      </c>
      <c r="AQ8" s="4" t="s">
        <v>97</v>
      </c>
      <c r="AR8" s="4">
        <v>1</v>
      </c>
      <c r="AS8" s="4" t="s">
        <v>209</v>
      </c>
      <c r="AT8" s="18">
        <f>0.13*0.25+0.16*0.25+0.18*0.5</f>
        <v>0.16250000000000001</v>
      </c>
      <c r="AU8" s="4">
        <f>778/2</f>
        <v>389</v>
      </c>
      <c r="AV8" s="18">
        <f>0.32*0.25+0.16*0.25+0.23*0.5</f>
        <v>0.23499999999999999</v>
      </c>
      <c r="AW8" s="4">
        <f>778/2</f>
        <v>389</v>
      </c>
      <c r="AX8" s="10">
        <f t="shared" si="10"/>
        <v>63.212500000000006</v>
      </c>
      <c r="AY8" s="10">
        <f t="shared" si="11"/>
        <v>325.78750000000002</v>
      </c>
      <c r="AZ8" s="10">
        <f t="shared" si="12"/>
        <v>91.414999999999992</v>
      </c>
      <c r="BA8" s="10">
        <f t="shared" si="13"/>
        <v>297.58500000000004</v>
      </c>
      <c r="BB8" s="4">
        <f t="shared" si="9"/>
        <v>778</v>
      </c>
    </row>
    <row r="9" spans="1:54" x14ac:dyDescent="0.25">
      <c r="A9" s="9" t="s">
        <v>713</v>
      </c>
      <c r="B9" s="4">
        <v>2</v>
      </c>
      <c r="C9" s="4">
        <v>1</v>
      </c>
      <c r="D9" s="4" t="s">
        <v>116</v>
      </c>
      <c r="E9" s="4">
        <v>0</v>
      </c>
      <c r="F9" s="4">
        <v>1</v>
      </c>
      <c r="G9" s="4">
        <v>0</v>
      </c>
      <c r="H9" s="2" t="s">
        <v>56</v>
      </c>
      <c r="I9" s="2" t="s">
        <v>28</v>
      </c>
      <c r="J9" s="2" t="s">
        <v>203</v>
      </c>
      <c r="K9" s="4">
        <v>1</v>
      </c>
      <c r="L9" s="2" t="s">
        <v>57</v>
      </c>
      <c r="M9" s="1"/>
      <c r="N9" s="4">
        <v>0</v>
      </c>
      <c r="O9" s="4">
        <v>2</v>
      </c>
      <c r="P9" s="20">
        <f t="shared" si="1"/>
        <v>0</v>
      </c>
      <c r="Q9" s="4">
        <v>2015</v>
      </c>
      <c r="R9" s="4" t="s">
        <v>58</v>
      </c>
      <c r="S9" s="4">
        <v>2009</v>
      </c>
      <c r="T9" s="4" t="s">
        <v>60</v>
      </c>
      <c r="U9" s="4">
        <v>0.14899999999999999</v>
      </c>
      <c r="V9" s="4">
        <v>0.89400000000000002</v>
      </c>
      <c r="W9" s="4">
        <v>0.85499999999999998</v>
      </c>
      <c r="X9" s="4">
        <v>28317.040844148712</v>
      </c>
      <c r="Z9" s="12">
        <v>0</v>
      </c>
      <c r="AA9" s="12">
        <v>0</v>
      </c>
      <c r="AB9" s="4" t="s">
        <v>207</v>
      </c>
      <c r="AC9" s="17" t="s">
        <v>210</v>
      </c>
      <c r="AD9" s="20">
        <v>0.64135021097046407</v>
      </c>
      <c r="AE9" s="20">
        <v>0.35864978902953593</v>
      </c>
      <c r="AF9" s="10">
        <v>1</v>
      </c>
      <c r="AG9" s="4">
        <f t="shared" si="2"/>
        <v>1</v>
      </c>
      <c r="AH9" s="3">
        <f t="shared" si="3"/>
        <v>1</v>
      </c>
      <c r="AI9" s="4">
        <f t="shared" si="4"/>
        <v>1</v>
      </c>
      <c r="AJ9" s="4">
        <f t="shared" si="5"/>
        <v>2</v>
      </c>
      <c r="AK9" s="4">
        <f t="shared" si="6"/>
        <v>1</v>
      </c>
      <c r="AL9" s="4">
        <f t="shared" si="7"/>
        <v>2</v>
      </c>
      <c r="AM9" s="4">
        <f t="shared" si="8"/>
        <v>1</v>
      </c>
      <c r="AN9" s="4">
        <v>0</v>
      </c>
      <c r="AO9" s="4">
        <v>0</v>
      </c>
      <c r="AP9" s="4" t="s">
        <v>61</v>
      </c>
      <c r="AQ9" s="4" t="s">
        <v>97</v>
      </c>
      <c r="AR9" s="4">
        <v>1</v>
      </c>
      <c r="AS9" s="4" t="s">
        <v>210</v>
      </c>
      <c r="AT9" s="18">
        <f>0.1*0.25+0.11*0.25+0.19*0.5</f>
        <v>0.14750000000000002</v>
      </c>
      <c r="AU9" s="4">
        <f>774/2</f>
        <v>387</v>
      </c>
      <c r="AV9" s="18">
        <f>0.13*0.25+0.07*0.25+0.1*0.5</f>
        <v>0.1</v>
      </c>
      <c r="AW9" s="4">
        <f>774/2</f>
        <v>387</v>
      </c>
      <c r="AX9" s="10">
        <f t="shared" si="10"/>
        <v>57.08250000000001</v>
      </c>
      <c r="AY9" s="10">
        <f t="shared" si="11"/>
        <v>329.91750000000002</v>
      </c>
      <c r="AZ9" s="10">
        <f t="shared" si="12"/>
        <v>38.700000000000003</v>
      </c>
      <c r="BA9" s="10">
        <f t="shared" si="13"/>
        <v>348.3</v>
      </c>
      <c r="BB9" s="4">
        <f t="shared" si="9"/>
        <v>774</v>
      </c>
    </row>
    <row r="10" spans="1:54" x14ac:dyDescent="0.25">
      <c r="A10" s="9" t="s">
        <v>714</v>
      </c>
      <c r="B10" s="4">
        <v>2</v>
      </c>
      <c r="C10" s="4">
        <v>1</v>
      </c>
      <c r="D10" s="4" t="s">
        <v>117</v>
      </c>
      <c r="E10" s="4">
        <v>0</v>
      </c>
      <c r="F10" s="4">
        <v>1</v>
      </c>
      <c r="G10" s="4">
        <v>0</v>
      </c>
      <c r="H10" s="2" t="s">
        <v>56</v>
      </c>
      <c r="I10" s="2" t="s">
        <v>28</v>
      </c>
      <c r="J10" s="2" t="s">
        <v>203</v>
      </c>
      <c r="K10" s="4">
        <v>1</v>
      </c>
      <c r="L10" s="2" t="s">
        <v>57</v>
      </c>
      <c r="M10" s="1"/>
      <c r="N10" s="4">
        <v>0</v>
      </c>
      <c r="O10" s="4">
        <v>2</v>
      </c>
      <c r="P10" s="20">
        <f t="shared" si="1"/>
        <v>0</v>
      </c>
      <c r="Q10" s="4">
        <v>2015</v>
      </c>
      <c r="R10" s="4" t="s">
        <v>58</v>
      </c>
      <c r="S10" s="4">
        <v>2009</v>
      </c>
      <c r="T10" s="4" t="s">
        <v>60</v>
      </c>
      <c r="U10" s="4">
        <v>0.14899999999999999</v>
      </c>
      <c r="V10" s="4">
        <v>0.89400000000000002</v>
      </c>
      <c r="W10" s="4">
        <v>0.85499999999999998</v>
      </c>
      <c r="X10" s="4">
        <v>28317.040844148712</v>
      </c>
      <c r="Z10" s="12">
        <v>0</v>
      </c>
      <c r="AA10" s="12">
        <v>0</v>
      </c>
      <c r="AB10" s="4" t="s">
        <v>207</v>
      </c>
      <c r="AC10" s="17" t="s">
        <v>211</v>
      </c>
      <c r="AD10" s="20">
        <v>0.3944281524926686</v>
      </c>
      <c r="AE10" s="20">
        <v>0.6055718475073314</v>
      </c>
      <c r="AF10" s="10">
        <v>1</v>
      </c>
      <c r="AG10" s="4">
        <f t="shared" si="2"/>
        <v>1</v>
      </c>
      <c r="AH10" s="3">
        <f t="shared" si="3"/>
        <v>0</v>
      </c>
      <c r="AI10" s="4">
        <f t="shared" si="4"/>
        <v>0</v>
      </c>
      <c r="AJ10" s="4">
        <f t="shared" si="5"/>
        <v>2</v>
      </c>
      <c r="AK10" s="4">
        <f t="shared" si="6"/>
        <v>1</v>
      </c>
      <c r="AL10" s="4">
        <f t="shared" si="7"/>
        <v>2</v>
      </c>
      <c r="AM10" s="4">
        <f t="shared" si="8"/>
        <v>1</v>
      </c>
      <c r="AN10" s="4">
        <v>0</v>
      </c>
      <c r="AO10" s="4">
        <v>0</v>
      </c>
      <c r="AP10" s="4" t="s">
        <v>61</v>
      </c>
      <c r="AQ10" s="4" t="s">
        <v>97</v>
      </c>
      <c r="AR10" s="4">
        <v>1</v>
      </c>
      <c r="AS10" s="4" t="s">
        <v>211</v>
      </c>
      <c r="AT10" s="18">
        <f>0.16*0.25+0.15*0.25+0.14*0.5</f>
        <v>0.14750000000000002</v>
      </c>
      <c r="AU10" s="4">
        <f>536/2</f>
        <v>268</v>
      </c>
      <c r="AV10" s="18">
        <f>0.13*0.25+0.13*0.25+0.12*0.5</f>
        <v>0.125</v>
      </c>
      <c r="AW10" s="4">
        <f>536/2</f>
        <v>268</v>
      </c>
      <c r="AX10" s="10">
        <f t="shared" si="10"/>
        <v>39.530000000000008</v>
      </c>
      <c r="AY10" s="10">
        <f t="shared" si="11"/>
        <v>228.47</v>
      </c>
      <c r="AZ10" s="10">
        <f t="shared" si="12"/>
        <v>33.5</v>
      </c>
      <c r="BA10" s="10">
        <f t="shared" si="13"/>
        <v>234.5</v>
      </c>
      <c r="BB10" s="4">
        <f t="shared" si="9"/>
        <v>536</v>
      </c>
    </row>
    <row r="11" spans="1:54" x14ac:dyDescent="0.25">
      <c r="A11" s="9" t="s">
        <v>715</v>
      </c>
      <c r="B11" s="4">
        <v>2</v>
      </c>
      <c r="C11" s="4">
        <v>1</v>
      </c>
      <c r="D11" s="4" t="s">
        <v>118</v>
      </c>
      <c r="E11" s="4">
        <v>0</v>
      </c>
      <c r="F11" s="4">
        <v>1</v>
      </c>
      <c r="G11" s="4">
        <v>0</v>
      </c>
      <c r="H11" s="2" t="s">
        <v>56</v>
      </c>
      <c r="I11" s="2" t="s">
        <v>28</v>
      </c>
      <c r="J11" s="2" t="s">
        <v>203</v>
      </c>
      <c r="K11" s="4">
        <v>1</v>
      </c>
      <c r="L11" s="2" t="s">
        <v>57</v>
      </c>
      <c r="M11" s="1"/>
      <c r="N11" s="4">
        <v>0</v>
      </c>
      <c r="O11" s="4">
        <v>2</v>
      </c>
      <c r="P11" s="20">
        <f t="shared" si="1"/>
        <v>0</v>
      </c>
      <c r="Q11" s="4">
        <v>2015</v>
      </c>
      <c r="R11" s="4" t="s">
        <v>58</v>
      </c>
      <c r="S11" s="4">
        <v>2009</v>
      </c>
      <c r="T11" s="4" t="s">
        <v>60</v>
      </c>
      <c r="U11" s="4">
        <v>0.14899999999999999</v>
      </c>
      <c r="V11" s="4">
        <v>0.89400000000000002</v>
      </c>
      <c r="W11" s="4">
        <v>0.85499999999999998</v>
      </c>
      <c r="X11" s="4">
        <v>28317.040844148712</v>
      </c>
      <c r="Z11" s="12">
        <v>0</v>
      </c>
      <c r="AA11" s="12">
        <v>0</v>
      </c>
      <c r="AB11" s="4" t="s">
        <v>207</v>
      </c>
      <c r="AC11" s="17" t="s">
        <v>212</v>
      </c>
      <c r="AD11" s="20">
        <v>0.43915343915343924</v>
      </c>
      <c r="AE11" s="20">
        <v>0.5608465608465607</v>
      </c>
      <c r="AF11" s="10">
        <v>2</v>
      </c>
      <c r="AG11" s="4">
        <f t="shared" si="2"/>
        <v>1</v>
      </c>
      <c r="AH11" s="3">
        <f t="shared" si="3"/>
        <v>2</v>
      </c>
      <c r="AI11" s="4">
        <f t="shared" si="4"/>
        <v>1</v>
      </c>
      <c r="AJ11" s="4">
        <f t="shared" si="5"/>
        <v>2</v>
      </c>
      <c r="AK11" s="4">
        <f t="shared" si="6"/>
        <v>1</v>
      </c>
      <c r="AL11" s="4">
        <f t="shared" si="7"/>
        <v>2</v>
      </c>
      <c r="AM11" s="4">
        <f t="shared" si="8"/>
        <v>1</v>
      </c>
      <c r="AN11" s="4">
        <v>0</v>
      </c>
      <c r="AO11" s="4">
        <v>0</v>
      </c>
      <c r="AP11" s="4" t="s">
        <v>61</v>
      </c>
      <c r="AQ11" s="4" t="s">
        <v>97</v>
      </c>
      <c r="AR11" s="4">
        <v>1</v>
      </c>
      <c r="AS11" s="4" t="s">
        <v>212</v>
      </c>
      <c r="AT11" s="18">
        <f>0.02*0.25+0.02*0.25+0.12*0.5</f>
        <v>6.9999999999999993E-2</v>
      </c>
      <c r="AU11" s="4">
        <f>448/2</f>
        <v>224</v>
      </c>
      <c r="AV11" s="18">
        <f>0.14*0.25+0.02*0.25+0.07*0.5</f>
        <v>7.5000000000000011E-2</v>
      </c>
      <c r="AW11" s="4">
        <f>448/2</f>
        <v>224</v>
      </c>
      <c r="AX11" s="10">
        <f t="shared" si="10"/>
        <v>15.679999999999998</v>
      </c>
      <c r="AY11" s="10">
        <f t="shared" si="11"/>
        <v>208.32</v>
      </c>
      <c r="AZ11" s="10">
        <f t="shared" si="12"/>
        <v>16.800000000000004</v>
      </c>
      <c r="BA11" s="10">
        <f t="shared" si="13"/>
        <v>207.2</v>
      </c>
      <c r="BB11" s="4">
        <f t="shared" si="9"/>
        <v>448</v>
      </c>
    </row>
    <row r="12" spans="1:54" x14ac:dyDescent="0.25">
      <c r="A12" s="9" t="s">
        <v>716</v>
      </c>
      <c r="B12" s="4">
        <v>2</v>
      </c>
      <c r="C12" s="4">
        <v>1</v>
      </c>
      <c r="D12" s="4" t="s">
        <v>119</v>
      </c>
      <c r="E12" s="4">
        <v>0</v>
      </c>
      <c r="F12" s="4">
        <v>1</v>
      </c>
      <c r="G12" s="4">
        <v>0</v>
      </c>
      <c r="H12" s="2" t="s">
        <v>56</v>
      </c>
      <c r="I12" s="2" t="s">
        <v>28</v>
      </c>
      <c r="J12" s="2" t="s">
        <v>203</v>
      </c>
      <c r="K12" s="4">
        <v>1</v>
      </c>
      <c r="L12" s="2" t="s">
        <v>57</v>
      </c>
      <c r="M12" s="1"/>
      <c r="N12" s="4">
        <v>0</v>
      </c>
      <c r="O12" s="4">
        <v>2</v>
      </c>
      <c r="P12" s="20">
        <f t="shared" si="1"/>
        <v>0</v>
      </c>
      <c r="Q12" s="4">
        <v>2015</v>
      </c>
      <c r="R12" s="4" t="s">
        <v>58</v>
      </c>
      <c r="S12" s="4">
        <v>2009</v>
      </c>
      <c r="T12" s="4" t="s">
        <v>60</v>
      </c>
      <c r="U12" s="4">
        <v>0.14899999999999999</v>
      </c>
      <c r="V12" s="4">
        <v>0.89400000000000002</v>
      </c>
      <c r="W12" s="4">
        <v>0.85499999999999998</v>
      </c>
      <c r="X12" s="4">
        <v>28317.040844148712</v>
      </c>
      <c r="Z12" s="12">
        <v>0</v>
      </c>
      <c r="AA12" s="12">
        <v>0</v>
      </c>
      <c r="AB12" s="4" t="s">
        <v>207</v>
      </c>
      <c r="AC12" s="17" t="s">
        <v>213</v>
      </c>
      <c r="AD12" s="20">
        <v>0.35216952573158428</v>
      </c>
      <c r="AE12" s="20">
        <v>0.64783047426841578</v>
      </c>
      <c r="AF12" s="10">
        <v>1</v>
      </c>
      <c r="AG12" s="4">
        <f t="shared" si="2"/>
        <v>1</v>
      </c>
      <c r="AH12" s="3">
        <f t="shared" si="3"/>
        <v>0</v>
      </c>
      <c r="AI12" s="4">
        <f t="shared" si="4"/>
        <v>0</v>
      </c>
      <c r="AJ12" s="4">
        <f t="shared" si="5"/>
        <v>2</v>
      </c>
      <c r="AK12" s="4">
        <f t="shared" si="6"/>
        <v>1</v>
      </c>
      <c r="AL12" s="4">
        <f t="shared" si="7"/>
        <v>2</v>
      </c>
      <c r="AM12" s="4">
        <f t="shared" si="8"/>
        <v>1</v>
      </c>
      <c r="AN12" s="4">
        <v>0</v>
      </c>
      <c r="AO12" s="4">
        <v>0</v>
      </c>
      <c r="AP12" s="4" t="s">
        <v>61</v>
      </c>
      <c r="AQ12" s="4" t="s">
        <v>97</v>
      </c>
      <c r="AR12" s="4">
        <v>1</v>
      </c>
      <c r="AS12" s="4" t="s">
        <v>213</v>
      </c>
      <c r="AT12" s="18">
        <f>0.09*0.25+0.06*0.25+0.07*0.5</f>
        <v>7.2500000000000009E-2</v>
      </c>
      <c r="AU12" s="4">
        <f>432/2</f>
        <v>216</v>
      </c>
      <c r="AV12" s="18">
        <f>0.04*0.25+0.06*0.25+0.08*0.5</f>
        <v>6.5000000000000002E-2</v>
      </c>
      <c r="AW12" s="4">
        <f>432/2</f>
        <v>216</v>
      </c>
      <c r="AX12" s="10">
        <f t="shared" si="10"/>
        <v>15.660000000000002</v>
      </c>
      <c r="AY12" s="10">
        <f t="shared" si="11"/>
        <v>200.34</v>
      </c>
      <c r="AZ12" s="10">
        <f t="shared" si="12"/>
        <v>14.040000000000001</v>
      </c>
      <c r="BA12" s="10">
        <f t="shared" si="13"/>
        <v>201.96</v>
      </c>
      <c r="BB12" s="4">
        <f t="shared" si="9"/>
        <v>432</v>
      </c>
    </row>
    <row r="13" spans="1:54" x14ac:dyDescent="0.25">
      <c r="A13" s="9" t="s">
        <v>717</v>
      </c>
      <c r="B13" s="4">
        <v>2</v>
      </c>
      <c r="C13" s="4">
        <v>1</v>
      </c>
      <c r="D13" s="4" t="s">
        <v>169</v>
      </c>
      <c r="E13" s="4">
        <v>0</v>
      </c>
      <c r="F13" s="4">
        <v>1</v>
      </c>
      <c r="G13" s="4">
        <v>0</v>
      </c>
      <c r="H13" s="2" t="s">
        <v>56</v>
      </c>
      <c r="I13" s="2" t="s">
        <v>28</v>
      </c>
      <c r="J13" s="2" t="s">
        <v>203</v>
      </c>
      <c r="K13" s="4">
        <v>1</v>
      </c>
      <c r="L13" s="2" t="s">
        <v>57</v>
      </c>
      <c r="M13" s="1"/>
      <c r="N13" s="4">
        <v>0</v>
      </c>
      <c r="O13" s="4">
        <v>2</v>
      </c>
      <c r="P13" s="20">
        <f t="shared" si="1"/>
        <v>0</v>
      </c>
      <c r="Q13" s="4">
        <v>2015</v>
      </c>
      <c r="R13" s="4" t="s">
        <v>58</v>
      </c>
      <c r="S13" s="4">
        <v>2009</v>
      </c>
      <c r="T13" s="4" t="s">
        <v>60</v>
      </c>
      <c r="U13" s="4">
        <v>0.14899999999999999</v>
      </c>
      <c r="V13" s="4">
        <v>0.89400000000000002</v>
      </c>
      <c r="W13" s="4">
        <v>0.85499999999999998</v>
      </c>
      <c r="X13" s="4">
        <v>28317.040844148712</v>
      </c>
      <c r="Z13" s="12">
        <v>0</v>
      </c>
      <c r="AA13" s="12">
        <v>0</v>
      </c>
      <c r="AB13" s="4" t="s">
        <v>207</v>
      </c>
      <c r="AC13" s="17" t="s">
        <v>214</v>
      </c>
      <c r="AD13" s="20">
        <v>0.65968586387434547</v>
      </c>
      <c r="AE13" s="20">
        <v>0.34031413612565453</v>
      </c>
      <c r="AF13" s="10">
        <v>1</v>
      </c>
      <c r="AG13" s="4">
        <f t="shared" si="2"/>
        <v>1</v>
      </c>
      <c r="AH13" s="3">
        <f t="shared" si="3"/>
        <v>1</v>
      </c>
      <c r="AI13" s="4">
        <f t="shared" si="4"/>
        <v>1</v>
      </c>
      <c r="AJ13" s="4">
        <f t="shared" si="5"/>
        <v>1</v>
      </c>
      <c r="AK13" s="4">
        <f t="shared" si="6"/>
        <v>1</v>
      </c>
      <c r="AL13" s="4">
        <f t="shared" si="7"/>
        <v>2</v>
      </c>
      <c r="AM13" s="4">
        <f t="shared" si="8"/>
        <v>1</v>
      </c>
      <c r="AN13" s="4">
        <v>0</v>
      </c>
      <c r="AO13" s="4">
        <v>0</v>
      </c>
      <c r="AP13" s="4" t="s">
        <v>61</v>
      </c>
      <c r="AQ13" s="4" t="s">
        <v>97</v>
      </c>
      <c r="AR13" s="4">
        <v>1</v>
      </c>
      <c r="AS13" s="4" t="s">
        <v>214</v>
      </c>
      <c r="AT13" s="18">
        <f>0.11*0.25+0.07*0.25+0.14*0.5</f>
        <v>0.115</v>
      </c>
      <c r="AU13" s="4">
        <f>224/2</f>
        <v>112</v>
      </c>
      <c r="AV13" s="18">
        <f>0.36*0.25+0.11*0.25+0.14*0.5</f>
        <v>0.1875</v>
      </c>
      <c r="AW13" s="4">
        <f>224/2</f>
        <v>112</v>
      </c>
      <c r="AX13" s="10">
        <f t="shared" si="10"/>
        <v>12.88</v>
      </c>
      <c r="AY13" s="10">
        <f t="shared" si="11"/>
        <v>99.12</v>
      </c>
      <c r="AZ13" s="10">
        <f t="shared" si="12"/>
        <v>21</v>
      </c>
      <c r="BA13" s="10">
        <f t="shared" si="13"/>
        <v>91</v>
      </c>
      <c r="BB13" s="4">
        <f t="shared" si="9"/>
        <v>224</v>
      </c>
    </row>
    <row r="14" spans="1:54" x14ac:dyDescent="0.25">
      <c r="A14" s="9" t="s">
        <v>718</v>
      </c>
      <c r="B14" s="4">
        <v>2</v>
      </c>
      <c r="C14" s="4">
        <v>1</v>
      </c>
      <c r="D14" s="4" t="s">
        <v>188</v>
      </c>
      <c r="E14" s="4">
        <v>0</v>
      </c>
      <c r="F14" s="4">
        <v>1</v>
      </c>
      <c r="G14" s="4">
        <v>0</v>
      </c>
      <c r="H14" s="2" t="s">
        <v>56</v>
      </c>
      <c r="I14" s="2" t="s">
        <v>28</v>
      </c>
      <c r="J14" s="2" t="s">
        <v>203</v>
      </c>
      <c r="K14" s="4">
        <v>1</v>
      </c>
      <c r="L14" s="2" t="s">
        <v>57</v>
      </c>
      <c r="M14" s="1"/>
      <c r="N14" s="4">
        <v>0</v>
      </c>
      <c r="O14" s="4">
        <v>2</v>
      </c>
      <c r="P14" s="20">
        <f t="shared" si="1"/>
        <v>0</v>
      </c>
      <c r="Q14" s="4">
        <v>2015</v>
      </c>
      <c r="R14" s="4" t="s">
        <v>58</v>
      </c>
      <c r="S14" s="4">
        <v>2009</v>
      </c>
      <c r="T14" s="4" t="s">
        <v>60</v>
      </c>
      <c r="U14" s="4">
        <v>0.14899999999999999</v>
      </c>
      <c r="V14" s="4">
        <v>0.89400000000000002</v>
      </c>
      <c r="W14" s="4">
        <v>0.85499999999999998</v>
      </c>
      <c r="X14" s="4">
        <v>28317.040844148712</v>
      </c>
      <c r="Z14" s="12">
        <v>0</v>
      </c>
      <c r="AA14" s="12">
        <v>0</v>
      </c>
      <c r="AB14" s="4" t="s">
        <v>207</v>
      </c>
      <c r="AC14" s="17" t="s">
        <v>215</v>
      </c>
      <c r="AD14" s="20">
        <v>0.79603399433427768</v>
      </c>
      <c r="AE14" s="20">
        <v>0.20396600566572232</v>
      </c>
      <c r="AF14" s="10">
        <v>1</v>
      </c>
      <c r="AG14" s="4">
        <f t="shared" si="2"/>
        <v>1</v>
      </c>
      <c r="AH14" s="3">
        <f t="shared" si="3"/>
        <v>1</v>
      </c>
      <c r="AI14" s="4">
        <f t="shared" si="4"/>
        <v>1</v>
      </c>
      <c r="AJ14" s="4">
        <f t="shared" si="5"/>
        <v>1</v>
      </c>
      <c r="AK14" s="4">
        <f t="shared" si="6"/>
        <v>1</v>
      </c>
      <c r="AL14" s="4">
        <f t="shared" si="7"/>
        <v>1</v>
      </c>
      <c r="AM14" s="4">
        <f t="shared" si="8"/>
        <v>1</v>
      </c>
      <c r="AN14" s="4">
        <v>0</v>
      </c>
      <c r="AO14" s="4">
        <v>0</v>
      </c>
      <c r="AP14" s="4" t="s">
        <v>61</v>
      </c>
      <c r="AQ14" s="4" t="s">
        <v>97</v>
      </c>
      <c r="AR14" s="4">
        <v>1</v>
      </c>
      <c r="AS14" s="4" t="s">
        <v>215</v>
      </c>
      <c r="AT14" s="18">
        <f>0.09*0.25+0.14*0.25+0.27*0.5</f>
        <v>0.1925</v>
      </c>
      <c r="AU14" s="4">
        <f>176/2</f>
        <v>88</v>
      </c>
      <c r="AV14" s="18">
        <f>0.27*0.25+0.09*0.25+0.16*0.5</f>
        <v>0.16999999999999998</v>
      </c>
      <c r="AW14" s="4">
        <f>176/2</f>
        <v>88</v>
      </c>
      <c r="AX14" s="10">
        <f t="shared" si="10"/>
        <v>16.940000000000001</v>
      </c>
      <c r="AY14" s="10">
        <f t="shared" si="11"/>
        <v>71.06</v>
      </c>
      <c r="AZ14" s="10">
        <f t="shared" si="12"/>
        <v>14.959999999999999</v>
      </c>
      <c r="BA14" s="10">
        <f t="shared" si="13"/>
        <v>73.040000000000006</v>
      </c>
      <c r="BB14" s="4">
        <f t="shared" si="9"/>
        <v>176</v>
      </c>
    </row>
    <row r="15" spans="1:54" x14ac:dyDescent="0.25">
      <c r="A15" s="9" t="s">
        <v>719</v>
      </c>
      <c r="B15" s="4">
        <v>2</v>
      </c>
      <c r="C15" s="4">
        <v>1</v>
      </c>
      <c r="D15" s="4" t="s">
        <v>102</v>
      </c>
      <c r="E15" s="4">
        <v>0</v>
      </c>
      <c r="F15" s="4">
        <v>1</v>
      </c>
      <c r="G15" s="4">
        <v>0</v>
      </c>
      <c r="H15" s="2" t="s">
        <v>56</v>
      </c>
      <c r="I15" s="2" t="s">
        <v>28</v>
      </c>
      <c r="J15" s="2" t="s">
        <v>203</v>
      </c>
      <c r="K15" s="4">
        <v>1</v>
      </c>
      <c r="L15" s="2" t="s">
        <v>57</v>
      </c>
      <c r="M15" s="1"/>
      <c r="N15" s="4">
        <v>0</v>
      </c>
      <c r="O15" s="4">
        <v>2</v>
      </c>
      <c r="P15" s="20">
        <f t="shared" si="1"/>
        <v>0</v>
      </c>
      <c r="Q15" s="4">
        <v>2015</v>
      </c>
      <c r="R15" s="4" t="s">
        <v>58</v>
      </c>
      <c r="S15" s="4">
        <v>2009</v>
      </c>
      <c r="T15" s="4" t="s">
        <v>60</v>
      </c>
      <c r="U15" s="4">
        <v>0.14899999999999999</v>
      </c>
      <c r="V15" s="4">
        <v>0.89400000000000002</v>
      </c>
      <c r="W15" s="4">
        <v>0.85499999999999998</v>
      </c>
      <c r="X15" s="4">
        <v>28317.040844148712</v>
      </c>
      <c r="Z15" s="12">
        <v>0</v>
      </c>
      <c r="AA15" s="12">
        <v>0</v>
      </c>
      <c r="AB15" s="4" t="s">
        <v>207</v>
      </c>
      <c r="AC15" s="17" t="s">
        <v>218</v>
      </c>
      <c r="AD15" s="20">
        <v>0.5714285714285714</v>
      </c>
      <c r="AE15" s="20">
        <v>0.4285714285714286</v>
      </c>
      <c r="AF15" s="10">
        <v>2</v>
      </c>
      <c r="AG15" s="4">
        <f t="shared" si="2"/>
        <v>1</v>
      </c>
      <c r="AH15" s="3">
        <f t="shared" si="3"/>
        <v>2</v>
      </c>
      <c r="AI15" s="4">
        <f t="shared" si="4"/>
        <v>1</v>
      </c>
      <c r="AJ15" s="4">
        <f t="shared" si="5"/>
        <v>2</v>
      </c>
      <c r="AK15" s="4">
        <f t="shared" si="6"/>
        <v>1</v>
      </c>
      <c r="AL15" s="4">
        <f t="shared" si="7"/>
        <v>2</v>
      </c>
      <c r="AM15" s="4">
        <f t="shared" si="8"/>
        <v>1</v>
      </c>
      <c r="AN15" s="4">
        <v>0</v>
      </c>
      <c r="AO15" s="4">
        <v>0</v>
      </c>
      <c r="AP15" s="4" t="s">
        <v>61</v>
      </c>
      <c r="AQ15" s="4" t="s">
        <v>97</v>
      </c>
      <c r="AR15" s="4">
        <v>1</v>
      </c>
      <c r="AS15" s="4" t="s">
        <v>216</v>
      </c>
      <c r="AT15" s="18">
        <f>0.06*0.25+0.06*0.25+0.08*0.5</f>
        <v>7.0000000000000007E-2</v>
      </c>
      <c r="AU15" s="4">
        <f>144/2</f>
        <v>72</v>
      </c>
      <c r="AV15" s="18">
        <f>0*0.25+0.06*0.25+0.06*0.5</f>
        <v>4.4999999999999998E-2</v>
      </c>
      <c r="AW15" s="4">
        <f>144/2</f>
        <v>72</v>
      </c>
      <c r="AX15" s="10">
        <f t="shared" si="10"/>
        <v>5.0400000000000009</v>
      </c>
      <c r="AY15" s="10">
        <f t="shared" si="11"/>
        <v>66.959999999999994</v>
      </c>
      <c r="AZ15" s="10">
        <f t="shared" si="12"/>
        <v>3.2399999999999998</v>
      </c>
      <c r="BA15" s="10">
        <f t="shared" si="13"/>
        <v>68.760000000000005</v>
      </c>
      <c r="BB15" s="4">
        <f t="shared" si="9"/>
        <v>144</v>
      </c>
    </row>
    <row r="16" spans="1:54" s="1" customFormat="1" x14ac:dyDescent="0.25">
      <c r="A16" s="9" t="str">
        <f t="shared" ref="A16:A79" si="14">B16&amp;D16</f>
        <v>3A</v>
      </c>
      <c r="B16" s="3">
        <v>3</v>
      </c>
      <c r="C16" s="3">
        <v>1</v>
      </c>
      <c r="D16" s="3" t="s">
        <v>65</v>
      </c>
      <c r="E16" s="3">
        <v>1</v>
      </c>
      <c r="F16" s="3">
        <v>1</v>
      </c>
      <c r="G16" s="3">
        <v>0</v>
      </c>
      <c r="H16" s="1" t="s">
        <v>8</v>
      </c>
      <c r="I16" s="1" t="s">
        <v>6</v>
      </c>
      <c r="J16" s="1" t="s">
        <v>203</v>
      </c>
      <c r="K16" s="3">
        <v>1</v>
      </c>
      <c r="L16" s="1" t="s">
        <v>7</v>
      </c>
      <c r="M16" s="1" t="s">
        <v>470</v>
      </c>
      <c r="N16" s="3">
        <v>0</v>
      </c>
      <c r="O16" s="3">
        <v>2</v>
      </c>
      <c r="P16" s="19">
        <f t="shared" si="1"/>
        <v>0</v>
      </c>
      <c r="Q16" s="3">
        <v>2019</v>
      </c>
      <c r="R16" s="3" t="s">
        <v>96</v>
      </c>
      <c r="S16" s="3">
        <v>2015</v>
      </c>
      <c r="T16" s="3" t="s">
        <v>51</v>
      </c>
      <c r="U16" s="3">
        <v>4.4999999999999998E-2</v>
      </c>
      <c r="V16" s="3">
        <v>0.93700000000000006</v>
      </c>
      <c r="W16" s="3">
        <v>0.91200000000000003</v>
      </c>
      <c r="X16" s="3">
        <v>51545.483609532152</v>
      </c>
      <c r="Y16" s="3">
        <v>0.115</v>
      </c>
      <c r="Z16" s="3">
        <v>0</v>
      </c>
      <c r="AA16" s="3">
        <v>0</v>
      </c>
      <c r="AB16" s="3" t="s">
        <v>207</v>
      </c>
      <c r="AC16" s="7" t="s">
        <v>217</v>
      </c>
      <c r="AD16" s="19">
        <v>0.47205044510385757</v>
      </c>
      <c r="AE16" s="19">
        <v>0.52794955489614237</v>
      </c>
      <c r="AF16" s="10">
        <v>2</v>
      </c>
      <c r="AG16" s="4">
        <f t="shared" si="2"/>
        <v>1</v>
      </c>
      <c r="AH16" s="3">
        <f t="shared" si="3"/>
        <v>2</v>
      </c>
      <c r="AI16" s="4">
        <f t="shared" si="4"/>
        <v>1</v>
      </c>
      <c r="AJ16" s="4">
        <f t="shared" si="5"/>
        <v>2</v>
      </c>
      <c r="AK16" s="4">
        <f t="shared" si="6"/>
        <v>1</v>
      </c>
      <c r="AL16" s="4">
        <f t="shared" si="7"/>
        <v>2</v>
      </c>
      <c r="AM16" s="4">
        <f t="shared" si="8"/>
        <v>1</v>
      </c>
      <c r="AN16" s="4">
        <v>0</v>
      </c>
      <c r="AO16" s="4">
        <v>0</v>
      </c>
      <c r="AP16" s="3" t="s">
        <v>61</v>
      </c>
      <c r="AQ16" s="3" t="s">
        <v>97</v>
      </c>
      <c r="AR16" s="3">
        <v>1</v>
      </c>
      <c r="AS16" s="3" t="s">
        <v>62</v>
      </c>
      <c r="AT16" s="16">
        <v>9.4E-2</v>
      </c>
      <c r="AU16" s="3">
        <v>3033</v>
      </c>
      <c r="AV16" s="16">
        <v>0.08</v>
      </c>
      <c r="AW16" s="3">
        <v>3033</v>
      </c>
      <c r="AX16" s="8">
        <f t="shared" si="10"/>
        <v>285.10199999999998</v>
      </c>
      <c r="AY16" s="8">
        <f t="shared" si="11"/>
        <v>2747.8980000000001</v>
      </c>
      <c r="AZ16" s="8">
        <f t="shared" si="12"/>
        <v>242.64000000000001</v>
      </c>
      <c r="BA16" s="8">
        <f t="shared" si="13"/>
        <v>2790.36</v>
      </c>
      <c r="BB16" s="8">
        <f>SUM(AX16:BA16)</f>
        <v>6066</v>
      </c>
    </row>
    <row r="17" spans="1:54" x14ac:dyDescent="0.25">
      <c r="A17" s="9" t="str">
        <f t="shared" si="14"/>
        <v>4A</v>
      </c>
      <c r="B17" s="3">
        <v>4</v>
      </c>
      <c r="C17" s="3">
        <v>1</v>
      </c>
      <c r="D17" s="3" t="s">
        <v>65</v>
      </c>
      <c r="E17" s="3">
        <v>1</v>
      </c>
      <c r="F17" s="3">
        <v>1</v>
      </c>
      <c r="G17" s="3">
        <v>0</v>
      </c>
      <c r="H17" s="13" t="s">
        <v>221</v>
      </c>
      <c r="I17" s="13" t="s">
        <v>20</v>
      </c>
      <c r="J17" s="13" t="s">
        <v>222</v>
      </c>
      <c r="K17" s="14">
        <v>1</v>
      </c>
      <c r="L17" s="13" t="s">
        <v>99</v>
      </c>
      <c r="M17" s="1" t="s">
        <v>471</v>
      </c>
      <c r="N17" s="14">
        <v>1</v>
      </c>
      <c r="O17" s="14">
        <v>0</v>
      </c>
      <c r="P17" s="19">
        <f t="shared" si="1"/>
        <v>1</v>
      </c>
      <c r="Q17" s="14">
        <v>2018</v>
      </c>
      <c r="R17" s="14">
        <v>2016</v>
      </c>
      <c r="S17" s="14">
        <v>2016</v>
      </c>
      <c r="T17" s="14" t="s">
        <v>101</v>
      </c>
      <c r="U17" s="14">
        <v>0.23599999999999999</v>
      </c>
      <c r="V17" s="14">
        <v>0.92</v>
      </c>
      <c r="W17" s="14">
        <v>0.89600000000000002</v>
      </c>
      <c r="X17" s="14">
        <v>57866.744934109141</v>
      </c>
      <c r="Y17" s="14">
        <v>0</v>
      </c>
      <c r="Z17" s="14">
        <v>1</v>
      </c>
      <c r="AA17" s="14">
        <v>0</v>
      </c>
      <c r="AB17" s="14" t="s">
        <v>207</v>
      </c>
      <c r="AC17" s="7" t="s">
        <v>61</v>
      </c>
      <c r="AD17" s="19">
        <v>0.53200000000000003</v>
      </c>
      <c r="AE17" s="19">
        <v>0.46800000000000003</v>
      </c>
      <c r="AF17" s="10">
        <v>2</v>
      </c>
      <c r="AG17" s="4">
        <f t="shared" si="2"/>
        <v>1</v>
      </c>
      <c r="AH17" s="3">
        <f t="shared" si="3"/>
        <v>2</v>
      </c>
      <c r="AI17" s="4">
        <f t="shared" si="4"/>
        <v>1</v>
      </c>
      <c r="AJ17" s="4">
        <f t="shared" si="5"/>
        <v>2</v>
      </c>
      <c r="AK17" s="4">
        <f t="shared" si="6"/>
        <v>1</v>
      </c>
      <c r="AL17" s="4">
        <f t="shared" si="7"/>
        <v>2</v>
      </c>
      <c r="AM17" s="4">
        <f t="shared" si="8"/>
        <v>1</v>
      </c>
      <c r="AN17" s="4">
        <v>0</v>
      </c>
      <c r="AO17" s="4">
        <v>0</v>
      </c>
      <c r="AP17" s="14" t="s">
        <v>100</v>
      </c>
      <c r="AQ17" s="14" t="s">
        <v>97</v>
      </c>
      <c r="AR17" s="14">
        <v>1</v>
      </c>
      <c r="AS17" s="14" t="s">
        <v>62</v>
      </c>
      <c r="AT17" s="16">
        <v>0.11899999999999999</v>
      </c>
      <c r="AU17" s="3">
        <v>1053</v>
      </c>
      <c r="AV17" s="16">
        <v>0.14000000000000001</v>
      </c>
      <c r="AW17" s="3">
        <v>1053</v>
      </c>
      <c r="AX17" s="8">
        <v>125</v>
      </c>
      <c r="AY17" s="8">
        <f t="shared" si="11"/>
        <v>928</v>
      </c>
      <c r="AZ17" s="8">
        <v>147</v>
      </c>
      <c r="BA17" s="8">
        <f t="shared" si="13"/>
        <v>906</v>
      </c>
      <c r="BB17" s="3">
        <f t="shared" si="9"/>
        <v>2106</v>
      </c>
    </row>
    <row r="18" spans="1:54" x14ac:dyDescent="0.25">
      <c r="A18" s="9" t="str">
        <f t="shared" si="14"/>
        <v>5A</v>
      </c>
      <c r="B18" s="3">
        <v>5</v>
      </c>
      <c r="C18" s="3">
        <v>1</v>
      </c>
      <c r="D18" s="3" t="s">
        <v>65</v>
      </c>
      <c r="E18" s="3">
        <v>1</v>
      </c>
      <c r="F18" s="3">
        <v>1</v>
      </c>
      <c r="G18" s="3">
        <v>0</v>
      </c>
      <c r="H18" s="13" t="s">
        <v>21</v>
      </c>
      <c r="I18" s="13" t="s">
        <v>22</v>
      </c>
      <c r="J18" s="1" t="s">
        <v>203</v>
      </c>
      <c r="K18" s="14">
        <v>1</v>
      </c>
      <c r="L18" s="13" t="s">
        <v>103</v>
      </c>
      <c r="M18" s="1" t="s">
        <v>551</v>
      </c>
      <c r="N18" s="14">
        <v>2</v>
      </c>
      <c r="O18" s="14">
        <v>3</v>
      </c>
      <c r="P18" s="19">
        <f t="shared" si="1"/>
        <v>0.4</v>
      </c>
      <c r="Q18" s="14">
        <v>2016</v>
      </c>
      <c r="R18" s="14">
        <v>2015</v>
      </c>
      <c r="S18" s="14">
        <v>2015</v>
      </c>
      <c r="T18" s="14" t="s">
        <v>104</v>
      </c>
      <c r="U18" s="14">
        <v>5.7000000000000002E-2</v>
      </c>
      <c r="V18" s="14">
        <v>0.92400000000000004</v>
      </c>
      <c r="W18" s="14">
        <v>0.89</v>
      </c>
      <c r="X18" s="14">
        <v>41008.296699999999</v>
      </c>
      <c r="Y18" s="14"/>
      <c r="Z18" s="14">
        <v>0</v>
      </c>
      <c r="AA18" s="14">
        <v>0</v>
      </c>
      <c r="AB18" s="14" t="s">
        <v>207</v>
      </c>
      <c r="AC18" s="36" t="s">
        <v>675</v>
      </c>
      <c r="AD18" s="39">
        <v>0.48820041692562699</v>
      </c>
      <c r="AE18" s="39">
        <v>0.51179958307437023</v>
      </c>
      <c r="AF18" s="10">
        <v>2</v>
      </c>
      <c r="AG18" s="4">
        <f t="shared" si="2"/>
        <v>1</v>
      </c>
      <c r="AH18" s="3">
        <f t="shared" si="3"/>
        <v>2</v>
      </c>
      <c r="AI18" s="4">
        <f t="shared" si="4"/>
        <v>1</v>
      </c>
      <c r="AJ18" s="4">
        <f t="shared" si="5"/>
        <v>2</v>
      </c>
      <c r="AK18" s="4">
        <f t="shared" si="6"/>
        <v>1</v>
      </c>
      <c r="AL18" s="4">
        <f t="shared" si="7"/>
        <v>2</v>
      </c>
      <c r="AM18" s="4">
        <f t="shared" si="8"/>
        <v>1</v>
      </c>
      <c r="AN18" s="4">
        <v>0</v>
      </c>
      <c r="AO18" s="4">
        <v>0</v>
      </c>
      <c r="AP18" s="14" t="s">
        <v>61</v>
      </c>
      <c r="AQ18" s="14" t="s">
        <v>97</v>
      </c>
      <c r="AR18" s="14">
        <v>1</v>
      </c>
      <c r="AS18" s="14" t="s">
        <v>62</v>
      </c>
      <c r="AT18" s="16">
        <f>(22*3+6+7+4+6+5+5)/AU18</f>
        <v>0.22916666666666666</v>
      </c>
      <c r="AU18" s="3">
        <f>144*3</f>
        <v>432</v>
      </c>
      <c r="AV18" s="16">
        <f>(27*3+13+1+3+8+5+3)/AW18</f>
        <v>0.2638888888888889</v>
      </c>
      <c r="AW18" s="3">
        <f>144*3</f>
        <v>432</v>
      </c>
      <c r="AX18" s="3">
        <f>AT18*AU18</f>
        <v>99</v>
      </c>
      <c r="AY18" s="3">
        <f t="shared" si="11"/>
        <v>333</v>
      </c>
      <c r="AZ18" s="3">
        <f>AV18*AW18</f>
        <v>114</v>
      </c>
      <c r="BA18" s="3">
        <f t="shared" si="13"/>
        <v>318</v>
      </c>
      <c r="BB18" s="3">
        <f t="shared" si="9"/>
        <v>864</v>
      </c>
    </row>
    <row r="19" spans="1:54" x14ac:dyDescent="0.25">
      <c r="A19" s="9" t="str">
        <f t="shared" si="14"/>
        <v>6A</v>
      </c>
      <c r="B19" s="3">
        <v>6</v>
      </c>
      <c r="C19" s="3">
        <v>2</v>
      </c>
      <c r="D19" s="3" t="s">
        <v>65</v>
      </c>
      <c r="E19" s="3">
        <v>1</v>
      </c>
      <c r="F19" s="3">
        <v>1</v>
      </c>
      <c r="G19" s="3">
        <v>0</v>
      </c>
      <c r="H19" s="13" t="s">
        <v>223</v>
      </c>
      <c r="I19" s="13" t="s">
        <v>224</v>
      </c>
      <c r="J19" s="1" t="s">
        <v>203</v>
      </c>
      <c r="K19" s="14">
        <v>1</v>
      </c>
      <c r="L19" s="13" t="s">
        <v>225</v>
      </c>
      <c r="M19" s="1" t="s">
        <v>472</v>
      </c>
      <c r="N19" s="14">
        <v>2</v>
      </c>
      <c r="O19" s="14">
        <v>1</v>
      </c>
      <c r="P19" s="19">
        <f t="shared" si="1"/>
        <v>0.66666666666666663</v>
      </c>
      <c r="Q19" s="14">
        <v>2007</v>
      </c>
      <c r="R19" s="14" t="s">
        <v>287</v>
      </c>
      <c r="S19" s="14">
        <v>2005</v>
      </c>
      <c r="T19" s="14" t="s">
        <v>101</v>
      </c>
      <c r="U19" s="14">
        <v>0.26300000000000001</v>
      </c>
      <c r="V19" s="14">
        <v>0.91100000000000003</v>
      </c>
      <c r="W19" s="14">
        <v>0.86199999999999999</v>
      </c>
      <c r="X19" s="14">
        <v>44123.407067905515</v>
      </c>
      <c r="Y19" s="14">
        <v>0</v>
      </c>
      <c r="Z19" s="14">
        <v>0</v>
      </c>
      <c r="AA19" s="14">
        <v>0</v>
      </c>
      <c r="AB19" s="14" t="s">
        <v>207</v>
      </c>
      <c r="AC19" s="36" t="s">
        <v>226</v>
      </c>
      <c r="AD19" s="39">
        <v>0.5751100244498778</v>
      </c>
      <c r="AE19" s="39">
        <v>0.42488997555012226</v>
      </c>
      <c r="AF19" s="10">
        <v>2</v>
      </c>
      <c r="AG19" s="4">
        <f t="shared" si="2"/>
        <v>1</v>
      </c>
      <c r="AH19" s="3">
        <f t="shared" si="3"/>
        <v>2</v>
      </c>
      <c r="AI19" s="4">
        <f t="shared" si="4"/>
        <v>1</v>
      </c>
      <c r="AJ19" s="4">
        <f t="shared" si="5"/>
        <v>2</v>
      </c>
      <c r="AK19" s="4">
        <f t="shared" si="6"/>
        <v>1</v>
      </c>
      <c r="AL19" s="4">
        <f t="shared" si="7"/>
        <v>2</v>
      </c>
      <c r="AM19" s="4">
        <f t="shared" si="8"/>
        <v>1</v>
      </c>
      <c r="AN19" s="4">
        <v>0</v>
      </c>
      <c r="AO19" s="4">
        <v>0</v>
      </c>
      <c r="AP19" s="14" t="s">
        <v>100</v>
      </c>
      <c r="AQ19" s="14" t="s">
        <v>97</v>
      </c>
      <c r="AR19" s="14">
        <v>1</v>
      </c>
      <c r="AS19" s="14" t="s">
        <v>62</v>
      </c>
      <c r="AT19" s="16">
        <f>AX19/AU19</f>
        <v>4.8437500000000001E-2</v>
      </c>
      <c r="AU19" s="3">
        <f>SUM(AX19:AY19)</f>
        <v>640</v>
      </c>
      <c r="AV19" s="16">
        <f>AZ19/AW19</f>
        <v>3.9308176100628929E-2</v>
      </c>
      <c r="AW19" s="3">
        <f>SUM(AZ19:BA19)</f>
        <v>636</v>
      </c>
      <c r="AX19" s="3">
        <f>10+21</f>
        <v>31</v>
      </c>
      <c r="AY19" s="3">
        <f>320+320-10-21</f>
        <v>609</v>
      </c>
      <c r="AZ19" s="3">
        <f>16+9</f>
        <v>25</v>
      </c>
      <c r="BA19" s="3">
        <f>318+318-16-9</f>
        <v>611</v>
      </c>
      <c r="BB19" s="3">
        <f t="shared" si="9"/>
        <v>1276</v>
      </c>
    </row>
    <row r="20" spans="1:54" x14ac:dyDescent="0.25">
      <c r="A20" s="9" t="str">
        <f t="shared" si="14"/>
        <v>7A</v>
      </c>
      <c r="B20" s="3">
        <v>7</v>
      </c>
      <c r="C20" s="3">
        <v>1</v>
      </c>
      <c r="D20" s="3" t="s">
        <v>65</v>
      </c>
      <c r="E20" s="3">
        <v>1</v>
      </c>
      <c r="F20" s="3">
        <v>1</v>
      </c>
      <c r="G20" s="3">
        <v>0</v>
      </c>
      <c r="H20" s="1" t="s">
        <v>227</v>
      </c>
      <c r="I20" s="1" t="s">
        <v>228</v>
      </c>
      <c r="J20" s="1" t="s">
        <v>229</v>
      </c>
      <c r="K20" s="3">
        <v>1</v>
      </c>
      <c r="L20" s="1" t="s">
        <v>230</v>
      </c>
      <c r="M20" s="1" t="s">
        <v>473</v>
      </c>
      <c r="N20" s="3">
        <v>0</v>
      </c>
      <c r="O20" s="3">
        <v>3</v>
      </c>
      <c r="P20" s="19">
        <f t="shared" si="1"/>
        <v>0</v>
      </c>
      <c r="Q20" s="3">
        <v>1996</v>
      </c>
      <c r="R20" s="3">
        <v>1994</v>
      </c>
      <c r="S20" s="3">
        <v>1994</v>
      </c>
      <c r="T20" s="3" t="s">
        <v>101</v>
      </c>
      <c r="U20" s="3">
        <v>0.30499999999999999</v>
      </c>
      <c r="V20" s="3">
        <v>0.872</v>
      </c>
      <c r="W20" s="3">
        <v>0.86599999999999999</v>
      </c>
      <c r="X20" s="3">
        <v>27694.853416234047</v>
      </c>
      <c r="Y20" s="3">
        <v>0</v>
      </c>
      <c r="Z20" s="3">
        <v>1</v>
      </c>
      <c r="AA20" s="3">
        <v>1</v>
      </c>
      <c r="AB20" s="3" t="s">
        <v>207</v>
      </c>
      <c r="AC20" s="7" t="s">
        <v>232</v>
      </c>
      <c r="AD20" s="19">
        <v>0.42080536912751676</v>
      </c>
      <c r="AE20" s="19">
        <v>0.57919463087248324</v>
      </c>
      <c r="AF20" s="10">
        <v>2</v>
      </c>
      <c r="AG20" s="3">
        <f t="shared" si="2"/>
        <v>1</v>
      </c>
      <c r="AH20" s="3">
        <f t="shared" si="3"/>
        <v>2</v>
      </c>
      <c r="AI20" s="4">
        <f t="shared" si="4"/>
        <v>1</v>
      </c>
      <c r="AJ20" s="4">
        <f t="shared" si="5"/>
        <v>2</v>
      </c>
      <c r="AK20" s="4">
        <f t="shared" si="6"/>
        <v>1</v>
      </c>
      <c r="AL20" s="4">
        <f t="shared" si="7"/>
        <v>2</v>
      </c>
      <c r="AM20" s="4">
        <f t="shared" si="8"/>
        <v>1</v>
      </c>
      <c r="AN20" s="4">
        <v>0</v>
      </c>
      <c r="AO20" s="4">
        <v>0</v>
      </c>
      <c r="AP20" s="3" t="s">
        <v>233</v>
      </c>
      <c r="AQ20" s="3" t="s">
        <v>63</v>
      </c>
      <c r="AR20" s="3">
        <v>0</v>
      </c>
      <c r="AS20" s="3" t="s">
        <v>619</v>
      </c>
      <c r="AT20" s="16">
        <f>(23*0.26+21*0.43+21*0.38)/(23+21+21)</f>
        <v>0.35369230769230775</v>
      </c>
      <c r="AU20" s="3">
        <v>65</v>
      </c>
      <c r="AV20" s="16">
        <f>(23*0.61+21*0.62+21*0.19)/(23+21+21)</f>
        <v>0.47753846153846152</v>
      </c>
      <c r="AW20" s="3">
        <v>65</v>
      </c>
      <c r="AX20" s="3">
        <f>AT20*AU20</f>
        <v>22.990000000000002</v>
      </c>
      <c r="AY20" s="3">
        <f>AU20-AX20</f>
        <v>42.01</v>
      </c>
      <c r="AZ20" s="3">
        <f>AV20*AW20</f>
        <v>31.04</v>
      </c>
      <c r="BA20" s="3">
        <f>AW20-AZ20</f>
        <v>33.96</v>
      </c>
      <c r="BB20" s="8">
        <f t="shared" si="9"/>
        <v>130</v>
      </c>
    </row>
    <row r="21" spans="1:54" x14ac:dyDescent="0.25">
      <c r="A21" s="9" t="str">
        <f t="shared" si="14"/>
        <v>7B</v>
      </c>
      <c r="B21" s="3">
        <v>7</v>
      </c>
      <c r="C21" s="3">
        <v>1</v>
      </c>
      <c r="D21" s="3" t="s">
        <v>66</v>
      </c>
      <c r="E21" s="3">
        <v>1</v>
      </c>
      <c r="F21" s="3">
        <v>1</v>
      </c>
      <c r="G21" s="3">
        <v>1</v>
      </c>
      <c r="H21" s="1" t="s">
        <v>227</v>
      </c>
      <c r="I21" s="1" t="s">
        <v>228</v>
      </c>
      <c r="J21" s="1" t="s">
        <v>229</v>
      </c>
      <c r="K21" s="3">
        <v>1</v>
      </c>
      <c r="L21" s="1" t="s">
        <v>230</v>
      </c>
      <c r="M21" s="1"/>
      <c r="N21" s="3">
        <v>0</v>
      </c>
      <c r="O21" s="3">
        <v>3</v>
      </c>
      <c r="P21" s="19">
        <f t="shared" si="1"/>
        <v>0</v>
      </c>
      <c r="Q21" s="3">
        <v>1996</v>
      </c>
      <c r="R21" s="3">
        <v>1994</v>
      </c>
      <c r="S21" s="3">
        <v>1994</v>
      </c>
      <c r="T21" s="3" t="s">
        <v>101</v>
      </c>
      <c r="U21" s="3">
        <v>0.30499999999999999</v>
      </c>
      <c r="V21" s="3">
        <v>0.872</v>
      </c>
      <c r="W21" s="3">
        <v>0.86599999999999999</v>
      </c>
      <c r="X21" s="3">
        <v>27694.853416234047</v>
      </c>
      <c r="Y21" s="3">
        <v>0</v>
      </c>
      <c r="Z21" s="3">
        <v>1</v>
      </c>
      <c r="AA21" s="3">
        <v>1</v>
      </c>
      <c r="AB21" s="3" t="s">
        <v>649</v>
      </c>
      <c r="AC21" s="7" t="s">
        <v>232</v>
      </c>
      <c r="AD21" s="19">
        <v>0.42080536912751676</v>
      </c>
      <c r="AE21" s="19">
        <v>0.57919463087248324</v>
      </c>
      <c r="AF21" s="10">
        <v>2</v>
      </c>
      <c r="AG21" s="3">
        <f t="shared" si="2"/>
        <v>1</v>
      </c>
      <c r="AH21" s="3">
        <f t="shared" si="3"/>
        <v>2</v>
      </c>
      <c r="AI21" s="4">
        <f t="shared" si="4"/>
        <v>1</v>
      </c>
      <c r="AJ21" s="4">
        <f t="shared" si="5"/>
        <v>2</v>
      </c>
      <c r="AK21" s="4">
        <f t="shared" si="6"/>
        <v>1</v>
      </c>
      <c r="AL21" s="4">
        <f t="shared" si="7"/>
        <v>2</v>
      </c>
      <c r="AM21" s="4">
        <f t="shared" si="8"/>
        <v>1</v>
      </c>
      <c r="AN21" s="4">
        <v>0</v>
      </c>
      <c r="AO21" s="4">
        <v>0</v>
      </c>
      <c r="AP21" s="3" t="s">
        <v>233</v>
      </c>
      <c r="AQ21" s="3" t="s">
        <v>234</v>
      </c>
      <c r="AR21" s="3">
        <v>0</v>
      </c>
      <c r="AS21" s="3" t="s">
        <v>231</v>
      </c>
      <c r="AT21" s="16">
        <f>(23*0.09+21*0.29+21*0.38)/(23+21+21)</f>
        <v>0.24830769230769231</v>
      </c>
      <c r="AU21" s="3">
        <v>65</v>
      </c>
      <c r="AV21" s="16">
        <f>(23*0.48+21*0.48+21*0.1)/(23+21+21)</f>
        <v>0.35723076923076924</v>
      </c>
      <c r="AW21" s="3">
        <v>65</v>
      </c>
      <c r="AX21" s="3">
        <f>AT21*AU21</f>
        <v>16.14</v>
      </c>
      <c r="AY21" s="3">
        <f>AU21-AX21</f>
        <v>48.86</v>
      </c>
      <c r="AZ21" s="3">
        <f>AV21*AW21</f>
        <v>23.22</v>
      </c>
      <c r="BA21" s="3">
        <f>AW21-AZ21</f>
        <v>41.78</v>
      </c>
      <c r="BB21" s="8">
        <f t="shared" si="9"/>
        <v>130</v>
      </c>
    </row>
    <row r="22" spans="1:54" s="1" customFormat="1" x14ac:dyDescent="0.25">
      <c r="A22" s="9" t="str">
        <f t="shared" si="14"/>
        <v>8A</v>
      </c>
      <c r="B22" s="3">
        <v>8</v>
      </c>
      <c r="C22" s="3">
        <v>1</v>
      </c>
      <c r="D22" s="3" t="s">
        <v>65</v>
      </c>
      <c r="E22" s="3">
        <v>1</v>
      </c>
      <c r="F22" s="3">
        <v>1</v>
      </c>
      <c r="G22" s="3">
        <v>1</v>
      </c>
      <c r="H22" s="1" t="s">
        <v>342</v>
      </c>
      <c r="I22" s="1" t="s">
        <v>343</v>
      </c>
      <c r="J22" s="1" t="s">
        <v>229</v>
      </c>
      <c r="K22" s="3">
        <v>1</v>
      </c>
      <c r="L22" s="1" t="s">
        <v>341</v>
      </c>
      <c r="M22" s="1" t="s">
        <v>551</v>
      </c>
      <c r="N22" s="3">
        <v>2</v>
      </c>
      <c r="O22" s="3">
        <v>2</v>
      </c>
      <c r="P22" s="19">
        <f t="shared" si="1"/>
        <v>0.5</v>
      </c>
      <c r="Q22" s="3">
        <v>2016</v>
      </c>
      <c r="R22" s="3" t="s">
        <v>339</v>
      </c>
      <c r="S22" s="3">
        <v>2015</v>
      </c>
      <c r="T22" s="3" t="s">
        <v>104</v>
      </c>
      <c r="U22" s="3">
        <v>5.7000000000000002E-2</v>
      </c>
      <c r="V22" s="12">
        <v>0.92400000000000004</v>
      </c>
      <c r="W22" s="14">
        <v>0.89</v>
      </c>
      <c r="X22" s="12">
        <v>41008.296699999999</v>
      </c>
      <c r="Y22" s="3"/>
      <c r="Z22" s="3">
        <v>0</v>
      </c>
      <c r="AA22" s="3">
        <v>0</v>
      </c>
      <c r="AB22" s="3" t="s">
        <v>207</v>
      </c>
      <c r="AC22" s="7" t="s">
        <v>340</v>
      </c>
      <c r="AD22" s="19">
        <v>0.48723325106653065</v>
      </c>
      <c r="AE22" s="19">
        <v>0.51276674893346597</v>
      </c>
      <c r="AF22" s="10">
        <v>2</v>
      </c>
      <c r="AG22" s="3">
        <f t="shared" si="2"/>
        <v>1</v>
      </c>
      <c r="AH22" s="3">
        <f t="shared" si="3"/>
        <v>2</v>
      </c>
      <c r="AI22" s="4">
        <f t="shared" si="4"/>
        <v>1</v>
      </c>
      <c r="AJ22" s="4">
        <f t="shared" si="5"/>
        <v>2</v>
      </c>
      <c r="AK22" s="4">
        <f t="shared" si="6"/>
        <v>1</v>
      </c>
      <c r="AL22" s="4">
        <f t="shared" si="7"/>
        <v>2</v>
      </c>
      <c r="AM22" s="4">
        <f t="shared" si="8"/>
        <v>1</v>
      </c>
      <c r="AN22" s="4">
        <v>0</v>
      </c>
      <c r="AO22" s="4">
        <v>0</v>
      </c>
      <c r="AP22" s="3" t="s">
        <v>61</v>
      </c>
      <c r="AQ22" s="3" t="s">
        <v>63</v>
      </c>
      <c r="AR22" s="3">
        <v>1</v>
      </c>
      <c r="AS22" s="3" t="s">
        <v>338</v>
      </c>
      <c r="AT22" s="16">
        <f>(0.069+0.049)/2</f>
        <v>5.9000000000000004E-2</v>
      </c>
      <c r="AU22" s="3">
        <v>288</v>
      </c>
      <c r="AV22" s="16">
        <f>(0.09+0.049)/2</f>
        <v>6.9500000000000006E-2</v>
      </c>
      <c r="AW22" s="3">
        <v>288</v>
      </c>
      <c r="AX22" s="3">
        <f>AT22*AU22</f>
        <v>16.992000000000001</v>
      </c>
      <c r="AY22" s="3">
        <f>AU22-AX22</f>
        <v>271.00799999999998</v>
      </c>
      <c r="AZ22" s="3">
        <f>AV22*AW22</f>
        <v>20.016000000000002</v>
      </c>
      <c r="BA22" s="3">
        <f>AW22-AZ22</f>
        <v>267.98399999999998</v>
      </c>
      <c r="BB22" s="8">
        <f t="shared" si="9"/>
        <v>576</v>
      </c>
    </row>
    <row r="23" spans="1:54" s="1" customFormat="1" x14ac:dyDescent="0.25">
      <c r="A23" s="9" t="str">
        <f t="shared" si="14"/>
        <v>8B</v>
      </c>
      <c r="B23" s="3">
        <v>8</v>
      </c>
      <c r="C23" s="3">
        <v>1</v>
      </c>
      <c r="D23" s="3" t="s">
        <v>66</v>
      </c>
      <c r="E23" s="3">
        <v>1</v>
      </c>
      <c r="F23" s="3">
        <v>1</v>
      </c>
      <c r="G23" s="3">
        <v>0</v>
      </c>
      <c r="H23" s="1" t="s">
        <v>342</v>
      </c>
      <c r="I23" s="1" t="s">
        <v>343</v>
      </c>
      <c r="J23" s="1" t="s">
        <v>229</v>
      </c>
      <c r="K23" s="3">
        <v>1</v>
      </c>
      <c r="L23" s="1" t="s">
        <v>341</v>
      </c>
      <c r="N23" s="3">
        <v>2</v>
      </c>
      <c r="O23" s="3">
        <v>2</v>
      </c>
      <c r="P23" s="19">
        <f t="shared" si="1"/>
        <v>0.5</v>
      </c>
      <c r="Q23" s="3">
        <v>2016</v>
      </c>
      <c r="R23" s="3" t="s">
        <v>339</v>
      </c>
      <c r="S23" s="3">
        <v>2015</v>
      </c>
      <c r="T23" s="3" t="s">
        <v>104</v>
      </c>
      <c r="U23" s="3">
        <v>5.7000000000000002E-2</v>
      </c>
      <c r="V23" s="12">
        <v>0.92400000000000004</v>
      </c>
      <c r="W23" s="14">
        <v>0.89</v>
      </c>
      <c r="X23" s="12">
        <v>41008.296699999999</v>
      </c>
      <c r="Y23" s="3"/>
      <c r="Z23" s="3">
        <v>0</v>
      </c>
      <c r="AA23" s="3">
        <v>0</v>
      </c>
      <c r="AB23" s="3" t="s">
        <v>207</v>
      </c>
      <c r="AC23" s="7" t="s">
        <v>340</v>
      </c>
      <c r="AD23" s="19">
        <v>0.48723325106653065</v>
      </c>
      <c r="AE23" s="19">
        <v>0.51276674893346597</v>
      </c>
      <c r="AF23" s="10">
        <v>2</v>
      </c>
      <c r="AG23" s="3">
        <f t="shared" si="2"/>
        <v>1</v>
      </c>
      <c r="AH23" s="3">
        <f t="shared" si="3"/>
        <v>2</v>
      </c>
      <c r="AI23" s="4">
        <f t="shared" si="4"/>
        <v>1</v>
      </c>
      <c r="AJ23" s="4">
        <f t="shared" si="5"/>
        <v>2</v>
      </c>
      <c r="AK23" s="4">
        <f t="shared" si="6"/>
        <v>1</v>
      </c>
      <c r="AL23" s="4">
        <f t="shared" si="7"/>
        <v>2</v>
      </c>
      <c r="AM23" s="4">
        <f t="shared" si="8"/>
        <v>1</v>
      </c>
      <c r="AN23" s="4">
        <v>0</v>
      </c>
      <c r="AO23" s="4">
        <v>0</v>
      </c>
      <c r="AP23" s="3" t="s">
        <v>61</v>
      </c>
      <c r="AQ23" s="3" t="s">
        <v>97</v>
      </c>
      <c r="AR23" s="3">
        <v>1</v>
      </c>
      <c r="AS23" s="3" t="s">
        <v>337</v>
      </c>
      <c r="AT23" s="16">
        <f>(0.167+0.132)/2</f>
        <v>0.14950000000000002</v>
      </c>
      <c r="AU23" s="3">
        <v>288</v>
      </c>
      <c r="AV23" s="16">
        <f>(0.163+0.104)/2</f>
        <v>0.13350000000000001</v>
      </c>
      <c r="AW23" s="3">
        <v>288</v>
      </c>
      <c r="AX23" s="3">
        <f>AT23*AU23</f>
        <v>43.056000000000004</v>
      </c>
      <c r="AY23" s="3">
        <f>AU23-AX23</f>
        <v>244.94399999999999</v>
      </c>
      <c r="AZ23" s="3">
        <f>AV23*AW23</f>
        <v>38.448</v>
      </c>
      <c r="BA23" s="3">
        <f>AW23-AZ23</f>
        <v>249.55199999999999</v>
      </c>
      <c r="BB23" s="8">
        <f t="shared" si="9"/>
        <v>576</v>
      </c>
    </row>
    <row r="24" spans="1:54" s="1" customFormat="1" x14ac:dyDescent="0.25">
      <c r="A24" s="9" t="str">
        <f t="shared" si="14"/>
        <v>9A</v>
      </c>
      <c r="B24" s="3">
        <v>9</v>
      </c>
      <c r="C24" s="3">
        <v>1</v>
      </c>
      <c r="D24" s="3" t="s">
        <v>65</v>
      </c>
      <c r="E24" s="3">
        <v>1</v>
      </c>
      <c r="F24" s="3">
        <v>1</v>
      </c>
      <c r="G24" s="3">
        <v>0</v>
      </c>
      <c r="H24" s="13" t="s">
        <v>24</v>
      </c>
      <c r="I24" s="13" t="s">
        <v>20</v>
      </c>
      <c r="J24" s="1" t="s">
        <v>203</v>
      </c>
      <c r="K24" s="14">
        <v>1</v>
      </c>
      <c r="L24" s="13" t="s">
        <v>120</v>
      </c>
      <c r="M24" s="1" t="s">
        <v>474</v>
      </c>
      <c r="N24" s="14">
        <v>1</v>
      </c>
      <c r="O24" s="14">
        <v>1</v>
      </c>
      <c r="P24" s="19">
        <f t="shared" si="1"/>
        <v>0.5</v>
      </c>
      <c r="Q24" s="14">
        <v>2016</v>
      </c>
      <c r="R24" s="14">
        <v>2014</v>
      </c>
      <c r="S24" s="25">
        <v>2014</v>
      </c>
      <c r="T24" s="14" t="s">
        <v>101</v>
      </c>
      <c r="U24" s="14">
        <v>0.23499999999999999</v>
      </c>
      <c r="V24" s="14">
        <v>0.92</v>
      </c>
      <c r="W24" s="14">
        <v>0.89200000000000002</v>
      </c>
      <c r="X24" s="14">
        <v>55123.84978690464</v>
      </c>
      <c r="Y24" s="14">
        <v>0</v>
      </c>
      <c r="Z24" s="14">
        <v>0</v>
      </c>
      <c r="AA24" s="14">
        <v>0</v>
      </c>
      <c r="AB24" s="14" t="s">
        <v>207</v>
      </c>
      <c r="AC24" s="36" t="s">
        <v>122</v>
      </c>
      <c r="AD24" s="39">
        <v>0.49199999999999999</v>
      </c>
      <c r="AE24" s="39">
        <v>0.50800000000000001</v>
      </c>
      <c r="AF24" s="10">
        <v>2</v>
      </c>
      <c r="AG24" s="4">
        <f t="shared" si="2"/>
        <v>1</v>
      </c>
      <c r="AH24" s="3">
        <f t="shared" si="3"/>
        <v>2</v>
      </c>
      <c r="AI24" s="4">
        <f t="shared" si="4"/>
        <v>1</v>
      </c>
      <c r="AJ24" s="4">
        <f t="shared" si="5"/>
        <v>2</v>
      </c>
      <c r="AK24" s="4">
        <f t="shared" si="6"/>
        <v>1</v>
      </c>
      <c r="AL24" s="4">
        <f t="shared" si="7"/>
        <v>2</v>
      </c>
      <c r="AM24" s="4">
        <f t="shared" si="8"/>
        <v>1</v>
      </c>
      <c r="AN24" s="4">
        <v>0</v>
      </c>
      <c r="AO24" s="4">
        <v>0</v>
      </c>
      <c r="AP24" s="14" t="s">
        <v>121</v>
      </c>
      <c r="AQ24" s="14" t="s">
        <v>63</v>
      </c>
      <c r="AR24" s="14">
        <v>1</v>
      </c>
      <c r="AS24" s="3" t="s">
        <v>62</v>
      </c>
      <c r="AT24" s="16">
        <f>AX24/AU24</f>
        <v>5.0632911392405063E-2</v>
      </c>
      <c r="AU24" s="3">
        <f>79+79</f>
        <v>158</v>
      </c>
      <c r="AV24" s="16">
        <f>AZ24/AW24</f>
        <v>8.8607594936708861E-2</v>
      </c>
      <c r="AW24" s="3">
        <f>80+78</f>
        <v>158</v>
      </c>
      <c r="AX24" s="3">
        <f>3+5</f>
        <v>8</v>
      </c>
      <c r="AY24" s="3">
        <f>AU24-AX24</f>
        <v>150</v>
      </c>
      <c r="AZ24" s="3">
        <f>13+1</f>
        <v>14</v>
      </c>
      <c r="BA24" s="3">
        <f>AW24-AZ24</f>
        <v>144</v>
      </c>
      <c r="BB24" s="3">
        <f t="shared" si="9"/>
        <v>316</v>
      </c>
    </row>
    <row r="25" spans="1:54" s="1" customFormat="1" x14ac:dyDescent="0.25">
      <c r="A25" s="9" t="str">
        <f t="shared" si="14"/>
        <v>10A</v>
      </c>
      <c r="B25" s="3">
        <v>10</v>
      </c>
      <c r="C25" s="3">
        <v>1</v>
      </c>
      <c r="D25" s="3" t="s">
        <v>65</v>
      </c>
      <c r="E25" s="3">
        <v>1</v>
      </c>
      <c r="F25" s="3">
        <v>0</v>
      </c>
      <c r="G25" s="3">
        <v>0</v>
      </c>
      <c r="H25" s="13" t="s">
        <v>245</v>
      </c>
      <c r="I25" s="13" t="s">
        <v>246</v>
      </c>
      <c r="J25" s="1" t="s">
        <v>203</v>
      </c>
      <c r="K25" s="14">
        <v>1</v>
      </c>
      <c r="L25" s="13" t="s">
        <v>247</v>
      </c>
      <c r="M25" s="1" t="s">
        <v>468</v>
      </c>
      <c r="N25" s="14">
        <v>1</v>
      </c>
      <c r="O25" s="14">
        <v>2</v>
      </c>
      <c r="P25" s="19">
        <f t="shared" si="1"/>
        <v>0.33333333333333331</v>
      </c>
      <c r="Q25" s="14">
        <v>2013</v>
      </c>
      <c r="R25" s="14">
        <v>2010</v>
      </c>
      <c r="S25" s="14">
        <v>2010</v>
      </c>
      <c r="T25" s="14" t="s">
        <v>51</v>
      </c>
      <c r="U25" s="14">
        <v>0.05</v>
      </c>
      <c r="V25" s="14">
        <v>0.91</v>
      </c>
      <c r="W25" s="14">
        <v>0.85299999999999998</v>
      </c>
      <c r="X25" s="14">
        <v>52869.044289158664</v>
      </c>
      <c r="Y25" s="3">
        <v>0.115</v>
      </c>
      <c r="Z25" s="14">
        <v>0</v>
      </c>
      <c r="AA25" s="14">
        <v>0</v>
      </c>
      <c r="AB25" s="14" t="s">
        <v>207</v>
      </c>
      <c r="AC25" s="36" t="s">
        <v>61</v>
      </c>
      <c r="AD25" s="14"/>
      <c r="AE25" s="14"/>
      <c r="AF25" s="10">
        <v>2</v>
      </c>
      <c r="AG25" s="3">
        <f t="shared" si="2"/>
        <v>1</v>
      </c>
      <c r="AH25" s="3">
        <f t="shared" si="3"/>
        <v>2</v>
      </c>
      <c r="AI25" s="4">
        <f t="shared" si="4"/>
        <v>1</v>
      </c>
      <c r="AJ25" s="4">
        <f t="shared" si="5"/>
        <v>2</v>
      </c>
      <c r="AK25" s="4">
        <f t="shared" si="6"/>
        <v>1</v>
      </c>
      <c r="AL25" s="4">
        <f t="shared" si="7"/>
        <v>2</v>
      </c>
      <c r="AM25" s="4">
        <f t="shared" si="8"/>
        <v>1</v>
      </c>
      <c r="AN25" s="4">
        <v>0</v>
      </c>
      <c r="AO25" s="4">
        <v>0</v>
      </c>
      <c r="AP25" s="14" t="s">
        <v>61</v>
      </c>
      <c r="AQ25" s="14" t="s">
        <v>64</v>
      </c>
      <c r="AR25" s="14">
        <v>1</v>
      </c>
      <c r="AS25" s="14" t="s">
        <v>62</v>
      </c>
      <c r="AT25" s="16">
        <f>AX25/AU25</f>
        <v>0.29018263027295282</v>
      </c>
      <c r="AU25" s="3">
        <f>SUM(AU26:AU35)</f>
        <v>2015</v>
      </c>
      <c r="AV25" s="16">
        <f>AZ25/AW25</f>
        <v>0.27956708860759499</v>
      </c>
      <c r="AW25" s="3">
        <f>SUM(AW26:AW35)</f>
        <v>1975</v>
      </c>
      <c r="AX25" s="8">
        <f>SUM(AX26:AX35)</f>
        <v>584.71799999999996</v>
      </c>
      <c r="AY25" s="8">
        <f>SUM(AY26:AY35)</f>
        <v>1430.2819999999997</v>
      </c>
      <c r="AZ25" s="8">
        <f>SUM(AZ26:AZ35)</f>
        <v>552.1450000000001</v>
      </c>
      <c r="BA25" s="8">
        <f>SUM(BA26:BA35)</f>
        <v>1422.855</v>
      </c>
      <c r="BB25" s="8">
        <f>SUM(AX25:BA25)</f>
        <v>3989.9999999999995</v>
      </c>
    </row>
    <row r="26" spans="1:54" s="1" customFormat="1" x14ac:dyDescent="0.25">
      <c r="A26" s="9" t="str">
        <f t="shared" si="14"/>
        <v>10B</v>
      </c>
      <c r="B26" s="4">
        <v>10</v>
      </c>
      <c r="C26" s="4">
        <v>1</v>
      </c>
      <c r="D26" s="4" t="s">
        <v>66</v>
      </c>
      <c r="E26" s="4">
        <v>0</v>
      </c>
      <c r="F26" s="4">
        <v>1</v>
      </c>
      <c r="G26" s="4">
        <v>0</v>
      </c>
      <c r="H26" s="15" t="s">
        <v>245</v>
      </c>
      <c r="I26" s="15" t="s">
        <v>246</v>
      </c>
      <c r="J26" s="2" t="s">
        <v>203</v>
      </c>
      <c r="K26" s="12">
        <v>1</v>
      </c>
      <c r="L26" s="15" t="s">
        <v>247</v>
      </c>
      <c r="M26" s="13"/>
      <c r="N26" s="12">
        <v>1</v>
      </c>
      <c r="O26" s="12">
        <v>2</v>
      </c>
      <c r="P26" s="20">
        <f t="shared" si="1"/>
        <v>0.33333333333333331</v>
      </c>
      <c r="Q26" s="12">
        <v>2013</v>
      </c>
      <c r="R26" s="12">
        <v>2010</v>
      </c>
      <c r="S26" s="12">
        <v>2010</v>
      </c>
      <c r="T26" s="12" t="s">
        <v>51</v>
      </c>
      <c r="U26" s="12">
        <v>0.05</v>
      </c>
      <c r="V26" s="12">
        <v>0.91</v>
      </c>
      <c r="W26" s="12">
        <v>0.85299999999999998</v>
      </c>
      <c r="X26" s="12">
        <v>52869.044289158664</v>
      </c>
      <c r="Y26" s="4">
        <v>0.115</v>
      </c>
      <c r="Z26" s="12">
        <v>0</v>
      </c>
      <c r="AA26" s="12">
        <v>0</v>
      </c>
      <c r="AB26" s="12" t="s">
        <v>207</v>
      </c>
      <c r="AC26" s="34" t="s">
        <v>235</v>
      </c>
      <c r="AD26" s="40">
        <v>0.34899999999999998</v>
      </c>
      <c r="AE26" s="40">
        <v>0.65100000000000002</v>
      </c>
      <c r="AF26" s="10">
        <v>0</v>
      </c>
      <c r="AG26" s="4">
        <f t="shared" si="2"/>
        <v>0</v>
      </c>
      <c r="AH26" s="3">
        <f t="shared" si="3"/>
        <v>0</v>
      </c>
      <c r="AI26" s="4">
        <f t="shared" si="4"/>
        <v>0</v>
      </c>
      <c r="AJ26" s="4">
        <f t="shared" si="5"/>
        <v>0</v>
      </c>
      <c r="AK26" s="4">
        <f t="shared" si="6"/>
        <v>0</v>
      </c>
      <c r="AL26" s="4">
        <f t="shared" si="7"/>
        <v>2</v>
      </c>
      <c r="AM26" s="4">
        <f t="shared" si="8"/>
        <v>1</v>
      </c>
      <c r="AN26" s="4">
        <v>0</v>
      </c>
      <c r="AO26" s="4">
        <v>0</v>
      </c>
      <c r="AP26" s="12" t="s">
        <v>61</v>
      </c>
      <c r="AQ26" s="12" t="s">
        <v>64</v>
      </c>
      <c r="AR26" s="12">
        <v>1</v>
      </c>
      <c r="AS26" s="12" t="s">
        <v>235</v>
      </c>
      <c r="AT26" s="11">
        <f>(10.6/100*132+5.1/100*117)/(132+117)</f>
        <v>8.0156626506024092E-2</v>
      </c>
      <c r="AU26" s="4">
        <f>132+117</f>
        <v>249</v>
      </c>
      <c r="AV26" s="11">
        <f>(15.3/100*131+7.5/100*120)/(131+120)</f>
        <v>0.11570916334661355</v>
      </c>
      <c r="AW26" s="4">
        <f>131+120</f>
        <v>251</v>
      </c>
      <c r="AX26" s="10">
        <f t="shared" ref="AX26:AX35" si="15">AT26*AU26</f>
        <v>19.959</v>
      </c>
      <c r="AY26" s="10">
        <f t="shared" ref="AY26:AY35" si="16">AU26-AX26</f>
        <v>229.041</v>
      </c>
      <c r="AZ26" s="10">
        <f t="shared" ref="AZ26:AZ35" si="17">AV26*AW26</f>
        <v>29.042999999999999</v>
      </c>
      <c r="BA26" s="10">
        <f t="shared" ref="BA26:BA35" si="18">AW26-AZ26</f>
        <v>221.95699999999999</v>
      </c>
      <c r="BB26" s="10">
        <f t="shared" si="9"/>
        <v>500</v>
      </c>
    </row>
    <row r="27" spans="1:54" s="1" customFormat="1" x14ac:dyDescent="0.25">
      <c r="A27" s="9" t="str">
        <f t="shared" si="14"/>
        <v>10C</v>
      </c>
      <c r="B27" s="4">
        <v>10</v>
      </c>
      <c r="C27" s="4">
        <v>1</v>
      </c>
      <c r="D27" s="4" t="s">
        <v>67</v>
      </c>
      <c r="E27" s="4">
        <v>0</v>
      </c>
      <c r="F27" s="4">
        <v>1</v>
      </c>
      <c r="G27" s="4">
        <v>0</v>
      </c>
      <c r="H27" s="15" t="s">
        <v>245</v>
      </c>
      <c r="I27" s="15" t="s">
        <v>246</v>
      </c>
      <c r="J27" s="2" t="s">
        <v>203</v>
      </c>
      <c r="K27" s="12">
        <v>1</v>
      </c>
      <c r="L27" s="15" t="s">
        <v>247</v>
      </c>
      <c r="M27" s="13"/>
      <c r="N27" s="12">
        <v>1</v>
      </c>
      <c r="O27" s="12">
        <v>2</v>
      </c>
      <c r="P27" s="20">
        <f t="shared" si="1"/>
        <v>0.33333333333333331</v>
      </c>
      <c r="Q27" s="12">
        <v>2013</v>
      </c>
      <c r="R27" s="12">
        <v>2010</v>
      </c>
      <c r="S27" s="12">
        <v>2010</v>
      </c>
      <c r="T27" s="12" t="s">
        <v>51</v>
      </c>
      <c r="U27" s="12">
        <v>0.05</v>
      </c>
      <c r="V27" s="12">
        <v>0.91</v>
      </c>
      <c r="W27" s="12">
        <v>0.85299999999999998</v>
      </c>
      <c r="X27" s="12">
        <v>52869.044289158664</v>
      </c>
      <c r="Y27" s="4">
        <v>0.115</v>
      </c>
      <c r="Z27" s="12">
        <v>0</v>
      </c>
      <c r="AA27" s="12">
        <v>0</v>
      </c>
      <c r="AB27" s="12" t="s">
        <v>207</v>
      </c>
      <c r="AC27" s="34" t="s">
        <v>236</v>
      </c>
      <c r="AD27" s="40">
        <v>0.97</v>
      </c>
      <c r="AE27" s="40">
        <v>3.0000000000000027E-2</v>
      </c>
      <c r="AF27" s="10">
        <v>1</v>
      </c>
      <c r="AG27" s="4">
        <f t="shared" si="2"/>
        <v>1</v>
      </c>
      <c r="AH27" s="3">
        <f t="shared" si="3"/>
        <v>1</v>
      </c>
      <c r="AI27" s="4">
        <f t="shared" si="4"/>
        <v>1</v>
      </c>
      <c r="AJ27" s="4">
        <f t="shared" si="5"/>
        <v>1</v>
      </c>
      <c r="AK27" s="4">
        <f t="shared" si="6"/>
        <v>1</v>
      </c>
      <c r="AL27" s="4">
        <f t="shared" si="7"/>
        <v>1</v>
      </c>
      <c r="AM27" s="4">
        <f t="shared" si="8"/>
        <v>1</v>
      </c>
      <c r="AN27" s="4">
        <v>1</v>
      </c>
      <c r="AO27" s="4">
        <v>0</v>
      </c>
      <c r="AP27" s="12" t="s">
        <v>61</v>
      </c>
      <c r="AQ27" s="12" t="s">
        <v>64</v>
      </c>
      <c r="AR27" s="12">
        <v>1</v>
      </c>
      <c r="AS27" s="12" t="s">
        <v>236</v>
      </c>
      <c r="AT27" s="11">
        <f>(31/100*84+24.5/100*98)/(84+98)</f>
        <v>0.27499999999999997</v>
      </c>
      <c r="AU27" s="4">
        <f>84+98</f>
        <v>182</v>
      </c>
      <c r="AV27" s="11">
        <f>(30/100*90+22.2/100*90)/(90+90)</f>
        <v>0.26100000000000001</v>
      </c>
      <c r="AW27" s="4">
        <f>90+90</f>
        <v>180</v>
      </c>
      <c r="AX27" s="10">
        <f t="shared" si="15"/>
        <v>50.05</v>
      </c>
      <c r="AY27" s="10">
        <f t="shared" si="16"/>
        <v>131.94999999999999</v>
      </c>
      <c r="AZ27" s="10">
        <f t="shared" si="17"/>
        <v>46.980000000000004</v>
      </c>
      <c r="BA27" s="10">
        <f t="shared" si="18"/>
        <v>133.01999999999998</v>
      </c>
      <c r="BB27" s="4">
        <f t="shared" si="9"/>
        <v>362</v>
      </c>
    </row>
    <row r="28" spans="1:54" s="1" customFormat="1" x14ac:dyDescent="0.25">
      <c r="A28" s="9" t="str">
        <f t="shared" si="14"/>
        <v>10D</v>
      </c>
      <c r="B28" s="4">
        <v>10</v>
      </c>
      <c r="C28" s="4">
        <v>1</v>
      </c>
      <c r="D28" s="4" t="s">
        <v>68</v>
      </c>
      <c r="E28" s="4">
        <v>0</v>
      </c>
      <c r="F28" s="4">
        <v>1</v>
      </c>
      <c r="G28" s="4">
        <v>0</v>
      </c>
      <c r="H28" s="15" t="s">
        <v>245</v>
      </c>
      <c r="I28" s="15" t="s">
        <v>246</v>
      </c>
      <c r="J28" s="2" t="s">
        <v>203</v>
      </c>
      <c r="K28" s="12">
        <v>1</v>
      </c>
      <c r="L28" s="15" t="s">
        <v>247</v>
      </c>
      <c r="M28" s="13"/>
      <c r="N28" s="12">
        <v>1</v>
      </c>
      <c r="O28" s="12">
        <v>2</v>
      </c>
      <c r="P28" s="20">
        <f t="shared" si="1"/>
        <v>0.33333333333333331</v>
      </c>
      <c r="Q28" s="12">
        <v>2013</v>
      </c>
      <c r="R28" s="12">
        <v>2010</v>
      </c>
      <c r="S28" s="12">
        <v>2010</v>
      </c>
      <c r="T28" s="12" t="s">
        <v>51</v>
      </c>
      <c r="U28" s="12">
        <v>0.05</v>
      </c>
      <c r="V28" s="12">
        <v>0.91</v>
      </c>
      <c r="W28" s="12">
        <v>0.85299999999999998</v>
      </c>
      <c r="X28" s="12">
        <v>52869.044289158664</v>
      </c>
      <c r="Y28" s="4">
        <v>0.115</v>
      </c>
      <c r="Z28" s="12">
        <v>0</v>
      </c>
      <c r="AA28" s="12">
        <v>0</v>
      </c>
      <c r="AB28" s="12" t="s">
        <v>207</v>
      </c>
      <c r="AC28" s="34" t="s">
        <v>237</v>
      </c>
      <c r="AD28" s="40">
        <v>7.5999999999999998E-2</v>
      </c>
      <c r="AE28" s="40">
        <v>0.92400000000000004</v>
      </c>
      <c r="AF28" s="10">
        <v>0</v>
      </c>
      <c r="AG28" s="4">
        <f t="shared" si="2"/>
        <v>0</v>
      </c>
      <c r="AH28" s="3">
        <f t="shared" si="3"/>
        <v>0</v>
      </c>
      <c r="AI28" s="4">
        <f t="shared" si="4"/>
        <v>0</v>
      </c>
      <c r="AJ28" s="4">
        <f t="shared" si="5"/>
        <v>0</v>
      </c>
      <c r="AK28" s="4">
        <f t="shared" si="6"/>
        <v>0</v>
      </c>
      <c r="AL28" s="4">
        <f t="shared" si="7"/>
        <v>0</v>
      </c>
      <c r="AM28" s="4">
        <f t="shared" si="8"/>
        <v>0</v>
      </c>
      <c r="AN28" s="4">
        <v>0</v>
      </c>
      <c r="AO28" s="4">
        <v>1</v>
      </c>
      <c r="AP28" s="12" t="s">
        <v>61</v>
      </c>
      <c r="AQ28" s="12" t="s">
        <v>64</v>
      </c>
      <c r="AR28" s="12">
        <v>1</v>
      </c>
      <c r="AS28" s="12" t="s">
        <v>237</v>
      </c>
      <c r="AT28" s="11">
        <f>(58.5/100*164+48.1/100*166)/(164+166)</f>
        <v>0.53268484848484854</v>
      </c>
      <c r="AU28" s="4">
        <f>164+166</f>
        <v>330</v>
      </c>
      <c r="AV28" s="11">
        <f>(53.7/100*164+55.5/100*173)/(164+173)</f>
        <v>0.54624035608308619</v>
      </c>
      <c r="AW28" s="4">
        <f>164+173</f>
        <v>337</v>
      </c>
      <c r="AX28" s="10">
        <f t="shared" si="15"/>
        <v>175.78600000000003</v>
      </c>
      <c r="AY28" s="10">
        <f t="shared" si="16"/>
        <v>154.21399999999997</v>
      </c>
      <c r="AZ28" s="10">
        <f t="shared" si="17"/>
        <v>184.08300000000006</v>
      </c>
      <c r="BA28" s="10">
        <f t="shared" si="18"/>
        <v>152.91699999999994</v>
      </c>
      <c r="BB28" s="4">
        <f t="shared" si="9"/>
        <v>667</v>
      </c>
    </row>
    <row r="29" spans="1:54" s="1" customFormat="1" x14ac:dyDescent="0.25">
      <c r="A29" s="9" t="str">
        <f t="shared" si="14"/>
        <v>10E</v>
      </c>
      <c r="B29" s="4">
        <v>10</v>
      </c>
      <c r="C29" s="4">
        <v>1</v>
      </c>
      <c r="D29" s="4" t="s">
        <v>102</v>
      </c>
      <c r="E29" s="4">
        <v>0</v>
      </c>
      <c r="F29" s="4">
        <v>1</v>
      </c>
      <c r="G29" s="4">
        <v>0</v>
      </c>
      <c r="H29" s="15" t="s">
        <v>245</v>
      </c>
      <c r="I29" s="15" t="s">
        <v>246</v>
      </c>
      <c r="J29" s="2" t="s">
        <v>203</v>
      </c>
      <c r="K29" s="12">
        <v>1</v>
      </c>
      <c r="L29" s="15" t="s">
        <v>247</v>
      </c>
      <c r="M29" s="13"/>
      <c r="N29" s="12">
        <v>1</v>
      </c>
      <c r="O29" s="12">
        <v>2</v>
      </c>
      <c r="P29" s="20">
        <f t="shared" si="1"/>
        <v>0.33333333333333331</v>
      </c>
      <c r="Q29" s="12">
        <v>2013</v>
      </c>
      <c r="R29" s="12">
        <v>2010</v>
      </c>
      <c r="S29" s="12">
        <v>2010</v>
      </c>
      <c r="T29" s="12" t="s">
        <v>51</v>
      </c>
      <c r="U29" s="12">
        <v>0.05</v>
      </c>
      <c r="V29" s="12">
        <v>0.91</v>
      </c>
      <c r="W29" s="12">
        <v>0.85299999999999998</v>
      </c>
      <c r="X29" s="12">
        <v>52869.044289158664</v>
      </c>
      <c r="Y29" s="4">
        <v>0.115</v>
      </c>
      <c r="Z29" s="12">
        <v>0</v>
      </c>
      <c r="AA29" s="12">
        <v>0</v>
      </c>
      <c r="AB29" s="12" t="s">
        <v>207</v>
      </c>
      <c r="AC29" s="34" t="s">
        <v>238</v>
      </c>
      <c r="AD29" s="40">
        <v>0.45400000000000001</v>
      </c>
      <c r="AE29" s="40">
        <v>0.54600000000000004</v>
      </c>
      <c r="AF29" s="10">
        <v>2</v>
      </c>
      <c r="AG29" s="4">
        <f t="shared" si="2"/>
        <v>1</v>
      </c>
      <c r="AH29" s="3">
        <f t="shared" si="3"/>
        <v>2</v>
      </c>
      <c r="AI29" s="4">
        <f t="shared" si="4"/>
        <v>1</v>
      </c>
      <c r="AJ29" s="4">
        <f t="shared" si="5"/>
        <v>2</v>
      </c>
      <c r="AK29" s="4">
        <f t="shared" si="6"/>
        <v>1</v>
      </c>
      <c r="AL29" s="4">
        <f t="shared" si="7"/>
        <v>2</v>
      </c>
      <c r="AM29" s="4">
        <f t="shared" si="8"/>
        <v>1</v>
      </c>
      <c r="AN29" s="4">
        <v>0</v>
      </c>
      <c r="AO29" s="4">
        <v>1</v>
      </c>
      <c r="AP29" s="12" t="s">
        <v>61</v>
      </c>
      <c r="AQ29" s="12" t="s">
        <v>64</v>
      </c>
      <c r="AR29" s="12">
        <v>1</v>
      </c>
      <c r="AS29" s="12" t="s">
        <v>238</v>
      </c>
      <c r="AT29" s="11">
        <f>(51.4/100*72+40.5/100*74)/(72+74)</f>
        <v>0.45875342465753433</v>
      </c>
      <c r="AU29" s="4">
        <f>72+74</f>
        <v>146</v>
      </c>
      <c r="AV29" s="11">
        <f>(47.9/100*71+43.1/100*72)/(71+72)</f>
        <v>0.45483216783216779</v>
      </c>
      <c r="AW29" s="4">
        <f>71+72</f>
        <v>143</v>
      </c>
      <c r="AX29" s="10">
        <f t="shared" si="15"/>
        <v>66.978000000000009</v>
      </c>
      <c r="AY29" s="10">
        <f t="shared" si="16"/>
        <v>79.021999999999991</v>
      </c>
      <c r="AZ29" s="10">
        <f t="shared" si="17"/>
        <v>65.040999999999997</v>
      </c>
      <c r="BA29" s="10">
        <f t="shared" si="18"/>
        <v>77.959000000000003</v>
      </c>
      <c r="BB29" s="4">
        <f t="shared" si="9"/>
        <v>289</v>
      </c>
    </row>
    <row r="30" spans="1:54" s="1" customFormat="1" x14ac:dyDescent="0.25">
      <c r="A30" s="9" t="str">
        <f t="shared" si="14"/>
        <v>10F</v>
      </c>
      <c r="B30" s="4">
        <v>10</v>
      </c>
      <c r="C30" s="4">
        <v>1</v>
      </c>
      <c r="D30" s="4" t="s">
        <v>116</v>
      </c>
      <c r="E30" s="4">
        <v>0</v>
      </c>
      <c r="F30" s="4">
        <v>1</v>
      </c>
      <c r="G30" s="4">
        <v>0</v>
      </c>
      <c r="H30" s="15" t="s">
        <v>245</v>
      </c>
      <c r="I30" s="15" t="s">
        <v>246</v>
      </c>
      <c r="J30" s="2" t="s">
        <v>203</v>
      </c>
      <c r="K30" s="12">
        <v>1</v>
      </c>
      <c r="L30" s="15" t="s">
        <v>247</v>
      </c>
      <c r="M30" s="13"/>
      <c r="N30" s="12">
        <v>1</v>
      </c>
      <c r="O30" s="12">
        <v>2</v>
      </c>
      <c r="P30" s="20">
        <f t="shared" si="1"/>
        <v>0.33333333333333331</v>
      </c>
      <c r="Q30" s="12">
        <v>2013</v>
      </c>
      <c r="R30" s="12">
        <v>2010</v>
      </c>
      <c r="S30" s="12">
        <v>2010</v>
      </c>
      <c r="T30" s="12" t="s">
        <v>51</v>
      </c>
      <c r="U30" s="12">
        <v>0.05</v>
      </c>
      <c r="V30" s="12">
        <v>0.91</v>
      </c>
      <c r="W30" s="12">
        <v>0.85299999999999998</v>
      </c>
      <c r="X30" s="12">
        <v>52869.044289158664</v>
      </c>
      <c r="Y30" s="4">
        <v>0.115</v>
      </c>
      <c r="Z30" s="12">
        <v>0</v>
      </c>
      <c r="AA30" s="12">
        <v>0</v>
      </c>
      <c r="AB30" s="12" t="s">
        <v>207</v>
      </c>
      <c r="AC30" s="34" t="s">
        <v>239</v>
      </c>
      <c r="AD30" s="40">
        <v>0.92200000000000004</v>
      </c>
      <c r="AE30" s="40">
        <v>7.7999999999999958E-2</v>
      </c>
      <c r="AF30" s="10">
        <v>1</v>
      </c>
      <c r="AG30" s="4">
        <f t="shared" si="2"/>
        <v>1</v>
      </c>
      <c r="AH30" s="3">
        <f t="shared" si="3"/>
        <v>1</v>
      </c>
      <c r="AI30" s="4">
        <f t="shared" si="4"/>
        <v>1</v>
      </c>
      <c r="AJ30" s="4">
        <f t="shared" si="5"/>
        <v>1</v>
      </c>
      <c r="AK30" s="4">
        <f t="shared" si="6"/>
        <v>1</v>
      </c>
      <c r="AL30" s="4">
        <f t="shared" si="7"/>
        <v>1</v>
      </c>
      <c r="AM30" s="4">
        <f t="shared" si="8"/>
        <v>1</v>
      </c>
      <c r="AN30" s="4">
        <v>0</v>
      </c>
      <c r="AO30" s="4">
        <v>0</v>
      </c>
      <c r="AP30" s="12" t="s">
        <v>61</v>
      </c>
      <c r="AQ30" s="12" t="s">
        <v>64</v>
      </c>
      <c r="AR30" s="12">
        <v>1</v>
      </c>
      <c r="AS30" s="12" t="s">
        <v>239</v>
      </c>
      <c r="AT30" s="11">
        <f>(20.8/100*48+10.9/100*55)/(48+55)</f>
        <v>0.15513592233009713</v>
      </c>
      <c r="AU30" s="4">
        <f>48+55</f>
        <v>103</v>
      </c>
      <c r="AV30" s="11">
        <f>(15.1/100*53+15.1/100*53)/(53+53)</f>
        <v>0.151</v>
      </c>
      <c r="AW30" s="4">
        <f>53+53</f>
        <v>106</v>
      </c>
      <c r="AX30" s="10">
        <f t="shared" si="15"/>
        <v>15.979000000000005</v>
      </c>
      <c r="AY30" s="10">
        <f t="shared" si="16"/>
        <v>87.021000000000001</v>
      </c>
      <c r="AZ30" s="10">
        <f t="shared" si="17"/>
        <v>16.006</v>
      </c>
      <c r="BA30" s="10">
        <f t="shared" si="18"/>
        <v>89.994</v>
      </c>
      <c r="BB30" s="4">
        <f t="shared" si="9"/>
        <v>209</v>
      </c>
    </row>
    <row r="31" spans="1:54" s="1" customFormat="1" x14ac:dyDescent="0.25">
      <c r="A31" s="9" t="str">
        <f t="shared" si="14"/>
        <v>10G</v>
      </c>
      <c r="B31" s="4">
        <v>10</v>
      </c>
      <c r="C31" s="4">
        <v>1</v>
      </c>
      <c r="D31" s="4" t="s">
        <v>117</v>
      </c>
      <c r="E31" s="4">
        <v>0</v>
      </c>
      <c r="F31" s="4">
        <v>1</v>
      </c>
      <c r="G31" s="4">
        <v>0</v>
      </c>
      <c r="H31" s="15" t="s">
        <v>245</v>
      </c>
      <c r="I31" s="15" t="s">
        <v>246</v>
      </c>
      <c r="J31" s="2" t="s">
        <v>203</v>
      </c>
      <c r="K31" s="12">
        <v>1</v>
      </c>
      <c r="L31" s="15" t="s">
        <v>247</v>
      </c>
      <c r="M31" s="13"/>
      <c r="N31" s="12">
        <v>1</v>
      </c>
      <c r="O31" s="12">
        <v>2</v>
      </c>
      <c r="P31" s="20">
        <f t="shared" si="1"/>
        <v>0.33333333333333331</v>
      </c>
      <c r="Q31" s="12">
        <v>2013</v>
      </c>
      <c r="R31" s="12">
        <v>2010</v>
      </c>
      <c r="S31" s="12">
        <v>2010</v>
      </c>
      <c r="T31" s="12" t="s">
        <v>51</v>
      </c>
      <c r="U31" s="12">
        <v>0.05</v>
      </c>
      <c r="V31" s="12">
        <v>0.91</v>
      </c>
      <c r="W31" s="12">
        <v>0.85299999999999998</v>
      </c>
      <c r="X31" s="12">
        <v>52869.044289158664</v>
      </c>
      <c r="Y31" s="4">
        <v>0.115</v>
      </c>
      <c r="Z31" s="12">
        <v>0</v>
      </c>
      <c r="AA31" s="12">
        <v>0</v>
      </c>
      <c r="AB31" s="12" t="s">
        <v>207</v>
      </c>
      <c r="AC31" s="34" t="s">
        <v>240</v>
      </c>
      <c r="AD31" s="40">
        <v>0.223</v>
      </c>
      <c r="AE31" s="40">
        <v>0.77700000000000002</v>
      </c>
      <c r="AF31" s="10">
        <v>0</v>
      </c>
      <c r="AG31" s="4">
        <f t="shared" si="2"/>
        <v>0</v>
      </c>
      <c r="AH31" s="3">
        <f t="shared" si="3"/>
        <v>0</v>
      </c>
      <c r="AI31" s="4">
        <f t="shared" si="4"/>
        <v>0</v>
      </c>
      <c r="AJ31" s="4">
        <f t="shared" si="5"/>
        <v>0</v>
      </c>
      <c r="AK31" s="4">
        <f t="shared" si="6"/>
        <v>0</v>
      </c>
      <c r="AL31" s="4">
        <f t="shared" si="7"/>
        <v>0</v>
      </c>
      <c r="AM31" s="4">
        <f t="shared" si="8"/>
        <v>0</v>
      </c>
      <c r="AN31" s="4">
        <v>0</v>
      </c>
      <c r="AO31" s="4">
        <v>0</v>
      </c>
      <c r="AP31" s="12" t="s">
        <v>61</v>
      </c>
      <c r="AQ31" s="12" t="s">
        <v>64</v>
      </c>
      <c r="AR31" s="12">
        <v>1</v>
      </c>
      <c r="AS31" s="12" t="s">
        <v>240</v>
      </c>
      <c r="AT31" s="11">
        <f>(17.8/100*135+8/100*113)/(135+113)</f>
        <v>0.1333467741935484</v>
      </c>
      <c r="AU31" s="4">
        <f>135+113</f>
        <v>248</v>
      </c>
      <c r="AV31" s="11">
        <f>(11.3/100*124+11.1/100*108)/(124+108)</f>
        <v>0.11206896551724138</v>
      </c>
      <c r="AW31" s="4">
        <f>124+108</f>
        <v>232</v>
      </c>
      <c r="AX31" s="10">
        <f t="shared" si="15"/>
        <v>33.07</v>
      </c>
      <c r="AY31" s="10">
        <f t="shared" si="16"/>
        <v>214.93</v>
      </c>
      <c r="AZ31" s="10">
        <f t="shared" si="17"/>
        <v>26</v>
      </c>
      <c r="BA31" s="10">
        <f t="shared" si="18"/>
        <v>206</v>
      </c>
      <c r="BB31" s="4">
        <f t="shared" si="9"/>
        <v>480</v>
      </c>
    </row>
    <row r="32" spans="1:54" s="1" customFormat="1" x14ac:dyDescent="0.25">
      <c r="A32" s="9" t="str">
        <f t="shared" si="14"/>
        <v>10H</v>
      </c>
      <c r="B32" s="4">
        <v>10</v>
      </c>
      <c r="C32" s="4">
        <v>1</v>
      </c>
      <c r="D32" s="4" t="s">
        <v>118</v>
      </c>
      <c r="E32" s="4">
        <v>0</v>
      </c>
      <c r="F32" s="4">
        <v>1</v>
      </c>
      <c r="G32" s="4">
        <v>0</v>
      </c>
      <c r="H32" s="15" t="s">
        <v>245</v>
      </c>
      <c r="I32" s="15" t="s">
        <v>246</v>
      </c>
      <c r="J32" s="2" t="s">
        <v>203</v>
      </c>
      <c r="K32" s="12">
        <v>1</v>
      </c>
      <c r="L32" s="15" t="s">
        <v>247</v>
      </c>
      <c r="M32" s="13"/>
      <c r="N32" s="12">
        <v>1</v>
      </c>
      <c r="O32" s="12">
        <v>2</v>
      </c>
      <c r="P32" s="20">
        <f t="shared" si="1"/>
        <v>0.33333333333333331</v>
      </c>
      <c r="Q32" s="12">
        <v>2013</v>
      </c>
      <c r="R32" s="12">
        <v>2010</v>
      </c>
      <c r="S32" s="12">
        <v>2010</v>
      </c>
      <c r="T32" s="12" t="s">
        <v>51</v>
      </c>
      <c r="U32" s="12">
        <v>0.05</v>
      </c>
      <c r="V32" s="12">
        <v>0.91</v>
      </c>
      <c r="W32" s="12">
        <v>0.85299999999999998</v>
      </c>
      <c r="X32" s="12">
        <v>52869.044289158664</v>
      </c>
      <c r="Y32" s="4">
        <v>0.115</v>
      </c>
      <c r="Z32" s="12">
        <v>0</v>
      </c>
      <c r="AA32" s="12">
        <v>0</v>
      </c>
      <c r="AB32" s="12" t="s">
        <v>207</v>
      </c>
      <c r="AC32" s="34" t="s">
        <v>241</v>
      </c>
      <c r="AD32" s="40">
        <v>0.27500000000000002</v>
      </c>
      <c r="AE32" s="40">
        <v>0.72499999999999998</v>
      </c>
      <c r="AF32" s="10">
        <v>2</v>
      </c>
      <c r="AG32" s="4">
        <f t="shared" si="2"/>
        <v>1</v>
      </c>
      <c r="AH32" s="3">
        <f t="shared" si="3"/>
        <v>0</v>
      </c>
      <c r="AI32" s="4">
        <f t="shared" si="4"/>
        <v>0</v>
      </c>
      <c r="AJ32" s="4">
        <f t="shared" si="5"/>
        <v>0</v>
      </c>
      <c r="AK32" s="4">
        <f t="shared" si="6"/>
        <v>0</v>
      </c>
      <c r="AL32" s="4">
        <f t="shared" si="7"/>
        <v>0</v>
      </c>
      <c r="AM32" s="4">
        <f t="shared" si="8"/>
        <v>0</v>
      </c>
      <c r="AN32" s="4">
        <v>0</v>
      </c>
      <c r="AO32" s="4">
        <v>0</v>
      </c>
      <c r="AP32" s="12" t="s">
        <v>61</v>
      </c>
      <c r="AQ32" s="12" t="s">
        <v>64</v>
      </c>
      <c r="AR32" s="12">
        <v>1</v>
      </c>
      <c r="AS32" s="12" t="s">
        <v>241</v>
      </c>
      <c r="AT32" s="11">
        <f>(35.7/100*137+27.9/100*136)/(137+136)</f>
        <v>0.31814285714285717</v>
      </c>
      <c r="AU32" s="4">
        <f>137+136</f>
        <v>273</v>
      </c>
      <c r="AV32" s="11">
        <f>(25.4/100*134+17.8/100*135)/(134+135)</f>
        <v>0.21585873605947956</v>
      </c>
      <c r="AW32" s="4">
        <f>134+135</f>
        <v>269</v>
      </c>
      <c r="AX32" s="10">
        <f t="shared" si="15"/>
        <v>86.853000000000009</v>
      </c>
      <c r="AY32" s="10">
        <f t="shared" si="16"/>
        <v>186.14699999999999</v>
      </c>
      <c r="AZ32" s="10">
        <f t="shared" si="17"/>
        <v>58.066000000000003</v>
      </c>
      <c r="BA32" s="10">
        <f t="shared" si="18"/>
        <v>210.934</v>
      </c>
      <c r="BB32" s="4">
        <f t="shared" si="9"/>
        <v>542</v>
      </c>
    </row>
    <row r="33" spans="1:54" s="1" customFormat="1" x14ac:dyDescent="0.25">
      <c r="A33" s="9" t="str">
        <f t="shared" si="14"/>
        <v>10I</v>
      </c>
      <c r="B33" s="4">
        <v>10</v>
      </c>
      <c r="C33" s="4">
        <v>1</v>
      </c>
      <c r="D33" s="4" t="s">
        <v>119</v>
      </c>
      <c r="E33" s="4">
        <v>0</v>
      </c>
      <c r="F33" s="4">
        <v>1</v>
      </c>
      <c r="G33" s="4">
        <v>0</v>
      </c>
      <c r="H33" s="15" t="s">
        <v>245</v>
      </c>
      <c r="I33" s="15" t="s">
        <v>246</v>
      </c>
      <c r="J33" s="2" t="s">
        <v>203</v>
      </c>
      <c r="K33" s="12">
        <v>1</v>
      </c>
      <c r="L33" s="15" t="s">
        <v>247</v>
      </c>
      <c r="M33" s="13"/>
      <c r="N33" s="12">
        <v>1</v>
      </c>
      <c r="O33" s="12">
        <v>2</v>
      </c>
      <c r="P33" s="20">
        <f t="shared" si="1"/>
        <v>0.33333333333333331</v>
      </c>
      <c r="Q33" s="12">
        <v>2013</v>
      </c>
      <c r="R33" s="12">
        <v>2010</v>
      </c>
      <c r="S33" s="12">
        <v>2010</v>
      </c>
      <c r="T33" s="12" t="s">
        <v>51</v>
      </c>
      <c r="U33" s="12">
        <v>0.05</v>
      </c>
      <c r="V33" s="12">
        <v>0.91</v>
      </c>
      <c r="W33" s="12">
        <v>0.85299999999999998</v>
      </c>
      <c r="X33" s="12">
        <v>52869.044289158664</v>
      </c>
      <c r="Y33" s="4">
        <v>0.115</v>
      </c>
      <c r="Z33" s="12">
        <v>0</v>
      </c>
      <c r="AA33" s="12">
        <v>0</v>
      </c>
      <c r="AB33" s="12" t="s">
        <v>207</v>
      </c>
      <c r="AC33" s="34" t="s">
        <v>242</v>
      </c>
      <c r="AD33" s="40">
        <v>0.71399999999999997</v>
      </c>
      <c r="AE33" s="40">
        <v>0.28600000000000003</v>
      </c>
      <c r="AF33" s="10">
        <v>2</v>
      </c>
      <c r="AG33" s="4">
        <f t="shared" si="2"/>
        <v>1</v>
      </c>
      <c r="AH33" s="3">
        <f t="shared" si="3"/>
        <v>1</v>
      </c>
      <c r="AI33" s="4">
        <f t="shared" si="4"/>
        <v>1</v>
      </c>
      <c r="AJ33" s="4">
        <f t="shared" si="5"/>
        <v>1</v>
      </c>
      <c r="AK33" s="4">
        <f t="shared" si="6"/>
        <v>1</v>
      </c>
      <c r="AL33" s="4">
        <f t="shared" si="7"/>
        <v>1</v>
      </c>
      <c r="AM33" s="4">
        <f t="shared" si="8"/>
        <v>1</v>
      </c>
      <c r="AN33" s="4">
        <v>0</v>
      </c>
      <c r="AO33" s="4">
        <v>0</v>
      </c>
      <c r="AP33" s="12" t="s">
        <v>61</v>
      </c>
      <c r="AQ33" s="12" t="s">
        <v>64</v>
      </c>
      <c r="AR33" s="12">
        <v>1</v>
      </c>
      <c r="AS33" s="12" t="s">
        <v>242</v>
      </c>
      <c r="AT33" s="11">
        <f>(30.1/100*123+29.7/100*128)/(123+128)</f>
        <v>0.29896015936254977</v>
      </c>
      <c r="AU33" s="4">
        <f>123+128</f>
        <v>251</v>
      </c>
      <c r="AV33" s="11">
        <f>(34.4/100*122+25.2/100*115)/(122+115)</f>
        <v>0.29935864978902949</v>
      </c>
      <c r="AW33" s="4">
        <f>122+115</f>
        <v>237</v>
      </c>
      <c r="AX33" s="10">
        <f t="shared" si="15"/>
        <v>75.038999999999987</v>
      </c>
      <c r="AY33" s="10">
        <f t="shared" si="16"/>
        <v>175.96100000000001</v>
      </c>
      <c r="AZ33" s="10">
        <f t="shared" si="17"/>
        <v>70.947999999999993</v>
      </c>
      <c r="BA33" s="10">
        <f t="shared" si="18"/>
        <v>166.05200000000002</v>
      </c>
      <c r="BB33" s="4">
        <f t="shared" si="9"/>
        <v>488</v>
      </c>
    </row>
    <row r="34" spans="1:54" s="1" customFormat="1" x14ac:dyDescent="0.25">
      <c r="A34" s="9" t="str">
        <f t="shared" si="14"/>
        <v>10J</v>
      </c>
      <c r="B34" s="4">
        <v>10</v>
      </c>
      <c r="C34" s="4">
        <v>1</v>
      </c>
      <c r="D34" s="4" t="s">
        <v>169</v>
      </c>
      <c r="E34" s="4">
        <v>0</v>
      </c>
      <c r="F34" s="4">
        <v>1</v>
      </c>
      <c r="G34" s="4">
        <v>0</v>
      </c>
      <c r="H34" s="15" t="s">
        <v>245</v>
      </c>
      <c r="I34" s="15" t="s">
        <v>246</v>
      </c>
      <c r="J34" s="2" t="s">
        <v>203</v>
      </c>
      <c r="K34" s="12">
        <v>1</v>
      </c>
      <c r="L34" s="15" t="s">
        <v>247</v>
      </c>
      <c r="M34" s="13"/>
      <c r="N34" s="12">
        <v>1</v>
      </c>
      <c r="O34" s="12">
        <v>2</v>
      </c>
      <c r="P34" s="20">
        <f t="shared" si="1"/>
        <v>0.33333333333333331</v>
      </c>
      <c r="Q34" s="12">
        <v>2013</v>
      </c>
      <c r="R34" s="12">
        <v>2010</v>
      </c>
      <c r="S34" s="12">
        <v>2010</v>
      </c>
      <c r="T34" s="12" t="s">
        <v>51</v>
      </c>
      <c r="U34" s="12">
        <v>0.05</v>
      </c>
      <c r="V34" s="12">
        <v>0.91</v>
      </c>
      <c r="W34" s="12">
        <v>0.85299999999999998</v>
      </c>
      <c r="X34" s="12">
        <v>52869.044289158664</v>
      </c>
      <c r="Y34" s="4">
        <v>0.115</v>
      </c>
      <c r="Z34" s="12">
        <v>0</v>
      </c>
      <c r="AA34" s="12">
        <v>0</v>
      </c>
      <c r="AB34" s="12" t="s">
        <v>207</v>
      </c>
      <c r="AC34" s="34" t="s">
        <v>243</v>
      </c>
      <c r="AD34" s="40">
        <v>0.10100000000000001</v>
      </c>
      <c r="AE34" s="40">
        <v>0.89900000000000002</v>
      </c>
      <c r="AF34" s="10">
        <v>0</v>
      </c>
      <c r="AG34" s="4">
        <f t="shared" si="2"/>
        <v>0</v>
      </c>
      <c r="AH34" s="3">
        <f t="shared" si="3"/>
        <v>0</v>
      </c>
      <c r="AI34" s="4">
        <f t="shared" si="4"/>
        <v>0</v>
      </c>
      <c r="AJ34" s="4">
        <f t="shared" si="5"/>
        <v>0</v>
      </c>
      <c r="AK34" s="4">
        <f t="shared" si="6"/>
        <v>0</v>
      </c>
      <c r="AL34" s="4">
        <f t="shared" si="7"/>
        <v>0</v>
      </c>
      <c r="AM34" s="4">
        <f t="shared" si="8"/>
        <v>0</v>
      </c>
      <c r="AN34" s="4">
        <v>0</v>
      </c>
      <c r="AO34" s="4">
        <v>1</v>
      </c>
      <c r="AP34" s="12" t="s">
        <v>61</v>
      </c>
      <c r="AQ34" s="12" t="s">
        <v>64</v>
      </c>
      <c r="AR34" s="12">
        <v>1</v>
      </c>
      <c r="AS34" s="12" t="s">
        <v>243</v>
      </c>
      <c r="AT34" s="11">
        <f>(42.6/100*47+46.8/100*47)/(47+47)</f>
        <v>0.44700000000000001</v>
      </c>
      <c r="AU34" s="4">
        <f>47+47</f>
        <v>94</v>
      </c>
      <c r="AV34" s="11">
        <f>(36.6/100*41+41.2/100*51)/(41+51)</f>
        <v>0.39150000000000001</v>
      </c>
      <c r="AW34" s="4">
        <f>41+51</f>
        <v>92</v>
      </c>
      <c r="AX34" s="10">
        <f t="shared" si="15"/>
        <v>42.018000000000001</v>
      </c>
      <c r="AY34" s="10">
        <f t="shared" si="16"/>
        <v>51.981999999999999</v>
      </c>
      <c r="AZ34" s="10">
        <f t="shared" si="17"/>
        <v>36.018000000000001</v>
      </c>
      <c r="BA34" s="10">
        <f t="shared" si="18"/>
        <v>55.981999999999999</v>
      </c>
      <c r="BB34" s="4">
        <f t="shared" si="9"/>
        <v>186</v>
      </c>
    </row>
    <row r="35" spans="1:54" s="1" customFormat="1" x14ac:dyDescent="0.25">
      <c r="A35" s="9" t="str">
        <f t="shared" si="14"/>
        <v>10K</v>
      </c>
      <c r="B35" s="4">
        <v>10</v>
      </c>
      <c r="C35" s="4">
        <v>1</v>
      </c>
      <c r="D35" s="4" t="s">
        <v>188</v>
      </c>
      <c r="E35" s="4">
        <v>0</v>
      </c>
      <c r="F35" s="4">
        <v>1</v>
      </c>
      <c r="G35" s="4">
        <v>0</v>
      </c>
      <c r="H35" s="15" t="s">
        <v>245</v>
      </c>
      <c r="I35" s="15" t="s">
        <v>246</v>
      </c>
      <c r="J35" s="2" t="s">
        <v>203</v>
      </c>
      <c r="K35" s="12">
        <v>1</v>
      </c>
      <c r="L35" s="15" t="s">
        <v>247</v>
      </c>
      <c r="M35" s="13"/>
      <c r="N35" s="12">
        <v>1</v>
      </c>
      <c r="O35" s="12">
        <v>2</v>
      </c>
      <c r="P35" s="20">
        <f t="shared" si="1"/>
        <v>0.33333333333333331</v>
      </c>
      <c r="Q35" s="12">
        <v>2013</v>
      </c>
      <c r="R35" s="12">
        <v>2010</v>
      </c>
      <c r="S35" s="12">
        <v>2010</v>
      </c>
      <c r="T35" s="12" t="s">
        <v>51</v>
      </c>
      <c r="U35" s="12">
        <v>0.05</v>
      </c>
      <c r="V35" s="12">
        <v>0.91</v>
      </c>
      <c r="W35" s="12">
        <v>0.85299999999999998</v>
      </c>
      <c r="X35" s="12">
        <v>52869.044289158664</v>
      </c>
      <c r="Y35" s="4">
        <v>0.115</v>
      </c>
      <c r="Z35" s="12">
        <v>0</v>
      </c>
      <c r="AA35" s="12">
        <v>0</v>
      </c>
      <c r="AB35" s="12" t="s">
        <v>207</v>
      </c>
      <c r="AC35" s="34" t="s">
        <v>244</v>
      </c>
      <c r="AD35" s="40">
        <v>0.96899999999999997</v>
      </c>
      <c r="AE35" s="40">
        <v>3.1000000000000028E-2</v>
      </c>
      <c r="AF35" s="10">
        <v>1</v>
      </c>
      <c r="AG35" s="4">
        <f t="shared" si="2"/>
        <v>1</v>
      </c>
      <c r="AH35" s="3">
        <f t="shared" si="3"/>
        <v>1</v>
      </c>
      <c r="AI35" s="4">
        <f t="shared" si="4"/>
        <v>1</v>
      </c>
      <c r="AJ35" s="4">
        <f t="shared" si="5"/>
        <v>1</v>
      </c>
      <c r="AK35" s="4">
        <f t="shared" si="6"/>
        <v>1</v>
      </c>
      <c r="AL35" s="4">
        <f t="shared" si="7"/>
        <v>1</v>
      </c>
      <c r="AM35" s="4">
        <f t="shared" si="8"/>
        <v>1</v>
      </c>
      <c r="AN35" s="4">
        <v>1</v>
      </c>
      <c r="AO35" s="4">
        <v>0</v>
      </c>
      <c r="AP35" s="12" t="s">
        <v>61</v>
      </c>
      <c r="AQ35" s="12" t="s">
        <v>64</v>
      </c>
      <c r="AR35" s="12">
        <v>1</v>
      </c>
      <c r="AS35" s="12" t="s">
        <v>244</v>
      </c>
      <c r="AT35" s="11">
        <f>(13.4/100*67+13.9/100*72)/(67+72)</f>
        <v>0.13658992805755396</v>
      </c>
      <c r="AU35" s="4">
        <f>67+72</f>
        <v>139</v>
      </c>
      <c r="AV35" s="11">
        <f>(21.5/100*65+9.5/100*63)/(65+63)</f>
        <v>0.15593750000000001</v>
      </c>
      <c r="AW35" s="4">
        <f>65+63</f>
        <v>128</v>
      </c>
      <c r="AX35" s="10">
        <f t="shared" si="15"/>
        <v>18.986000000000001</v>
      </c>
      <c r="AY35" s="10">
        <f t="shared" si="16"/>
        <v>120.014</v>
      </c>
      <c r="AZ35" s="10">
        <f t="shared" si="17"/>
        <v>19.96</v>
      </c>
      <c r="BA35" s="10">
        <f t="shared" si="18"/>
        <v>108.03999999999999</v>
      </c>
      <c r="BB35" s="4">
        <f t="shared" si="9"/>
        <v>267</v>
      </c>
    </row>
    <row r="36" spans="1:54" s="23" customFormat="1" x14ac:dyDescent="0.25">
      <c r="A36" s="9" t="str">
        <f t="shared" si="14"/>
        <v>11A</v>
      </c>
      <c r="B36" s="4">
        <v>11</v>
      </c>
      <c r="C36" s="3">
        <v>1</v>
      </c>
      <c r="D36" s="3" t="s">
        <v>65</v>
      </c>
      <c r="E36" s="3">
        <v>1</v>
      </c>
      <c r="F36" s="3">
        <v>0</v>
      </c>
      <c r="G36" s="3">
        <v>0</v>
      </c>
      <c r="H36" s="1" t="s">
        <v>178</v>
      </c>
      <c r="I36" s="1" t="s">
        <v>179</v>
      </c>
      <c r="J36" s="1" t="s">
        <v>229</v>
      </c>
      <c r="K36" s="3">
        <v>1</v>
      </c>
      <c r="L36" s="1" t="s">
        <v>249</v>
      </c>
      <c r="M36" s="1" t="s">
        <v>475</v>
      </c>
      <c r="N36" s="3">
        <v>1</v>
      </c>
      <c r="O36" s="3">
        <v>0</v>
      </c>
      <c r="P36" s="19">
        <f t="shared" si="1"/>
        <v>1</v>
      </c>
      <c r="Q36" s="3">
        <v>2004</v>
      </c>
      <c r="R36" s="3">
        <v>1998</v>
      </c>
      <c r="S36" s="3">
        <v>1999</v>
      </c>
      <c r="T36" s="3" t="s">
        <v>177</v>
      </c>
      <c r="U36" s="3">
        <v>0.15</v>
      </c>
      <c r="V36" s="3">
        <v>0.871</v>
      </c>
      <c r="W36" s="3">
        <v>0.72699999999999998</v>
      </c>
      <c r="X36" s="3">
        <v>27183.475900000001</v>
      </c>
      <c r="Y36" s="3"/>
      <c r="Z36" s="3">
        <v>1</v>
      </c>
      <c r="AA36" s="3">
        <v>0</v>
      </c>
      <c r="AB36" s="3" t="s">
        <v>207</v>
      </c>
      <c r="AC36" s="7" t="s">
        <v>61</v>
      </c>
      <c r="AD36" s="3"/>
      <c r="AE36" s="3"/>
      <c r="AF36" s="10">
        <v>2</v>
      </c>
      <c r="AG36" s="4">
        <f t="shared" si="2"/>
        <v>1</v>
      </c>
      <c r="AH36" s="3">
        <f t="shared" si="3"/>
        <v>2</v>
      </c>
      <c r="AI36" s="4">
        <f t="shared" si="4"/>
        <v>1</v>
      </c>
      <c r="AJ36" s="4">
        <f t="shared" si="5"/>
        <v>2</v>
      </c>
      <c r="AK36" s="4">
        <f t="shared" si="6"/>
        <v>1</v>
      </c>
      <c r="AL36" s="4">
        <f t="shared" si="7"/>
        <v>2</v>
      </c>
      <c r="AM36" s="4">
        <f t="shared" si="8"/>
        <v>1</v>
      </c>
      <c r="AN36" s="4">
        <v>0</v>
      </c>
      <c r="AO36" s="4">
        <v>0</v>
      </c>
      <c r="AP36" s="3" t="s">
        <v>61</v>
      </c>
      <c r="AQ36" s="3" t="s">
        <v>63</v>
      </c>
      <c r="AR36" s="14">
        <v>0</v>
      </c>
      <c r="AS36" s="14" t="s">
        <v>62</v>
      </c>
      <c r="AT36" s="16">
        <f>AX36/AU36</f>
        <v>0.54719077568134167</v>
      </c>
      <c r="AU36" s="8">
        <f>SUM(AU37:AU40)</f>
        <v>954</v>
      </c>
      <c r="AV36" s="16">
        <f>AZ36/AW36</f>
        <v>0.50501048218029343</v>
      </c>
      <c r="AW36" s="8">
        <f>SUM(AW37:AW40)</f>
        <v>477</v>
      </c>
      <c r="AX36" s="8">
        <f>SUM(AX37:AX40)</f>
        <v>522.02</v>
      </c>
      <c r="AY36" s="8">
        <f>SUM(AY37:AY40)</f>
        <v>431.97999999999996</v>
      </c>
      <c r="AZ36" s="8">
        <f>SUM(AZ37:AZ40)</f>
        <v>240.89</v>
      </c>
      <c r="BA36" s="8">
        <f>SUM(BA37:BA40)</f>
        <v>236.11</v>
      </c>
      <c r="BB36" s="3">
        <f t="shared" si="9"/>
        <v>1431</v>
      </c>
    </row>
    <row r="37" spans="1:54" s="1" customFormat="1" x14ac:dyDescent="0.25">
      <c r="A37" s="9" t="str">
        <f t="shared" si="14"/>
        <v>11B</v>
      </c>
      <c r="B37" s="4">
        <v>11</v>
      </c>
      <c r="C37" s="4">
        <v>1</v>
      </c>
      <c r="D37" s="4" t="s">
        <v>66</v>
      </c>
      <c r="E37" s="4">
        <v>0</v>
      </c>
      <c r="F37" s="4">
        <v>1</v>
      </c>
      <c r="G37" s="4">
        <v>0</v>
      </c>
      <c r="H37" s="2" t="s">
        <v>178</v>
      </c>
      <c r="I37" s="2" t="s">
        <v>179</v>
      </c>
      <c r="J37" s="2" t="s">
        <v>229</v>
      </c>
      <c r="K37" s="4">
        <v>1</v>
      </c>
      <c r="L37" s="2" t="s">
        <v>249</v>
      </c>
      <c r="N37" s="4">
        <v>1</v>
      </c>
      <c r="O37" s="4">
        <v>0</v>
      </c>
      <c r="P37" s="20">
        <f t="shared" si="1"/>
        <v>1</v>
      </c>
      <c r="Q37" s="4">
        <v>2004</v>
      </c>
      <c r="R37" s="4">
        <v>1998</v>
      </c>
      <c r="S37" s="4">
        <v>1999</v>
      </c>
      <c r="T37" s="4" t="s">
        <v>177</v>
      </c>
      <c r="U37" s="4">
        <v>0.15</v>
      </c>
      <c r="V37" s="4">
        <v>0.871</v>
      </c>
      <c r="W37" s="4">
        <v>0.72699999999999998</v>
      </c>
      <c r="X37" s="4">
        <v>27183.475900000001</v>
      </c>
      <c r="Y37" s="4"/>
      <c r="Z37" s="4">
        <v>1</v>
      </c>
      <c r="AA37" s="4">
        <v>0</v>
      </c>
      <c r="AB37" s="4" t="s">
        <v>207</v>
      </c>
      <c r="AC37" s="34" t="s">
        <v>248</v>
      </c>
      <c r="AD37" s="40">
        <v>0.91200000000000003</v>
      </c>
      <c r="AE37" s="40">
        <v>8.7999999999999995E-2</v>
      </c>
      <c r="AF37" s="10">
        <v>1</v>
      </c>
      <c r="AG37" s="4">
        <f t="shared" si="2"/>
        <v>1</v>
      </c>
      <c r="AH37" s="3">
        <f t="shared" si="3"/>
        <v>1</v>
      </c>
      <c r="AI37" s="4">
        <f t="shared" si="4"/>
        <v>1</v>
      </c>
      <c r="AJ37" s="4">
        <f t="shared" si="5"/>
        <v>1</v>
      </c>
      <c r="AK37" s="4">
        <f t="shared" si="6"/>
        <v>1</v>
      </c>
      <c r="AL37" s="4">
        <f t="shared" si="7"/>
        <v>1</v>
      </c>
      <c r="AM37" s="4">
        <f t="shared" si="8"/>
        <v>1</v>
      </c>
      <c r="AN37" s="4">
        <v>0</v>
      </c>
      <c r="AO37" s="4">
        <v>0</v>
      </c>
      <c r="AP37" s="4" t="s">
        <v>61</v>
      </c>
      <c r="AQ37" s="4" t="s">
        <v>63</v>
      </c>
      <c r="AR37" s="12">
        <v>0</v>
      </c>
      <c r="AS37" s="12" t="s">
        <v>248</v>
      </c>
      <c r="AT37" s="11">
        <f>(0.63+0.58)/2</f>
        <v>0.60499999999999998</v>
      </c>
      <c r="AU37" s="10">
        <f>117*2</f>
        <v>234</v>
      </c>
      <c r="AV37" s="11">
        <v>0.73</v>
      </c>
      <c r="AW37" s="10">
        <v>117</v>
      </c>
      <c r="AX37" s="10">
        <f>AT37*AU37</f>
        <v>141.57</v>
      </c>
      <c r="AY37" s="10">
        <f>AU37-AX37</f>
        <v>92.43</v>
      </c>
      <c r="AZ37" s="10">
        <f>AV37*AW37</f>
        <v>85.41</v>
      </c>
      <c r="BA37" s="10">
        <f>AW37-AZ37</f>
        <v>31.590000000000003</v>
      </c>
      <c r="BB37" s="4">
        <f t="shared" si="9"/>
        <v>351</v>
      </c>
    </row>
    <row r="38" spans="1:54" s="1" customFormat="1" x14ac:dyDescent="0.25">
      <c r="A38" s="9" t="str">
        <f t="shared" si="14"/>
        <v>11C</v>
      </c>
      <c r="B38" s="4">
        <v>11</v>
      </c>
      <c r="C38" s="4">
        <v>1</v>
      </c>
      <c r="D38" s="4" t="s">
        <v>67</v>
      </c>
      <c r="E38" s="4">
        <v>0</v>
      </c>
      <c r="F38" s="4">
        <v>1</v>
      </c>
      <c r="G38" s="4">
        <v>0</v>
      </c>
      <c r="H38" s="2" t="s">
        <v>178</v>
      </c>
      <c r="I38" s="2" t="s">
        <v>179</v>
      </c>
      <c r="J38" s="2" t="s">
        <v>229</v>
      </c>
      <c r="K38" s="4">
        <v>1</v>
      </c>
      <c r="L38" s="2" t="s">
        <v>249</v>
      </c>
      <c r="N38" s="4">
        <v>1</v>
      </c>
      <c r="O38" s="4">
        <v>0</v>
      </c>
      <c r="P38" s="20">
        <f t="shared" si="1"/>
        <v>1</v>
      </c>
      <c r="Q38" s="4">
        <v>2004</v>
      </c>
      <c r="R38" s="4">
        <v>1998</v>
      </c>
      <c r="S38" s="4">
        <v>1999</v>
      </c>
      <c r="T38" s="4" t="s">
        <v>177</v>
      </c>
      <c r="U38" s="4">
        <v>0.15</v>
      </c>
      <c r="V38" s="4">
        <v>0.871</v>
      </c>
      <c r="W38" s="4">
        <v>0.72699999999999998</v>
      </c>
      <c r="X38" s="4">
        <v>27183.475900000001</v>
      </c>
      <c r="Y38" s="4"/>
      <c r="Z38" s="4">
        <v>1</v>
      </c>
      <c r="AA38" s="4">
        <v>0</v>
      </c>
      <c r="AB38" s="4" t="s">
        <v>207</v>
      </c>
      <c r="AC38" s="34" t="s">
        <v>172</v>
      </c>
      <c r="AD38" s="40">
        <v>0.91200000000000003</v>
      </c>
      <c r="AE38" s="40">
        <v>8.7999999999999995E-2</v>
      </c>
      <c r="AF38" s="10">
        <v>1</v>
      </c>
      <c r="AG38" s="4">
        <f t="shared" si="2"/>
        <v>1</v>
      </c>
      <c r="AH38" s="3">
        <f t="shared" si="3"/>
        <v>1</v>
      </c>
      <c r="AI38" s="4">
        <f t="shared" si="4"/>
        <v>1</v>
      </c>
      <c r="AJ38" s="4">
        <f t="shared" si="5"/>
        <v>1</v>
      </c>
      <c r="AK38" s="4">
        <f t="shared" si="6"/>
        <v>1</v>
      </c>
      <c r="AL38" s="4">
        <f t="shared" si="7"/>
        <v>1</v>
      </c>
      <c r="AM38" s="4">
        <f t="shared" si="8"/>
        <v>1</v>
      </c>
      <c r="AN38" s="4">
        <v>0</v>
      </c>
      <c r="AO38" s="4">
        <v>0</v>
      </c>
      <c r="AP38" s="4" t="s">
        <v>61</v>
      </c>
      <c r="AQ38" s="4" t="s">
        <v>63</v>
      </c>
      <c r="AR38" s="12">
        <v>0</v>
      </c>
      <c r="AS38" s="12" t="s">
        <v>172</v>
      </c>
      <c r="AT38" s="11">
        <f>(0.85+0.81)/2</f>
        <v>0.83000000000000007</v>
      </c>
      <c r="AU38" s="10">
        <f>88*2</f>
        <v>176</v>
      </c>
      <c r="AV38" s="11">
        <v>0.81</v>
      </c>
      <c r="AW38" s="10">
        <v>88</v>
      </c>
      <c r="AX38" s="10">
        <f>AT38*AU38</f>
        <v>146.08000000000001</v>
      </c>
      <c r="AY38" s="10">
        <f>AU38-AX38</f>
        <v>29.919999999999987</v>
      </c>
      <c r="AZ38" s="10">
        <f>AV38*AW38</f>
        <v>71.28</v>
      </c>
      <c r="BA38" s="10">
        <f>AW38-AZ38</f>
        <v>16.72</v>
      </c>
      <c r="BB38" s="4">
        <f t="shared" si="9"/>
        <v>264</v>
      </c>
    </row>
    <row r="39" spans="1:54" x14ac:dyDescent="0.25">
      <c r="A39" s="9" t="str">
        <f t="shared" si="14"/>
        <v>11D</v>
      </c>
      <c r="B39" s="4">
        <v>11</v>
      </c>
      <c r="C39" s="4">
        <v>1</v>
      </c>
      <c r="D39" s="4" t="s">
        <v>68</v>
      </c>
      <c r="E39" s="4">
        <v>0</v>
      </c>
      <c r="F39" s="4">
        <v>1</v>
      </c>
      <c r="G39" s="4">
        <v>0</v>
      </c>
      <c r="H39" s="2" t="s">
        <v>178</v>
      </c>
      <c r="I39" s="2" t="s">
        <v>179</v>
      </c>
      <c r="J39" s="2" t="s">
        <v>229</v>
      </c>
      <c r="K39" s="4">
        <v>1</v>
      </c>
      <c r="L39" s="2" t="s">
        <v>249</v>
      </c>
      <c r="M39" s="1"/>
      <c r="N39" s="4">
        <v>1</v>
      </c>
      <c r="O39" s="4">
        <v>0</v>
      </c>
      <c r="P39" s="20">
        <f t="shared" si="1"/>
        <v>1</v>
      </c>
      <c r="Q39" s="4">
        <v>2004</v>
      </c>
      <c r="R39" s="4">
        <v>1998</v>
      </c>
      <c r="S39" s="4">
        <v>1999</v>
      </c>
      <c r="T39" s="4" t="s">
        <v>177</v>
      </c>
      <c r="U39" s="4">
        <v>0.15</v>
      </c>
      <c r="V39" s="4">
        <v>0.871</v>
      </c>
      <c r="W39" s="4">
        <v>0.72699999999999998</v>
      </c>
      <c r="X39" s="4">
        <v>27183.475900000001</v>
      </c>
      <c r="Z39" s="4">
        <v>1</v>
      </c>
      <c r="AA39" s="4">
        <v>0</v>
      </c>
      <c r="AB39" s="4" t="s">
        <v>207</v>
      </c>
      <c r="AC39" s="34" t="s">
        <v>147</v>
      </c>
      <c r="AD39" s="40">
        <v>0.57499999999999996</v>
      </c>
      <c r="AE39" s="40">
        <v>0.42499999999999999</v>
      </c>
      <c r="AF39" s="10">
        <v>2</v>
      </c>
      <c r="AG39" s="4">
        <f t="shared" si="2"/>
        <v>1</v>
      </c>
      <c r="AH39" s="3">
        <f t="shared" si="3"/>
        <v>2</v>
      </c>
      <c r="AI39" s="4">
        <f t="shared" si="4"/>
        <v>1</v>
      </c>
      <c r="AJ39" s="4">
        <f t="shared" si="5"/>
        <v>2</v>
      </c>
      <c r="AK39" s="4">
        <f t="shared" si="6"/>
        <v>1</v>
      </c>
      <c r="AL39" s="4">
        <f t="shared" si="7"/>
        <v>2</v>
      </c>
      <c r="AM39" s="4">
        <f t="shared" si="8"/>
        <v>1</v>
      </c>
      <c r="AN39" s="4">
        <v>0</v>
      </c>
      <c r="AO39" s="4">
        <v>0</v>
      </c>
      <c r="AP39" s="4" t="s">
        <v>61</v>
      </c>
      <c r="AQ39" s="4" t="s">
        <v>63</v>
      </c>
      <c r="AR39" s="12">
        <v>0</v>
      </c>
      <c r="AS39" s="12" t="s">
        <v>147</v>
      </c>
      <c r="AT39" s="11">
        <f>(0.43+0.4)/2</f>
        <v>0.41500000000000004</v>
      </c>
      <c r="AU39" s="10">
        <f>149*2</f>
        <v>298</v>
      </c>
      <c r="AV39" s="11">
        <v>0.4</v>
      </c>
      <c r="AW39" s="10">
        <v>149</v>
      </c>
      <c r="AX39" s="10">
        <f>AT39*AU39</f>
        <v>123.67000000000002</v>
      </c>
      <c r="AY39" s="10">
        <f>AU39-AX39</f>
        <v>174.32999999999998</v>
      </c>
      <c r="AZ39" s="10">
        <f>AV39*AW39</f>
        <v>59.6</v>
      </c>
      <c r="BA39" s="10">
        <f>AW39-AZ39</f>
        <v>89.4</v>
      </c>
      <c r="BB39" s="4">
        <f t="shared" si="9"/>
        <v>447</v>
      </c>
    </row>
    <row r="40" spans="1:54" x14ac:dyDescent="0.25">
      <c r="A40" s="9" t="str">
        <f t="shared" si="14"/>
        <v>11E</v>
      </c>
      <c r="B40" s="4">
        <v>11</v>
      </c>
      <c r="C40" s="4">
        <v>1</v>
      </c>
      <c r="D40" s="4" t="s">
        <v>102</v>
      </c>
      <c r="E40" s="4">
        <v>0</v>
      </c>
      <c r="F40" s="4">
        <v>1</v>
      </c>
      <c r="G40" s="4">
        <v>0</v>
      </c>
      <c r="H40" s="2" t="s">
        <v>178</v>
      </c>
      <c r="I40" s="2" t="s">
        <v>179</v>
      </c>
      <c r="J40" s="2" t="s">
        <v>229</v>
      </c>
      <c r="K40" s="4">
        <v>1</v>
      </c>
      <c r="L40" s="2" t="s">
        <v>249</v>
      </c>
      <c r="M40" s="1"/>
      <c r="N40" s="4">
        <v>1</v>
      </c>
      <c r="O40" s="4">
        <v>0</v>
      </c>
      <c r="P40" s="20">
        <f t="shared" si="1"/>
        <v>1</v>
      </c>
      <c r="Q40" s="4">
        <v>2004</v>
      </c>
      <c r="R40" s="4">
        <v>1998</v>
      </c>
      <c r="S40" s="4">
        <v>1999</v>
      </c>
      <c r="T40" s="4" t="s">
        <v>177</v>
      </c>
      <c r="U40" s="4">
        <v>0.15</v>
      </c>
      <c r="V40" s="4">
        <v>0.871</v>
      </c>
      <c r="W40" s="4">
        <v>0.72699999999999998</v>
      </c>
      <c r="X40" s="4">
        <v>27183.475900000001</v>
      </c>
      <c r="Z40" s="4">
        <v>1</v>
      </c>
      <c r="AA40" s="4">
        <v>0</v>
      </c>
      <c r="AB40" s="4" t="s">
        <v>207</v>
      </c>
      <c r="AC40" s="34" t="s">
        <v>150</v>
      </c>
      <c r="AD40" s="40">
        <v>0.31499999999999995</v>
      </c>
      <c r="AE40" s="40">
        <v>0.68500000000000005</v>
      </c>
      <c r="AF40" s="10">
        <v>0</v>
      </c>
      <c r="AG40" s="4">
        <f t="shared" si="2"/>
        <v>0</v>
      </c>
      <c r="AH40" s="3">
        <f t="shared" si="3"/>
        <v>0</v>
      </c>
      <c r="AI40" s="4">
        <f t="shared" si="4"/>
        <v>0</v>
      </c>
      <c r="AJ40" s="4">
        <f t="shared" si="5"/>
        <v>0</v>
      </c>
      <c r="AK40" s="4">
        <f t="shared" si="6"/>
        <v>0</v>
      </c>
      <c r="AL40" s="4">
        <f t="shared" si="7"/>
        <v>2</v>
      </c>
      <c r="AM40" s="4">
        <f t="shared" si="8"/>
        <v>1</v>
      </c>
      <c r="AN40" s="4">
        <v>0</v>
      </c>
      <c r="AO40" s="4">
        <v>0</v>
      </c>
      <c r="AP40" s="4" t="s">
        <v>61</v>
      </c>
      <c r="AQ40" s="4" t="s">
        <v>63</v>
      </c>
      <c r="AR40" s="12">
        <v>0</v>
      </c>
      <c r="AS40" s="12" t="s">
        <v>150</v>
      </c>
      <c r="AT40" s="11">
        <f>(0.46+0.44)/2</f>
        <v>0.45</v>
      </c>
      <c r="AU40" s="10">
        <f>123*2</f>
        <v>246</v>
      </c>
      <c r="AV40" s="11">
        <v>0.2</v>
      </c>
      <c r="AW40" s="10">
        <v>123</v>
      </c>
      <c r="AX40" s="10">
        <f>AT40*AU40</f>
        <v>110.7</v>
      </c>
      <c r="AY40" s="10">
        <f>AU40-AX40</f>
        <v>135.30000000000001</v>
      </c>
      <c r="AZ40" s="10">
        <f>AV40*AW40</f>
        <v>24.6</v>
      </c>
      <c r="BA40" s="10">
        <f>AW40-AZ40</f>
        <v>98.4</v>
      </c>
      <c r="BB40" s="4">
        <f t="shared" si="9"/>
        <v>369</v>
      </c>
    </row>
    <row r="41" spans="1:54" x14ac:dyDescent="0.25">
      <c r="A41" s="9" t="str">
        <f t="shared" si="14"/>
        <v>12A</v>
      </c>
      <c r="B41" s="3">
        <v>12</v>
      </c>
      <c r="C41" s="3">
        <v>1</v>
      </c>
      <c r="D41" s="3" t="s">
        <v>65</v>
      </c>
      <c r="E41" s="3">
        <v>1</v>
      </c>
      <c r="F41" s="3">
        <v>0</v>
      </c>
      <c r="G41" s="3">
        <v>0</v>
      </c>
      <c r="H41" s="13" t="s">
        <v>261</v>
      </c>
      <c r="I41" s="13" t="s">
        <v>6</v>
      </c>
      <c r="J41" s="1" t="s">
        <v>203</v>
      </c>
      <c r="K41" s="14">
        <v>1</v>
      </c>
      <c r="L41" s="13" t="s">
        <v>260</v>
      </c>
      <c r="M41" s="1" t="s">
        <v>476</v>
      </c>
      <c r="N41" s="14">
        <v>1</v>
      </c>
      <c r="O41" s="14">
        <v>0</v>
      </c>
      <c r="P41" s="19">
        <f t="shared" si="1"/>
        <v>1</v>
      </c>
      <c r="Q41" s="25">
        <v>2007</v>
      </c>
      <c r="R41" s="14">
        <v>2002</v>
      </c>
      <c r="S41" s="14">
        <v>2002</v>
      </c>
      <c r="T41" s="14" t="s">
        <v>129</v>
      </c>
      <c r="U41" s="3">
        <v>0.16200000000000001</v>
      </c>
      <c r="V41" s="3">
        <v>0.84399999999999997</v>
      </c>
      <c r="W41" s="3">
        <v>0.74199999999999999</v>
      </c>
      <c r="X41" s="3">
        <v>24288.270019350828</v>
      </c>
      <c r="Y41" s="3">
        <v>7.9000000000000001E-2</v>
      </c>
      <c r="Z41" s="3">
        <v>1</v>
      </c>
      <c r="AA41" s="3">
        <v>0</v>
      </c>
      <c r="AB41" s="3" t="s">
        <v>207</v>
      </c>
      <c r="AC41" s="7" t="s">
        <v>61</v>
      </c>
      <c r="AD41" s="3"/>
      <c r="AE41" s="3"/>
      <c r="AF41" s="10">
        <v>2</v>
      </c>
      <c r="AG41" s="4">
        <f t="shared" si="2"/>
        <v>1</v>
      </c>
      <c r="AH41" s="3">
        <f t="shared" si="3"/>
        <v>2</v>
      </c>
      <c r="AI41" s="4">
        <f t="shared" si="4"/>
        <v>1</v>
      </c>
      <c r="AJ41" s="4">
        <f t="shared" si="5"/>
        <v>2</v>
      </c>
      <c r="AK41" s="4">
        <f t="shared" si="6"/>
        <v>1</v>
      </c>
      <c r="AL41" s="4">
        <f t="shared" si="7"/>
        <v>2</v>
      </c>
      <c r="AM41" s="4">
        <f t="shared" si="8"/>
        <v>1</v>
      </c>
      <c r="AN41" s="4">
        <v>0</v>
      </c>
      <c r="AO41" s="4">
        <v>0</v>
      </c>
      <c r="AP41" s="14" t="s">
        <v>61</v>
      </c>
      <c r="AQ41" s="25" t="s">
        <v>97</v>
      </c>
      <c r="AR41" s="14">
        <v>1</v>
      </c>
      <c r="AS41" s="14" t="s">
        <v>62</v>
      </c>
      <c r="AT41" s="16">
        <f>AX41/AU41</f>
        <v>0.22397027600849259</v>
      </c>
      <c r="AU41" s="8">
        <f>SUM(AU42:AU45)</f>
        <v>471</v>
      </c>
      <c r="AV41" s="16">
        <f>AZ41/AW41</f>
        <v>0.23961783439490444</v>
      </c>
      <c r="AW41" s="8">
        <f>SUM(AW42:AW45)</f>
        <v>471</v>
      </c>
      <c r="AX41" s="8">
        <f>SUM(AX42:AX45)</f>
        <v>105.49000000000001</v>
      </c>
      <c r="AY41" s="8">
        <f>SUM(AY42:AY45)</f>
        <v>365.51</v>
      </c>
      <c r="AZ41" s="8">
        <f>SUM(AZ42:AZ45)</f>
        <v>112.86</v>
      </c>
      <c r="BA41" s="8">
        <f>SUM(BA42:BA45)</f>
        <v>358.14</v>
      </c>
      <c r="BB41" s="3">
        <f t="shared" si="9"/>
        <v>942</v>
      </c>
    </row>
    <row r="42" spans="1:54" x14ac:dyDescent="0.25">
      <c r="A42" s="9" t="str">
        <f t="shared" si="14"/>
        <v>12B</v>
      </c>
      <c r="B42" s="4">
        <v>12</v>
      </c>
      <c r="C42" s="4">
        <v>1</v>
      </c>
      <c r="D42" s="4" t="s">
        <v>66</v>
      </c>
      <c r="E42" s="4">
        <v>0</v>
      </c>
      <c r="F42" s="4">
        <v>1</v>
      </c>
      <c r="G42" s="4">
        <v>0</v>
      </c>
      <c r="H42" s="15" t="s">
        <v>261</v>
      </c>
      <c r="I42" s="15" t="s">
        <v>6</v>
      </c>
      <c r="J42" s="2" t="s">
        <v>203</v>
      </c>
      <c r="K42" s="4">
        <v>1</v>
      </c>
      <c r="L42" s="15" t="s">
        <v>260</v>
      </c>
      <c r="M42" s="13"/>
      <c r="N42" s="12">
        <v>1</v>
      </c>
      <c r="O42" s="12">
        <v>0</v>
      </c>
      <c r="P42" s="20">
        <f t="shared" si="1"/>
        <v>1</v>
      </c>
      <c r="Q42" s="12">
        <v>2007</v>
      </c>
      <c r="R42" s="12">
        <v>2002</v>
      </c>
      <c r="S42" s="29">
        <v>2002</v>
      </c>
      <c r="T42" s="12" t="s">
        <v>129</v>
      </c>
      <c r="U42" s="4">
        <v>0.16200000000000001</v>
      </c>
      <c r="V42" s="4">
        <v>0.84399999999999997</v>
      </c>
      <c r="W42" s="4">
        <v>0.74199999999999999</v>
      </c>
      <c r="X42" s="4">
        <v>24288.270019350828</v>
      </c>
      <c r="Y42" s="4">
        <v>7.9000000000000001E-2</v>
      </c>
      <c r="Z42" s="4">
        <v>1</v>
      </c>
      <c r="AA42" s="4">
        <v>0</v>
      </c>
      <c r="AB42" s="4" t="s">
        <v>207</v>
      </c>
      <c r="AC42" s="34" t="s">
        <v>255</v>
      </c>
      <c r="AD42" s="40">
        <v>0.25430970536747471</v>
      </c>
      <c r="AE42" s="40">
        <v>0.74569029463252523</v>
      </c>
      <c r="AF42" s="10">
        <v>0</v>
      </c>
      <c r="AG42" s="4">
        <f t="shared" si="2"/>
        <v>0</v>
      </c>
      <c r="AH42" s="3">
        <f t="shared" si="3"/>
        <v>0</v>
      </c>
      <c r="AI42" s="4">
        <f t="shared" si="4"/>
        <v>0</v>
      </c>
      <c r="AJ42" s="4">
        <f t="shared" si="5"/>
        <v>0</v>
      </c>
      <c r="AK42" s="4">
        <f t="shared" si="6"/>
        <v>0</v>
      </c>
      <c r="AL42" s="4">
        <f t="shared" si="7"/>
        <v>0</v>
      </c>
      <c r="AM42" s="4">
        <f t="shared" si="8"/>
        <v>0</v>
      </c>
      <c r="AN42" s="4">
        <v>0</v>
      </c>
      <c r="AO42" s="4">
        <v>0</v>
      </c>
      <c r="AP42" s="12" t="s">
        <v>258</v>
      </c>
      <c r="AQ42" s="12" t="s">
        <v>97</v>
      </c>
      <c r="AR42" s="12">
        <v>1</v>
      </c>
      <c r="AS42" s="12" t="s">
        <v>250</v>
      </c>
      <c r="AT42" s="11">
        <f>(0.41+0.25+0.13)/3</f>
        <v>0.26333333333333331</v>
      </c>
      <c r="AU42" s="4">
        <f>24*3</f>
        <v>72</v>
      </c>
      <c r="AV42" s="11">
        <f>(0.33+0.38+0.17)/3</f>
        <v>0.29333333333333333</v>
      </c>
      <c r="AW42" s="4">
        <f>24*3</f>
        <v>72</v>
      </c>
      <c r="AX42" s="10">
        <f>AT42*AU42</f>
        <v>18.959999999999997</v>
      </c>
      <c r="AY42" s="10">
        <f>AU42-AX42</f>
        <v>53.040000000000006</v>
      </c>
      <c r="AZ42" s="10">
        <f>AV42*AW42</f>
        <v>21.12</v>
      </c>
      <c r="BA42" s="10">
        <f>AW42-AZ42</f>
        <v>50.879999999999995</v>
      </c>
      <c r="BB42" s="10">
        <f t="shared" si="9"/>
        <v>144</v>
      </c>
    </row>
    <row r="43" spans="1:54" s="1" customFormat="1" x14ac:dyDescent="0.25">
      <c r="A43" s="9" t="str">
        <f t="shared" si="14"/>
        <v>12C</v>
      </c>
      <c r="B43" s="4">
        <v>12</v>
      </c>
      <c r="C43" s="4">
        <v>1</v>
      </c>
      <c r="D43" s="4" t="s">
        <v>67</v>
      </c>
      <c r="E43" s="4">
        <v>0</v>
      </c>
      <c r="F43" s="4">
        <v>1</v>
      </c>
      <c r="G43" s="4">
        <v>0</v>
      </c>
      <c r="H43" s="15" t="s">
        <v>261</v>
      </c>
      <c r="I43" s="15" t="s">
        <v>6</v>
      </c>
      <c r="J43" s="2" t="s">
        <v>203</v>
      </c>
      <c r="K43" s="4">
        <v>1</v>
      </c>
      <c r="L43" s="15" t="s">
        <v>260</v>
      </c>
      <c r="M43" s="13"/>
      <c r="N43" s="12">
        <v>1</v>
      </c>
      <c r="O43" s="12">
        <v>0</v>
      </c>
      <c r="P43" s="20">
        <f t="shared" si="1"/>
        <v>1</v>
      </c>
      <c r="Q43" s="12">
        <v>2007</v>
      </c>
      <c r="R43" s="12">
        <v>2002</v>
      </c>
      <c r="S43" s="29">
        <v>2002</v>
      </c>
      <c r="T43" s="12" t="s">
        <v>129</v>
      </c>
      <c r="U43" s="4">
        <v>0.16200000000000001</v>
      </c>
      <c r="V43" s="4">
        <v>0.84399999999999997</v>
      </c>
      <c r="W43" s="4">
        <v>0.74199999999999999</v>
      </c>
      <c r="X43" s="4">
        <v>24288.270019350828</v>
      </c>
      <c r="Y43" s="4">
        <v>7.9000000000000001E-2</v>
      </c>
      <c r="Z43" s="4">
        <v>1</v>
      </c>
      <c r="AA43" s="4">
        <v>0</v>
      </c>
      <c r="AB43" s="4" t="s">
        <v>207</v>
      </c>
      <c r="AC43" s="34" t="s">
        <v>254</v>
      </c>
      <c r="AD43" s="40">
        <v>0.25430970536747471</v>
      </c>
      <c r="AE43" s="40">
        <v>0.74569029463252523</v>
      </c>
      <c r="AF43" s="10">
        <v>0</v>
      </c>
      <c r="AG43" s="4">
        <f t="shared" si="2"/>
        <v>0</v>
      </c>
      <c r="AH43" s="3">
        <f t="shared" si="3"/>
        <v>0</v>
      </c>
      <c r="AI43" s="4">
        <f t="shared" si="4"/>
        <v>0</v>
      </c>
      <c r="AJ43" s="4">
        <f t="shared" si="5"/>
        <v>0</v>
      </c>
      <c r="AK43" s="4">
        <f t="shared" si="6"/>
        <v>0</v>
      </c>
      <c r="AL43" s="4">
        <f t="shared" si="7"/>
        <v>0</v>
      </c>
      <c r="AM43" s="4">
        <f t="shared" si="8"/>
        <v>0</v>
      </c>
      <c r="AN43" s="4">
        <v>0</v>
      </c>
      <c r="AO43" s="4">
        <v>0</v>
      </c>
      <c r="AP43" s="12" t="s">
        <v>258</v>
      </c>
      <c r="AQ43" s="12" t="s">
        <v>97</v>
      </c>
      <c r="AR43" s="12">
        <v>1</v>
      </c>
      <c r="AS43" s="12" t="s">
        <v>251</v>
      </c>
      <c r="AT43" s="11">
        <f>(0.35+0.07+0.07)/3</f>
        <v>0.16333333333333333</v>
      </c>
      <c r="AU43" s="4">
        <f>40*3</f>
        <v>120</v>
      </c>
      <c r="AV43" s="11">
        <f>(0.27+0.1+0.02)/3</f>
        <v>0.13</v>
      </c>
      <c r="AW43" s="4">
        <f>40*3</f>
        <v>120</v>
      </c>
      <c r="AX43" s="10">
        <f>AT43*AU43</f>
        <v>19.600000000000001</v>
      </c>
      <c r="AY43" s="10">
        <f>AU43-AX43</f>
        <v>100.4</v>
      </c>
      <c r="AZ43" s="10">
        <f>AV43*AW43</f>
        <v>15.600000000000001</v>
      </c>
      <c r="BA43" s="10">
        <f>AW43-AZ43</f>
        <v>104.4</v>
      </c>
      <c r="BB43" s="4">
        <f t="shared" si="9"/>
        <v>240</v>
      </c>
    </row>
    <row r="44" spans="1:54" s="1" customFormat="1" x14ac:dyDescent="0.25">
      <c r="A44" s="9" t="str">
        <f t="shared" si="14"/>
        <v>12D</v>
      </c>
      <c r="B44" s="4">
        <v>12</v>
      </c>
      <c r="C44" s="4">
        <v>1</v>
      </c>
      <c r="D44" s="4" t="s">
        <v>68</v>
      </c>
      <c r="E44" s="4">
        <v>0</v>
      </c>
      <c r="F44" s="4">
        <v>1</v>
      </c>
      <c r="G44" s="4">
        <v>0</v>
      </c>
      <c r="H44" s="15" t="s">
        <v>261</v>
      </c>
      <c r="I44" s="15" t="s">
        <v>6</v>
      </c>
      <c r="J44" s="2" t="s">
        <v>203</v>
      </c>
      <c r="K44" s="4">
        <v>1</v>
      </c>
      <c r="L44" s="15" t="s">
        <v>260</v>
      </c>
      <c r="M44" s="13"/>
      <c r="N44" s="12">
        <v>1</v>
      </c>
      <c r="O44" s="12">
        <v>0</v>
      </c>
      <c r="P44" s="20">
        <f t="shared" si="1"/>
        <v>1</v>
      </c>
      <c r="Q44" s="12">
        <v>2007</v>
      </c>
      <c r="R44" s="12">
        <v>2002</v>
      </c>
      <c r="S44" s="29">
        <v>2002</v>
      </c>
      <c r="T44" s="12" t="s">
        <v>129</v>
      </c>
      <c r="U44" s="4">
        <v>0.16200000000000001</v>
      </c>
      <c r="V44" s="4">
        <v>0.84399999999999997</v>
      </c>
      <c r="W44" s="4">
        <v>0.74199999999999999</v>
      </c>
      <c r="X44" s="4">
        <v>24288.270019350828</v>
      </c>
      <c r="Y44" s="4">
        <v>7.9000000000000001E-2</v>
      </c>
      <c r="Z44" s="4">
        <v>1</v>
      </c>
      <c r="AA44" s="4">
        <v>0</v>
      </c>
      <c r="AB44" s="4" t="s">
        <v>207</v>
      </c>
      <c r="AC44" s="34" t="s">
        <v>256</v>
      </c>
      <c r="AD44" s="40">
        <v>0.62687411598302678</v>
      </c>
      <c r="AE44" s="40">
        <v>0.37312588401697322</v>
      </c>
      <c r="AF44" s="10">
        <v>1</v>
      </c>
      <c r="AG44" s="4">
        <f t="shared" si="2"/>
        <v>1</v>
      </c>
      <c r="AH44" s="3">
        <f t="shared" si="3"/>
        <v>1</v>
      </c>
      <c r="AI44" s="4">
        <f t="shared" si="4"/>
        <v>1</v>
      </c>
      <c r="AJ44" s="4">
        <f t="shared" si="5"/>
        <v>2</v>
      </c>
      <c r="AK44" s="4">
        <f t="shared" si="6"/>
        <v>1</v>
      </c>
      <c r="AL44" s="4">
        <f t="shared" si="7"/>
        <v>2</v>
      </c>
      <c r="AM44" s="4">
        <f t="shared" si="8"/>
        <v>1</v>
      </c>
      <c r="AN44" s="4">
        <v>0</v>
      </c>
      <c r="AO44" s="4">
        <v>0</v>
      </c>
      <c r="AP44" s="12" t="s">
        <v>259</v>
      </c>
      <c r="AQ44" s="12" t="s">
        <v>97</v>
      </c>
      <c r="AR44" s="12">
        <v>1</v>
      </c>
      <c r="AS44" s="12" t="s">
        <v>252</v>
      </c>
      <c r="AT44" s="11">
        <f>(0.14+0.26+0.17)/3</f>
        <v>0.19000000000000003</v>
      </c>
      <c r="AU44" s="4">
        <f>35*3</f>
        <v>105</v>
      </c>
      <c r="AV44" s="11">
        <f>(0.34+0.26+0.2)/3</f>
        <v>0.26666666666666666</v>
      </c>
      <c r="AW44" s="4">
        <f>35*3</f>
        <v>105</v>
      </c>
      <c r="AX44" s="10">
        <f>AT44*AU44</f>
        <v>19.950000000000003</v>
      </c>
      <c r="AY44" s="10">
        <f>AU44-AX44</f>
        <v>85.05</v>
      </c>
      <c r="AZ44" s="10">
        <f>AV44*AW44</f>
        <v>28</v>
      </c>
      <c r="BA44" s="10">
        <f>AW44-AZ44</f>
        <v>77</v>
      </c>
      <c r="BB44" s="4">
        <f t="shared" si="9"/>
        <v>210</v>
      </c>
    </row>
    <row r="45" spans="1:54" s="1" customFormat="1" x14ac:dyDescent="0.25">
      <c r="A45" s="9" t="str">
        <f t="shared" si="14"/>
        <v>12E</v>
      </c>
      <c r="B45" s="4">
        <v>12</v>
      </c>
      <c r="C45" s="4">
        <v>1</v>
      </c>
      <c r="D45" s="4" t="s">
        <v>102</v>
      </c>
      <c r="E45" s="4">
        <v>0</v>
      </c>
      <c r="F45" s="4">
        <v>1</v>
      </c>
      <c r="G45" s="4">
        <v>0</v>
      </c>
      <c r="H45" s="15" t="s">
        <v>261</v>
      </c>
      <c r="I45" s="15" t="s">
        <v>6</v>
      </c>
      <c r="J45" s="2" t="s">
        <v>203</v>
      </c>
      <c r="K45" s="4">
        <v>1</v>
      </c>
      <c r="L45" s="15" t="s">
        <v>260</v>
      </c>
      <c r="M45" s="13"/>
      <c r="N45" s="12">
        <v>1</v>
      </c>
      <c r="O45" s="12">
        <v>0</v>
      </c>
      <c r="P45" s="20">
        <f t="shared" si="1"/>
        <v>1</v>
      </c>
      <c r="Q45" s="12">
        <v>2007</v>
      </c>
      <c r="R45" s="12">
        <v>2002</v>
      </c>
      <c r="S45" s="29">
        <v>2002</v>
      </c>
      <c r="T45" s="12" t="s">
        <v>129</v>
      </c>
      <c r="U45" s="4">
        <v>0.16200000000000001</v>
      </c>
      <c r="V45" s="4">
        <v>0.84399999999999997</v>
      </c>
      <c r="W45" s="4">
        <v>0.74199999999999999</v>
      </c>
      <c r="X45" s="4">
        <v>24288.270019350828</v>
      </c>
      <c r="Y45" s="4">
        <v>7.9000000000000001E-2</v>
      </c>
      <c r="Z45" s="4">
        <v>1</v>
      </c>
      <c r="AA45" s="4">
        <v>0</v>
      </c>
      <c r="AB45" s="4" t="s">
        <v>207</v>
      </c>
      <c r="AC45" s="37" t="s">
        <v>257</v>
      </c>
      <c r="AD45" s="40">
        <v>0.60726695551456389</v>
      </c>
      <c r="AE45" s="40">
        <v>0.39273304448543611</v>
      </c>
      <c r="AF45" s="10">
        <v>2</v>
      </c>
      <c r="AG45" s="4">
        <f t="shared" si="2"/>
        <v>1</v>
      </c>
      <c r="AH45" s="3">
        <f t="shared" si="3"/>
        <v>1</v>
      </c>
      <c r="AI45" s="4">
        <f t="shared" si="4"/>
        <v>1</v>
      </c>
      <c r="AJ45" s="4">
        <f t="shared" si="5"/>
        <v>2</v>
      </c>
      <c r="AK45" s="4">
        <f t="shared" si="6"/>
        <v>1</v>
      </c>
      <c r="AL45" s="4">
        <f t="shared" si="7"/>
        <v>2</v>
      </c>
      <c r="AM45" s="4">
        <f t="shared" si="8"/>
        <v>1</v>
      </c>
      <c r="AN45" s="4">
        <v>0</v>
      </c>
      <c r="AO45" s="4">
        <v>0</v>
      </c>
      <c r="AP45" s="12" t="s">
        <v>259</v>
      </c>
      <c r="AQ45" s="12" t="s">
        <v>97</v>
      </c>
      <c r="AR45" s="12">
        <v>1</v>
      </c>
      <c r="AS45" s="12" t="s">
        <v>253</v>
      </c>
      <c r="AT45" s="11">
        <f>(0.53+0.12+0.16)/3</f>
        <v>0.27</v>
      </c>
      <c r="AU45" s="4">
        <f>58*3</f>
        <v>174</v>
      </c>
      <c r="AV45" s="11">
        <f>(0.6+0.06+0.17)/3</f>
        <v>0.27666666666666667</v>
      </c>
      <c r="AW45" s="4">
        <f>58*3</f>
        <v>174</v>
      </c>
      <c r="AX45" s="10">
        <f>AT45*AU45</f>
        <v>46.980000000000004</v>
      </c>
      <c r="AY45" s="10">
        <f>AU45-AX45</f>
        <v>127.02</v>
      </c>
      <c r="AZ45" s="10">
        <f>AV45*AW45</f>
        <v>48.14</v>
      </c>
      <c r="BA45" s="10">
        <f>AW45-AZ45</f>
        <v>125.86</v>
      </c>
      <c r="BB45" s="4">
        <f t="shared" si="9"/>
        <v>348</v>
      </c>
    </row>
    <row r="46" spans="1:54" s="1" customFormat="1" x14ac:dyDescent="0.25">
      <c r="A46" s="9" t="str">
        <f t="shared" si="14"/>
        <v>13A</v>
      </c>
      <c r="B46" s="3">
        <v>13</v>
      </c>
      <c r="C46" s="3">
        <v>1</v>
      </c>
      <c r="D46" s="3" t="s">
        <v>65</v>
      </c>
      <c r="E46" s="3">
        <v>1</v>
      </c>
      <c r="F46" s="3">
        <v>0</v>
      </c>
      <c r="G46" s="3">
        <v>0</v>
      </c>
      <c r="H46" s="1" t="s">
        <v>154</v>
      </c>
      <c r="I46" s="1" t="s">
        <v>155</v>
      </c>
      <c r="J46" s="1" t="s">
        <v>203</v>
      </c>
      <c r="K46" s="14">
        <v>1</v>
      </c>
      <c r="L46" s="1" t="s">
        <v>156</v>
      </c>
      <c r="M46" s="1" t="s">
        <v>477</v>
      </c>
      <c r="N46" s="3">
        <v>1</v>
      </c>
      <c r="O46" s="3">
        <v>1</v>
      </c>
      <c r="P46" s="19">
        <f t="shared" si="1"/>
        <v>0.5</v>
      </c>
      <c r="Q46" s="3">
        <v>2010</v>
      </c>
      <c r="R46" s="3">
        <v>2007</v>
      </c>
      <c r="S46" s="3">
        <v>2007</v>
      </c>
      <c r="T46" s="3" t="s">
        <v>157</v>
      </c>
      <c r="U46" s="3">
        <v>0.13900000000000001</v>
      </c>
      <c r="V46" s="3">
        <v>0.92300000000000004</v>
      </c>
      <c r="W46" s="3">
        <v>0.879</v>
      </c>
      <c r="X46" s="3">
        <v>41023.7549</v>
      </c>
      <c r="Y46" s="3">
        <v>3.5000000000000003E-2</v>
      </c>
      <c r="Z46" s="14">
        <v>0</v>
      </c>
      <c r="AA46" s="3">
        <v>0</v>
      </c>
      <c r="AB46" s="3" t="s">
        <v>207</v>
      </c>
      <c r="AC46" s="7" t="s">
        <v>61</v>
      </c>
      <c r="AD46" s="3"/>
      <c r="AE46" s="3"/>
      <c r="AF46" s="10">
        <v>2</v>
      </c>
      <c r="AG46" s="4">
        <f t="shared" si="2"/>
        <v>1</v>
      </c>
      <c r="AH46" s="3">
        <f t="shared" si="3"/>
        <v>2</v>
      </c>
      <c r="AI46" s="4">
        <f t="shared" si="4"/>
        <v>1</v>
      </c>
      <c r="AJ46" s="4">
        <f t="shared" si="5"/>
        <v>2</v>
      </c>
      <c r="AK46" s="4">
        <f t="shared" si="6"/>
        <v>1</v>
      </c>
      <c r="AL46" s="4">
        <f t="shared" si="7"/>
        <v>2</v>
      </c>
      <c r="AM46" s="4">
        <f t="shared" si="8"/>
        <v>1</v>
      </c>
      <c r="AN46" s="4">
        <v>0</v>
      </c>
      <c r="AO46" s="4">
        <v>0</v>
      </c>
      <c r="AP46" s="3" t="s">
        <v>162</v>
      </c>
      <c r="AQ46" s="3" t="s">
        <v>97</v>
      </c>
      <c r="AR46" s="14">
        <v>1</v>
      </c>
      <c r="AS46" s="3" t="s">
        <v>62</v>
      </c>
      <c r="AT46" s="16">
        <v>0.32</v>
      </c>
      <c r="AU46" s="3">
        <f>SUM(AU47:AU50)</f>
        <v>1640</v>
      </c>
      <c r="AV46" s="16">
        <v>0.25</v>
      </c>
      <c r="AW46" s="3">
        <f>SUM(AW47:AW50)</f>
        <v>1725</v>
      </c>
      <c r="AX46" s="8">
        <f>SUM(AX47:AX50)</f>
        <v>528.32000000000005</v>
      </c>
      <c r="AY46" s="8">
        <f>SUM(AY47:AY50)</f>
        <v>1111.6799999999998</v>
      </c>
      <c r="AZ46" s="8">
        <f>SUM(AZ47:AZ50)</f>
        <v>431.92</v>
      </c>
      <c r="BA46" s="8">
        <f>SUM(BA47:BA50)</f>
        <v>1293.08</v>
      </c>
      <c r="BB46" s="3">
        <f t="shared" si="9"/>
        <v>3365</v>
      </c>
    </row>
    <row r="47" spans="1:54" s="1" customFormat="1" x14ac:dyDescent="0.25">
      <c r="A47" s="9" t="str">
        <f t="shared" si="14"/>
        <v>13B</v>
      </c>
      <c r="B47" s="4">
        <v>13</v>
      </c>
      <c r="C47" s="4">
        <v>1</v>
      </c>
      <c r="D47" s="4" t="s">
        <v>66</v>
      </c>
      <c r="E47" s="4">
        <v>0</v>
      </c>
      <c r="F47" s="4">
        <v>1</v>
      </c>
      <c r="G47" s="4">
        <v>0</v>
      </c>
      <c r="H47" s="2" t="s">
        <v>154</v>
      </c>
      <c r="I47" s="2" t="s">
        <v>155</v>
      </c>
      <c r="J47" s="2" t="s">
        <v>203</v>
      </c>
      <c r="K47" s="4">
        <v>1</v>
      </c>
      <c r="L47" s="2" t="s">
        <v>156</v>
      </c>
      <c r="N47" s="4">
        <v>1</v>
      </c>
      <c r="O47" s="4">
        <v>1</v>
      </c>
      <c r="P47" s="20">
        <f t="shared" si="1"/>
        <v>0.5</v>
      </c>
      <c r="Q47" s="4">
        <v>2010</v>
      </c>
      <c r="R47" s="4">
        <v>2007</v>
      </c>
      <c r="S47" s="4">
        <v>2007</v>
      </c>
      <c r="T47" s="4" t="s">
        <v>157</v>
      </c>
      <c r="U47" s="4">
        <v>0.13900000000000001</v>
      </c>
      <c r="V47" s="4">
        <v>0.92300000000000004</v>
      </c>
      <c r="W47" s="4">
        <v>0.879</v>
      </c>
      <c r="X47" s="4">
        <v>41023.7549</v>
      </c>
      <c r="Y47" s="4">
        <v>3.5000000000000003E-2</v>
      </c>
      <c r="Z47" s="4">
        <v>0</v>
      </c>
      <c r="AA47" s="4">
        <v>0</v>
      </c>
      <c r="AB47" s="4" t="s">
        <v>207</v>
      </c>
      <c r="AC47" s="17" t="s">
        <v>158</v>
      </c>
      <c r="AD47" s="20">
        <v>0.31550364959384519</v>
      </c>
      <c r="AE47" s="20">
        <v>0.68449635037847245</v>
      </c>
      <c r="AF47" s="10">
        <v>0</v>
      </c>
      <c r="AG47" s="4">
        <f t="shared" si="2"/>
        <v>0</v>
      </c>
      <c r="AH47" s="3">
        <f t="shared" si="3"/>
        <v>0</v>
      </c>
      <c r="AI47" s="4">
        <f t="shared" si="4"/>
        <v>0</v>
      </c>
      <c r="AJ47" s="4">
        <f t="shared" si="5"/>
        <v>0</v>
      </c>
      <c r="AK47" s="4">
        <f t="shared" si="6"/>
        <v>0</v>
      </c>
      <c r="AL47" s="4">
        <f t="shared" si="7"/>
        <v>2</v>
      </c>
      <c r="AM47" s="4">
        <f t="shared" si="8"/>
        <v>1</v>
      </c>
      <c r="AN47" s="4">
        <v>0</v>
      </c>
      <c r="AO47" s="4">
        <v>0</v>
      </c>
      <c r="AP47" s="4" t="s">
        <v>162</v>
      </c>
      <c r="AQ47" s="12" t="s">
        <v>97</v>
      </c>
      <c r="AR47" s="12">
        <v>1</v>
      </c>
      <c r="AS47" s="4" t="s">
        <v>158</v>
      </c>
      <c r="AT47" s="11">
        <v>0.4</v>
      </c>
      <c r="AU47" s="4">
        <v>430</v>
      </c>
      <c r="AV47" s="11">
        <v>0.3</v>
      </c>
      <c r="AW47" s="4">
        <v>433</v>
      </c>
      <c r="AX47" s="10">
        <f t="shared" ref="AX47:AX52" si="19">AT47*AU47</f>
        <v>172</v>
      </c>
      <c r="AY47" s="10">
        <f t="shared" ref="AY47:AY52" si="20">AU47-AX47</f>
        <v>258</v>
      </c>
      <c r="AZ47" s="10">
        <f t="shared" ref="AZ47:AZ52" si="21">AV47*AW47</f>
        <v>129.9</v>
      </c>
      <c r="BA47" s="10">
        <f t="shared" ref="BA47:BA52" si="22">AW47-AZ47</f>
        <v>303.10000000000002</v>
      </c>
      <c r="BB47" s="4">
        <f t="shared" si="9"/>
        <v>863</v>
      </c>
    </row>
    <row r="48" spans="1:54" s="1" customFormat="1" x14ac:dyDescent="0.25">
      <c r="A48" s="9" t="str">
        <f t="shared" si="14"/>
        <v>13C</v>
      </c>
      <c r="B48" s="4">
        <v>13</v>
      </c>
      <c r="C48" s="4">
        <v>1</v>
      </c>
      <c r="D48" s="4" t="s">
        <v>67</v>
      </c>
      <c r="E48" s="4">
        <v>0</v>
      </c>
      <c r="F48" s="4">
        <v>1</v>
      </c>
      <c r="G48" s="4">
        <v>0</v>
      </c>
      <c r="H48" s="2" t="s">
        <v>154</v>
      </c>
      <c r="I48" s="2" t="s">
        <v>155</v>
      </c>
      <c r="J48" s="2" t="s">
        <v>203</v>
      </c>
      <c r="K48" s="4">
        <v>1</v>
      </c>
      <c r="L48" s="2" t="s">
        <v>156</v>
      </c>
      <c r="N48" s="4">
        <v>1</v>
      </c>
      <c r="O48" s="4">
        <v>1</v>
      </c>
      <c r="P48" s="20">
        <f t="shared" si="1"/>
        <v>0.5</v>
      </c>
      <c r="Q48" s="4">
        <v>2010</v>
      </c>
      <c r="R48" s="4">
        <v>2007</v>
      </c>
      <c r="S48" s="4">
        <v>2007</v>
      </c>
      <c r="T48" s="4" t="s">
        <v>157</v>
      </c>
      <c r="U48" s="4">
        <v>0.13900000000000001</v>
      </c>
      <c r="V48" s="4">
        <v>0.92300000000000004</v>
      </c>
      <c r="W48" s="4">
        <v>0.879</v>
      </c>
      <c r="X48" s="4">
        <v>41023.7549</v>
      </c>
      <c r="Y48" s="4">
        <v>3.5000000000000003E-2</v>
      </c>
      <c r="Z48" s="4">
        <v>0</v>
      </c>
      <c r="AA48" s="4">
        <v>0</v>
      </c>
      <c r="AB48" s="4" t="s">
        <v>207</v>
      </c>
      <c r="AC48" s="17" t="s">
        <v>159</v>
      </c>
      <c r="AD48" s="20">
        <v>0.24451866067662195</v>
      </c>
      <c r="AE48" s="20">
        <v>0.75548133932337802</v>
      </c>
      <c r="AF48" s="10">
        <v>0</v>
      </c>
      <c r="AG48" s="4">
        <f t="shared" si="2"/>
        <v>0</v>
      </c>
      <c r="AH48" s="3">
        <f t="shared" si="3"/>
        <v>0</v>
      </c>
      <c r="AI48" s="4">
        <f t="shared" si="4"/>
        <v>0</v>
      </c>
      <c r="AJ48" s="4">
        <f t="shared" si="5"/>
        <v>0</v>
      </c>
      <c r="AK48" s="4">
        <f t="shared" si="6"/>
        <v>0</v>
      </c>
      <c r="AL48" s="4">
        <f t="shared" si="7"/>
        <v>0</v>
      </c>
      <c r="AM48" s="4">
        <f t="shared" si="8"/>
        <v>0</v>
      </c>
      <c r="AN48" s="4">
        <v>0</v>
      </c>
      <c r="AO48" s="4">
        <v>0</v>
      </c>
      <c r="AP48" s="4" t="s">
        <v>162</v>
      </c>
      <c r="AQ48" s="4" t="s">
        <v>97</v>
      </c>
      <c r="AR48" s="12">
        <v>1</v>
      </c>
      <c r="AS48" s="4" t="s">
        <v>159</v>
      </c>
      <c r="AT48" s="11">
        <v>0.33</v>
      </c>
      <c r="AU48" s="4">
        <v>428</v>
      </c>
      <c r="AV48" s="11">
        <v>0.19</v>
      </c>
      <c r="AW48" s="4">
        <v>423</v>
      </c>
      <c r="AX48" s="10">
        <f t="shared" si="19"/>
        <v>141.24</v>
      </c>
      <c r="AY48" s="10">
        <f t="shared" si="20"/>
        <v>286.76</v>
      </c>
      <c r="AZ48" s="10">
        <f t="shared" si="21"/>
        <v>80.37</v>
      </c>
      <c r="BA48" s="10">
        <f t="shared" si="22"/>
        <v>342.63</v>
      </c>
      <c r="BB48" s="4">
        <f t="shared" si="9"/>
        <v>851</v>
      </c>
    </row>
    <row r="49" spans="1:54" x14ac:dyDescent="0.25">
      <c r="A49" s="9" t="str">
        <f t="shared" si="14"/>
        <v>13D</v>
      </c>
      <c r="B49" s="4">
        <v>13</v>
      </c>
      <c r="C49" s="4">
        <v>1</v>
      </c>
      <c r="D49" s="4" t="s">
        <v>68</v>
      </c>
      <c r="E49" s="4">
        <v>0</v>
      </c>
      <c r="F49" s="4">
        <v>1</v>
      </c>
      <c r="G49" s="4">
        <v>0</v>
      </c>
      <c r="H49" s="2" t="s">
        <v>154</v>
      </c>
      <c r="I49" s="2" t="s">
        <v>155</v>
      </c>
      <c r="J49" s="2" t="s">
        <v>203</v>
      </c>
      <c r="K49" s="4">
        <v>1</v>
      </c>
      <c r="L49" s="2" t="s">
        <v>156</v>
      </c>
      <c r="M49" s="1"/>
      <c r="N49" s="4">
        <v>1</v>
      </c>
      <c r="O49" s="4">
        <v>1</v>
      </c>
      <c r="P49" s="20">
        <f t="shared" si="1"/>
        <v>0.5</v>
      </c>
      <c r="Q49" s="4">
        <v>2010</v>
      </c>
      <c r="R49" s="4">
        <v>2007</v>
      </c>
      <c r="S49" s="4">
        <v>2007</v>
      </c>
      <c r="T49" s="4" t="s">
        <v>157</v>
      </c>
      <c r="U49" s="4">
        <v>0.13900000000000001</v>
      </c>
      <c r="V49" s="4">
        <v>0.92300000000000004</v>
      </c>
      <c r="W49" s="4">
        <v>0.879</v>
      </c>
      <c r="X49" s="4">
        <v>41023.7549</v>
      </c>
      <c r="Y49" s="4">
        <v>3.5000000000000003E-2</v>
      </c>
      <c r="Z49" s="4">
        <v>0</v>
      </c>
      <c r="AA49" s="4">
        <v>0</v>
      </c>
      <c r="AB49" s="4" t="s">
        <v>207</v>
      </c>
      <c r="AC49" s="17" t="s">
        <v>160</v>
      </c>
      <c r="AD49" s="20">
        <v>0.37544883743872937</v>
      </c>
      <c r="AE49" s="20">
        <v>0.62455116256127063</v>
      </c>
      <c r="AF49" s="10">
        <v>0</v>
      </c>
      <c r="AG49" s="4">
        <f t="shared" si="2"/>
        <v>0</v>
      </c>
      <c r="AH49" s="3">
        <f t="shared" si="3"/>
        <v>0</v>
      </c>
      <c r="AI49" s="4">
        <f t="shared" si="4"/>
        <v>0</v>
      </c>
      <c r="AJ49" s="4">
        <f t="shared" si="5"/>
        <v>2</v>
      </c>
      <c r="AK49" s="4">
        <f t="shared" si="6"/>
        <v>1</v>
      </c>
      <c r="AL49" s="4">
        <f t="shared" si="7"/>
        <v>2</v>
      </c>
      <c r="AM49" s="4">
        <f t="shared" si="8"/>
        <v>1</v>
      </c>
      <c r="AN49" s="4">
        <v>0</v>
      </c>
      <c r="AO49" s="4">
        <v>0</v>
      </c>
      <c r="AP49" s="4" t="s">
        <v>162</v>
      </c>
      <c r="AQ49" s="4" t="s">
        <v>97</v>
      </c>
      <c r="AR49" s="12">
        <v>1</v>
      </c>
      <c r="AS49" s="4" t="s">
        <v>160</v>
      </c>
      <c r="AT49" s="11">
        <v>0.28999999999999998</v>
      </c>
      <c r="AU49" s="4">
        <v>392</v>
      </c>
      <c r="AV49" s="11">
        <v>0.26</v>
      </c>
      <c r="AW49" s="4">
        <v>440</v>
      </c>
      <c r="AX49" s="10">
        <f t="shared" si="19"/>
        <v>113.67999999999999</v>
      </c>
      <c r="AY49" s="10">
        <f t="shared" si="20"/>
        <v>278.32</v>
      </c>
      <c r="AZ49" s="10">
        <f t="shared" si="21"/>
        <v>114.4</v>
      </c>
      <c r="BA49" s="10">
        <f t="shared" si="22"/>
        <v>325.60000000000002</v>
      </c>
      <c r="BB49" s="4">
        <f t="shared" si="9"/>
        <v>832</v>
      </c>
    </row>
    <row r="50" spans="1:54" x14ac:dyDescent="0.25">
      <c r="A50" s="9" t="str">
        <f t="shared" si="14"/>
        <v>13E</v>
      </c>
      <c r="B50" s="4">
        <v>13</v>
      </c>
      <c r="C50" s="4">
        <v>1</v>
      </c>
      <c r="D50" s="4" t="s">
        <v>102</v>
      </c>
      <c r="E50" s="4">
        <v>0</v>
      </c>
      <c r="F50" s="4">
        <v>1</v>
      </c>
      <c r="G50" s="4">
        <v>0</v>
      </c>
      <c r="H50" s="2" t="s">
        <v>154</v>
      </c>
      <c r="I50" s="2" t="s">
        <v>155</v>
      </c>
      <c r="J50" s="2" t="s">
        <v>203</v>
      </c>
      <c r="K50" s="4">
        <v>1</v>
      </c>
      <c r="L50" s="2" t="s">
        <v>156</v>
      </c>
      <c r="M50" s="1"/>
      <c r="N50" s="4">
        <v>1</v>
      </c>
      <c r="O50" s="4">
        <v>1</v>
      </c>
      <c r="P50" s="20">
        <f t="shared" si="1"/>
        <v>0.5</v>
      </c>
      <c r="Q50" s="4">
        <v>2010</v>
      </c>
      <c r="R50" s="4">
        <v>2007</v>
      </c>
      <c r="S50" s="28">
        <v>2007</v>
      </c>
      <c r="T50" s="4" t="s">
        <v>157</v>
      </c>
      <c r="U50" s="4">
        <v>0.13900000000000001</v>
      </c>
      <c r="V50" s="4">
        <v>0.92300000000000004</v>
      </c>
      <c r="W50" s="4">
        <v>0.879</v>
      </c>
      <c r="X50" s="4">
        <v>41023.7549</v>
      </c>
      <c r="Y50" s="4">
        <v>3.5000000000000003E-2</v>
      </c>
      <c r="Z50" s="4">
        <v>0</v>
      </c>
      <c r="AA50" s="4">
        <v>0</v>
      </c>
      <c r="AB50" s="4" t="s">
        <v>207</v>
      </c>
      <c r="AC50" s="17" t="s">
        <v>161</v>
      </c>
      <c r="AD50" s="20">
        <v>0.37544883743872937</v>
      </c>
      <c r="AE50" s="20">
        <v>0.62455116256127063</v>
      </c>
      <c r="AF50" s="10">
        <v>2</v>
      </c>
      <c r="AG50" s="4">
        <f t="shared" si="2"/>
        <v>1</v>
      </c>
      <c r="AH50" s="3">
        <f t="shared" si="3"/>
        <v>0</v>
      </c>
      <c r="AI50" s="4">
        <f t="shared" si="4"/>
        <v>0</v>
      </c>
      <c r="AJ50" s="4">
        <f t="shared" si="5"/>
        <v>2</v>
      </c>
      <c r="AK50" s="4">
        <f t="shared" si="6"/>
        <v>1</v>
      </c>
      <c r="AL50" s="4">
        <f t="shared" si="7"/>
        <v>2</v>
      </c>
      <c r="AM50" s="4">
        <f t="shared" si="8"/>
        <v>1</v>
      </c>
      <c r="AN50" s="4">
        <v>0</v>
      </c>
      <c r="AO50" s="4">
        <v>0</v>
      </c>
      <c r="AP50" s="4" t="s">
        <v>162</v>
      </c>
      <c r="AQ50" s="4" t="s">
        <v>97</v>
      </c>
      <c r="AR50" s="12">
        <v>1</v>
      </c>
      <c r="AS50" s="4" t="s">
        <v>161</v>
      </c>
      <c r="AT50" s="11">
        <v>0.26</v>
      </c>
      <c r="AU50" s="4">
        <v>390</v>
      </c>
      <c r="AV50" s="11">
        <v>0.25</v>
      </c>
      <c r="AW50" s="4">
        <v>429</v>
      </c>
      <c r="AX50" s="10">
        <f t="shared" si="19"/>
        <v>101.4</v>
      </c>
      <c r="AY50" s="10">
        <f t="shared" si="20"/>
        <v>288.60000000000002</v>
      </c>
      <c r="AZ50" s="10">
        <f t="shared" si="21"/>
        <v>107.25</v>
      </c>
      <c r="BA50" s="10">
        <f t="shared" si="22"/>
        <v>321.75</v>
      </c>
      <c r="BB50" s="4">
        <f t="shared" si="9"/>
        <v>819</v>
      </c>
    </row>
    <row r="51" spans="1:54" x14ac:dyDescent="0.25">
      <c r="A51" s="9" t="str">
        <f t="shared" si="14"/>
        <v>14A</v>
      </c>
      <c r="B51" s="3">
        <v>14</v>
      </c>
      <c r="C51" s="3">
        <v>1</v>
      </c>
      <c r="D51" s="3" t="s">
        <v>65</v>
      </c>
      <c r="E51" s="3">
        <v>1</v>
      </c>
      <c r="F51" s="3">
        <v>1</v>
      </c>
      <c r="G51" s="3">
        <v>0</v>
      </c>
      <c r="H51" s="1" t="s">
        <v>151</v>
      </c>
      <c r="I51" s="1" t="s">
        <v>152</v>
      </c>
      <c r="J51" s="1" t="s">
        <v>264</v>
      </c>
      <c r="K51" s="3">
        <v>1</v>
      </c>
      <c r="L51" s="1" t="s">
        <v>153</v>
      </c>
      <c r="M51" s="1" t="s">
        <v>478</v>
      </c>
      <c r="N51" s="3">
        <v>0</v>
      </c>
      <c r="O51" s="3">
        <v>1</v>
      </c>
      <c r="P51" s="19">
        <f t="shared" si="1"/>
        <v>0</v>
      </c>
      <c r="Q51" s="3">
        <v>1982</v>
      </c>
      <c r="R51" s="3">
        <v>1978</v>
      </c>
      <c r="S51" s="3">
        <v>1978</v>
      </c>
      <c r="T51" s="3" t="s">
        <v>133</v>
      </c>
      <c r="U51" s="3">
        <v>0.23</v>
      </c>
      <c r="V51" s="3">
        <v>0.80400000000000005</v>
      </c>
      <c r="W51" s="3">
        <v>0.64400000000000002</v>
      </c>
      <c r="X51" s="3">
        <v>5976.9381689999063</v>
      </c>
      <c r="Y51" s="3">
        <v>4.5999999999999999E-2</v>
      </c>
      <c r="Z51" s="3">
        <v>1</v>
      </c>
      <c r="AA51" s="3">
        <v>0</v>
      </c>
      <c r="AB51" s="3" t="s">
        <v>207</v>
      </c>
      <c r="AC51" s="7" t="s">
        <v>263</v>
      </c>
      <c r="AD51" s="19">
        <v>0.47250000000000003</v>
      </c>
      <c r="AE51" s="19">
        <v>0.52749999999999997</v>
      </c>
      <c r="AF51" s="10">
        <v>2</v>
      </c>
      <c r="AG51" s="3">
        <f t="shared" si="2"/>
        <v>1</v>
      </c>
      <c r="AH51" s="3">
        <f t="shared" si="3"/>
        <v>2</v>
      </c>
      <c r="AI51" s="4">
        <f t="shared" si="4"/>
        <v>1</v>
      </c>
      <c r="AJ51" s="4">
        <f t="shared" si="5"/>
        <v>2</v>
      </c>
      <c r="AK51" s="4">
        <f t="shared" si="6"/>
        <v>1</v>
      </c>
      <c r="AL51" s="4">
        <f t="shared" si="7"/>
        <v>2</v>
      </c>
      <c r="AM51" s="4">
        <f t="shared" si="8"/>
        <v>1</v>
      </c>
      <c r="AN51" s="4">
        <v>0</v>
      </c>
      <c r="AO51" s="4">
        <v>0</v>
      </c>
      <c r="AP51" s="3" t="s">
        <v>262</v>
      </c>
      <c r="AQ51" s="24" t="s">
        <v>97</v>
      </c>
      <c r="AR51" s="14">
        <v>1</v>
      </c>
      <c r="AS51" s="3" t="s">
        <v>62</v>
      </c>
      <c r="AT51" s="3">
        <f>(0.7+0.57+0.5+0.43+0.44+0.39)/6</f>
        <v>0.505</v>
      </c>
      <c r="AU51" s="3">
        <f>6*146</f>
        <v>876</v>
      </c>
      <c r="AV51" s="16">
        <f>(0.88+0.89+0.9+0.57+0.55+0.54)/6</f>
        <v>0.72166666666666668</v>
      </c>
      <c r="AW51" s="3">
        <f>6*146</f>
        <v>876</v>
      </c>
      <c r="AX51" s="26">
        <f t="shared" si="19"/>
        <v>442.38</v>
      </c>
      <c r="AY51" s="8">
        <f t="shared" si="20"/>
        <v>433.62</v>
      </c>
      <c r="AZ51" s="26">
        <f t="shared" si="21"/>
        <v>632.18000000000006</v>
      </c>
      <c r="BA51" s="8">
        <f t="shared" si="22"/>
        <v>243.81999999999994</v>
      </c>
      <c r="BB51" s="8">
        <f t="shared" si="9"/>
        <v>1752</v>
      </c>
    </row>
    <row r="52" spans="1:54" x14ac:dyDescent="0.25">
      <c r="A52" s="9" t="str">
        <f t="shared" si="14"/>
        <v>15A</v>
      </c>
      <c r="B52" s="3">
        <v>15</v>
      </c>
      <c r="C52" s="3">
        <v>1</v>
      </c>
      <c r="D52" s="3" t="s">
        <v>65</v>
      </c>
      <c r="E52" s="3">
        <v>1</v>
      </c>
      <c r="F52" s="3">
        <v>1</v>
      </c>
      <c r="G52" s="3">
        <v>0</v>
      </c>
      <c r="H52" s="13" t="s">
        <v>30</v>
      </c>
      <c r="I52" s="13" t="s">
        <v>31</v>
      </c>
      <c r="J52" s="1" t="s">
        <v>203</v>
      </c>
      <c r="K52" s="3">
        <v>1</v>
      </c>
      <c r="L52" s="13" t="s">
        <v>126</v>
      </c>
      <c r="M52" s="1" t="s">
        <v>551</v>
      </c>
      <c r="N52" s="14">
        <v>1</v>
      </c>
      <c r="O52" s="14">
        <v>2</v>
      </c>
      <c r="P52" s="19">
        <f t="shared" si="1"/>
        <v>0.33333333333333331</v>
      </c>
      <c r="Q52" s="14">
        <v>2016</v>
      </c>
      <c r="R52" s="14" t="s">
        <v>112</v>
      </c>
      <c r="S52" s="14">
        <v>2013</v>
      </c>
      <c r="T52" s="14" t="s">
        <v>104</v>
      </c>
      <c r="U52" s="14">
        <v>7.3999999999999996E-2</v>
      </c>
      <c r="V52" s="12">
        <v>0.92400000000000004</v>
      </c>
      <c r="W52" s="14">
        <v>0.88</v>
      </c>
      <c r="X52" s="12">
        <v>41008.296699999999</v>
      </c>
      <c r="Y52" s="14"/>
      <c r="Z52" s="14">
        <v>0</v>
      </c>
      <c r="AA52" s="14">
        <v>0</v>
      </c>
      <c r="AB52" s="14" t="s">
        <v>207</v>
      </c>
      <c r="AC52" s="7" t="s">
        <v>602</v>
      </c>
      <c r="AD52" s="19">
        <v>0.54091797439278</v>
      </c>
      <c r="AE52" s="19">
        <v>0.45908202560726502</v>
      </c>
      <c r="AF52" s="10">
        <v>2</v>
      </c>
      <c r="AG52" s="4">
        <f t="shared" si="2"/>
        <v>1</v>
      </c>
      <c r="AH52" s="3">
        <f t="shared" si="3"/>
        <v>2</v>
      </c>
      <c r="AI52" s="4">
        <f t="shared" si="4"/>
        <v>1</v>
      </c>
      <c r="AJ52" s="4">
        <f t="shared" si="5"/>
        <v>2</v>
      </c>
      <c r="AK52" s="4">
        <f t="shared" si="6"/>
        <v>1</v>
      </c>
      <c r="AL52" s="4">
        <f t="shared" si="7"/>
        <v>2</v>
      </c>
      <c r="AM52" s="4">
        <f t="shared" si="8"/>
        <v>1</v>
      </c>
      <c r="AN52" s="4">
        <v>0</v>
      </c>
      <c r="AO52" s="4">
        <v>0</v>
      </c>
      <c r="AP52" s="14" t="s">
        <v>100</v>
      </c>
      <c r="AQ52" s="14" t="s">
        <v>97</v>
      </c>
      <c r="AR52" s="14">
        <v>1</v>
      </c>
      <c r="AS52" s="3" t="s">
        <v>62</v>
      </c>
      <c r="AT52" s="16">
        <f>(25+32)/AU52</f>
        <v>9.8958333333333329E-2</v>
      </c>
      <c r="AU52" s="3">
        <v>576</v>
      </c>
      <c r="AV52" s="16">
        <f>(31+32)/AW52</f>
        <v>0.109375</v>
      </c>
      <c r="AW52" s="3">
        <v>576</v>
      </c>
      <c r="AX52" s="3">
        <f t="shared" si="19"/>
        <v>57</v>
      </c>
      <c r="AY52" s="3">
        <f t="shared" si="20"/>
        <v>519</v>
      </c>
      <c r="AZ52" s="3">
        <f t="shared" si="21"/>
        <v>63</v>
      </c>
      <c r="BA52" s="3">
        <f t="shared" si="22"/>
        <v>513</v>
      </c>
      <c r="BB52" s="3">
        <f t="shared" si="9"/>
        <v>1152</v>
      </c>
    </row>
    <row r="53" spans="1:54" s="1" customFormat="1" x14ac:dyDescent="0.25">
      <c r="A53" s="9" t="str">
        <f t="shared" si="14"/>
        <v>16A</v>
      </c>
      <c r="B53" s="3">
        <v>16</v>
      </c>
      <c r="C53" s="3">
        <v>1</v>
      </c>
      <c r="D53" s="3" t="s">
        <v>65</v>
      </c>
      <c r="E53" s="3">
        <v>1</v>
      </c>
      <c r="F53" s="3">
        <v>0</v>
      </c>
      <c r="G53" s="3">
        <v>0</v>
      </c>
      <c r="H53" s="1" t="s">
        <v>270</v>
      </c>
      <c r="I53" s="1" t="s">
        <v>20</v>
      </c>
      <c r="J53" s="1" t="s">
        <v>203</v>
      </c>
      <c r="K53" s="14">
        <v>1</v>
      </c>
      <c r="L53" s="1" t="s">
        <v>269</v>
      </c>
      <c r="M53" s="1" t="s">
        <v>479</v>
      </c>
      <c r="N53" s="3">
        <v>0</v>
      </c>
      <c r="O53" s="3">
        <v>1</v>
      </c>
      <c r="P53" s="19">
        <f t="shared" si="1"/>
        <v>0</v>
      </c>
      <c r="Q53" s="14">
        <v>2016</v>
      </c>
      <c r="R53" s="3" t="s">
        <v>268</v>
      </c>
      <c r="S53" s="3">
        <v>2013</v>
      </c>
      <c r="T53" s="3" t="s">
        <v>101</v>
      </c>
      <c r="U53" s="3">
        <v>0.245</v>
      </c>
      <c r="V53" s="14">
        <v>0.92</v>
      </c>
      <c r="W53" s="3">
        <v>0.89100000000000001</v>
      </c>
      <c r="X53" s="3">
        <v>53291.127689140565</v>
      </c>
      <c r="Y53" s="3">
        <v>0</v>
      </c>
      <c r="Z53" s="3">
        <v>0</v>
      </c>
      <c r="AA53" s="3">
        <v>0</v>
      </c>
      <c r="AB53" s="3" t="s">
        <v>207</v>
      </c>
      <c r="AC53" s="7" t="s">
        <v>61</v>
      </c>
      <c r="AD53" s="3"/>
      <c r="AE53" s="3"/>
      <c r="AF53" s="10">
        <v>2</v>
      </c>
      <c r="AG53" s="3">
        <f t="shared" si="2"/>
        <v>1</v>
      </c>
      <c r="AH53" s="3">
        <f t="shared" si="3"/>
        <v>2</v>
      </c>
      <c r="AI53" s="4">
        <f t="shared" si="4"/>
        <v>1</v>
      </c>
      <c r="AJ53" s="4">
        <f t="shared" si="5"/>
        <v>2</v>
      </c>
      <c r="AK53" s="4">
        <f t="shared" si="6"/>
        <v>1</v>
      </c>
      <c r="AL53" s="4">
        <f t="shared" si="7"/>
        <v>2</v>
      </c>
      <c r="AM53" s="4">
        <f t="shared" si="8"/>
        <v>1</v>
      </c>
      <c r="AN53" s="4">
        <v>0</v>
      </c>
      <c r="AO53" s="4">
        <v>0</v>
      </c>
      <c r="AP53" s="3" t="s">
        <v>100</v>
      </c>
      <c r="AQ53" s="3" t="s">
        <v>97</v>
      </c>
      <c r="AR53" s="14">
        <v>1</v>
      </c>
      <c r="AS53" s="3" t="s">
        <v>62</v>
      </c>
      <c r="AT53" s="16">
        <f>AX53/AU53</f>
        <v>0.10894214876033058</v>
      </c>
      <c r="AU53" s="8">
        <f>SUM(AU54:AU57)</f>
        <v>1210</v>
      </c>
      <c r="AV53" s="16">
        <f>AZ53/AW53</f>
        <v>4.3229752066115699E-2</v>
      </c>
      <c r="AW53" s="8">
        <f>SUM(AW54:AW57)</f>
        <v>1210</v>
      </c>
      <c r="AX53" s="8">
        <f>SUM(AX54:AX57)</f>
        <v>131.82</v>
      </c>
      <c r="AY53" s="8">
        <f>SUM(AY54:AY57)</f>
        <v>1078.18</v>
      </c>
      <c r="AZ53" s="8">
        <f>SUM(AZ54:AZ57)</f>
        <v>52.308</v>
      </c>
      <c r="BA53" s="8">
        <f>SUM(BA54:BA57)</f>
        <v>1157.692</v>
      </c>
      <c r="BB53" s="26">
        <f t="shared" si="9"/>
        <v>2420</v>
      </c>
    </row>
    <row r="54" spans="1:54" s="1" customFormat="1" x14ac:dyDescent="0.25">
      <c r="A54" s="9" t="str">
        <f t="shared" si="14"/>
        <v>16B</v>
      </c>
      <c r="B54" s="4">
        <v>16</v>
      </c>
      <c r="C54" s="4">
        <v>1</v>
      </c>
      <c r="D54" s="4" t="s">
        <v>66</v>
      </c>
      <c r="E54" s="4">
        <v>0</v>
      </c>
      <c r="F54" s="4">
        <v>1</v>
      </c>
      <c r="G54" s="4">
        <v>0</v>
      </c>
      <c r="H54" s="2" t="s">
        <v>270</v>
      </c>
      <c r="I54" s="2" t="s">
        <v>20</v>
      </c>
      <c r="J54" s="2" t="s">
        <v>203</v>
      </c>
      <c r="K54" s="4">
        <v>1</v>
      </c>
      <c r="L54" s="2" t="s">
        <v>269</v>
      </c>
      <c r="N54" s="4">
        <v>0</v>
      </c>
      <c r="O54" s="4">
        <v>1</v>
      </c>
      <c r="P54" s="20">
        <f t="shared" si="1"/>
        <v>0</v>
      </c>
      <c r="Q54" s="12">
        <v>2016</v>
      </c>
      <c r="R54" s="4" t="s">
        <v>268</v>
      </c>
      <c r="S54" s="4">
        <v>2013</v>
      </c>
      <c r="T54" s="4" t="s">
        <v>101</v>
      </c>
      <c r="U54" s="4">
        <v>0.245</v>
      </c>
      <c r="V54" s="12">
        <v>0.92</v>
      </c>
      <c r="W54" s="3">
        <v>0.89100000000000001</v>
      </c>
      <c r="X54" s="4">
        <v>53291.127689140565</v>
      </c>
      <c r="Y54" s="4">
        <v>0</v>
      </c>
      <c r="Z54" s="4">
        <v>0</v>
      </c>
      <c r="AA54" s="4">
        <v>0</v>
      </c>
      <c r="AB54" s="4" t="s">
        <v>207</v>
      </c>
      <c r="AC54" s="17" t="s">
        <v>161</v>
      </c>
      <c r="AD54" s="20">
        <v>0.51400000000000001</v>
      </c>
      <c r="AE54" s="20">
        <v>0.48599999999999999</v>
      </c>
      <c r="AF54" s="10">
        <v>2</v>
      </c>
      <c r="AG54" s="4">
        <f t="shared" si="2"/>
        <v>1</v>
      </c>
      <c r="AH54" s="3">
        <f t="shared" si="3"/>
        <v>2</v>
      </c>
      <c r="AI54" s="4">
        <f t="shared" si="4"/>
        <v>1</v>
      </c>
      <c r="AJ54" s="4">
        <f t="shared" si="5"/>
        <v>2</v>
      </c>
      <c r="AK54" s="4">
        <f t="shared" si="6"/>
        <v>1</v>
      </c>
      <c r="AL54" s="4">
        <f t="shared" si="7"/>
        <v>2</v>
      </c>
      <c r="AM54" s="4">
        <f t="shared" si="8"/>
        <v>1</v>
      </c>
      <c r="AN54" s="4">
        <v>0</v>
      </c>
      <c r="AO54" s="4">
        <v>0</v>
      </c>
      <c r="AP54" s="4" t="s">
        <v>100</v>
      </c>
      <c r="AQ54" s="12" t="s">
        <v>97</v>
      </c>
      <c r="AR54" s="12">
        <v>1</v>
      </c>
      <c r="AS54" s="4" t="s">
        <v>161</v>
      </c>
      <c r="AT54" s="11">
        <v>0.186</v>
      </c>
      <c r="AU54" s="10">
        <f>804/2</f>
        <v>402</v>
      </c>
      <c r="AV54" s="11">
        <f>0.113</f>
        <v>0.113</v>
      </c>
      <c r="AW54" s="10">
        <f>804/2</f>
        <v>402</v>
      </c>
      <c r="AX54" s="10">
        <f t="shared" ref="AX54:AX75" si="23">AT54*AU54</f>
        <v>74.772000000000006</v>
      </c>
      <c r="AY54" s="10">
        <f t="shared" ref="AY54:AY85" si="24">AU54-AX54</f>
        <v>327.22800000000001</v>
      </c>
      <c r="AZ54" s="10">
        <f t="shared" ref="AZ54:AZ75" si="25">AV54*AW54</f>
        <v>45.426000000000002</v>
      </c>
      <c r="BA54" s="10">
        <f t="shared" ref="BA54:BA85" si="26">AW54-AZ54</f>
        <v>356.57400000000001</v>
      </c>
      <c r="BB54" s="4">
        <f t="shared" si="9"/>
        <v>804</v>
      </c>
    </row>
    <row r="55" spans="1:54" x14ac:dyDescent="0.25">
      <c r="A55" s="9" t="str">
        <f t="shared" si="14"/>
        <v>16C</v>
      </c>
      <c r="B55" s="4">
        <v>16</v>
      </c>
      <c r="C55" s="4">
        <v>1</v>
      </c>
      <c r="D55" s="4" t="s">
        <v>67</v>
      </c>
      <c r="E55" s="4">
        <v>0</v>
      </c>
      <c r="F55" s="4">
        <v>1</v>
      </c>
      <c r="G55" s="4">
        <v>0</v>
      </c>
      <c r="H55" s="2" t="s">
        <v>270</v>
      </c>
      <c r="I55" s="2" t="s">
        <v>20</v>
      </c>
      <c r="J55" s="2" t="s">
        <v>203</v>
      </c>
      <c r="K55" s="4">
        <v>1</v>
      </c>
      <c r="L55" s="2" t="s">
        <v>269</v>
      </c>
      <c r="M55" s="1"/>
      <c r="N55" s="4">
        <v>0</v>
      </c>
      <c r="O55" s="4">
        <v>1</v>
      </c>
      <c r="P55" s="20">
        <f t="shared" si="1"/>
        <v>0</v>
      </c>
      <c r="Q55" s="12">
        <v>2016</v>
      </c>
      <c r="R55" s="4" t="s">
        <v>268</v>
      </c>
      <c r="S55" s="4">
        <v>2013</v>
      </c>
      <c r="T55" s="4" t="s">
        <v>101</v>
      </c>
      <c r="U55" s="4">
        <v>0.245</v>
      </c>
      <c r="V55" s="12">
        <v>0.92</v>
      </c>
      <c r="W55" s="3">
        <v>0.89100000000000001</v>
      </c>
      <c r="X55" s="4">
        <v>53291.127689140565</v>
      </c>
      <c r="Y55" s="4">
        <v>0</v>
      </c>
      <c r="Z55" s="4">
        <v>0</v>
      </c>
      <c r="AA55" s="4">
        <v>0</v>
      </c>
      <c r="AB55" s="4" t="s">
        <v>207</v>
      </c>
      <c r="AC55" s="17" t="s">
        <v>265</v>
      </c>
      <c r="AD55" s="20">
        <v>0.379</v>
      </c>
      <c r="AE55" s="20">
        <v>0.621</v>
      </c>
      <c r="AF55" s="10">
        <v>2</v>
      </c>
      <c r="AG55" s="4">
        <f t="shared" si="2"/>
        <v>1</v>
      </c>
      <c r="AH55" s="3">
        <f t="shared" si="3"/>
        <v>0</v>
      </c>
      <c r="AI55" s="4">
        <f t="shared" si="4"/>
        <v>0</v>
      </c>
      <c r="AJ55" s="4">
        <f t="shared" si="5"/>
        <v>2</v>
      </c>
      <c r="AK55" s="4">
        <f t="shared" si="6"/>
        <v>1</v>
      </c>
      <c r="AL55" s="4">
        <f t="shared" si="7"/>
        <v>2</v>
      </c>
      <c r="AM55" s="4">
        <f t="shared" si="8"/>
        <v>1</v>
      </c>
      <c r="AN55" s="4">
        <v>0</v>
      </c>
      <c r="AO55" s="4">
        <v>0</v>
      </c>
      <c r="AP55" s="4" t="s">
        <v>100</v>
      </c>
      <c r="AQ55" s="4" t="s">
        <v>97</v>
      </c>
      <c r="AR55" s="12">
        <v>1</v>
      </c>
      <c r="AS55" s="4" t="s">
        <v>265</v>
      </c>
      <c r="AT55" s="11">
        <v>0.125</v>
      </c>
      <c r="AU55" s="10">
        <f>372/2</f>
        <v>186</v>
      </c>
      <c r="AV55" s="11">
        <f>0.037</f>
        <v>3.6999999999999998E-2</v>
      </c>
      <c r="AW55" s="10">
        <f>372/2</f>
        <v>186</v>
      </c>
      <c r="AX55" s="10">
        <f t="shared" si="23"/>
        <v>23.25</v>
      </c>
      <c r="AY55" s="10">
        <f t="shared" si="24"/>
        <v>162.75</v>
      </c>
      <c r="AZ55" s="10">
        <f t="shared" si="25"/>
        <v>6.8819999999999997</v>
      </c>
      <c r="BA55" s="10">
        <f t="shared" si="26"/>
        <v>179.11799999999999</v>
      </c>
      <c r="BB55" s="4">
        <f t="shared" si="9"/>
        <v>372</v>
      </c>
    </row>
    <row r="56" spans="1:54" x14ac:dyDescent="0.25">
      <c r="A56" s="9" t="str">
        <f t="shared" si="14"/>
        <v>16D</v>
      </c>
      <c r="B56" s="4">
        <v>16</v>
      </c>
      <c r="C56" s="4">
        <v>1</v>
      </c>
      <c r="D56" s="4" t="s">
        <v>68</v>
      </c>
      <c r="E56" s="4">
        <v>0</v>
      </c>
      <c r="F56" s="4">
        <v>1</v>
      </c>
      <c r="G56" s="4">
        <v>0</v>
      </c>
      <c r="H56" s="2" t="s">
        <v>270</v>
      </c>
      <c r="I56" s="2" t="s">
        <v>20</v>
      </c>
      <c r="J56" s="2" t="s">
        <v>203</v>
      </c>
      <c r="K56" s="4">
        <v>1</v>
      </c>
      <c r="L56" s="2" t="s">
        <v>269</v>
      </c>
      <c r="M56" s="1"/>
      <c r="N56" s="4">
        <v>0</v>
      </c>
      <c r="O56" s="4">
        <v>1</v>
      </c>
      <c r="P56" s="20">
        <f t="shared" si="1"/>
        <v>0</v>
      </c>
      <c r="Q56" s="12">
        <v>2016</v>
      </c>
      <c r="R56" s="4" t="s">
        <v>268</v>
      </c>
      <c r="S56" s="4">
        <v>2013</v>
      </c>
      <c r="T56" s="4" t="s">
        <v>101</v>
      </c>
      <c r="U56" s="4">
        <v>0.245</v>
      </c>
      <c r="V56" s="12">
        <v>0.92</v>
      </c>
      <c r="W56" s="3">
        <v>0.89100000000000001</v>
      </c>
      <c r="X56" s="4">
        <v>53291.127689140565</v>
      </c>
      <c r="Y56" s="4">
        <v>0</v>
      </c>
      <c r="Z56" s="4">
        <v>0</v>
      </c>
      <c r="AA56" s="4">
        <v>0</v>
      </c>
      <c r="AB56" s="4" t="s">
        <v>207</v>
      </c>
      <c r="AC56" s="17" t="s">
        <v>266</v>
      </c>
      <c r="AD56" s="20">
        <v>0.61799999999999999</v>
      </c>
      <c r="AE56" s="20">
        <v>0.38200000000000001</v>
      </c>
      <c r="AF56" s="10">
        <v>2</v>
      </c>
      <c r="AG56" s="4">
        <f t="shared" si="2"/>
        <v>1</v>
      </c>
      <c r="AH56" s="3">
        <f t="shared" si="3"/>
        <v>1</v>
      </c>
      <c r="AI56" s="4">
        <f t="shared" si="4"/>
        <v>1</v>
      </c>
      <c r="AJ56" s="4">
        <f t="shared" si="5"/>
        <v>2</v>
      </c>
      <c r="AK56" s="4">
        <f t="shared" si="6"/>
        <v>1</v>
      </c>
      <c r="AL56" s="4">
        <f t="shared" si="7"/>
        <v>2</v>
      </c>
      <c r="AM56" s="4">
        <f t="shared" si="8"/>
        <v>1</v>
      </c>
      <c r="AN56" s="4">
        <v>0</v>
      </c>
      <c r="AO56" s="4">
        <v>0</v>
      </c>
      <c r="AP56" s="4" t="s">
        <v>100</v>
      </c>
      <c r="AQ56" s="4" t="s">
        <v>97</v>
      </c>
      <c r="AR56" s="12">
        <v>1</v>
      </c>
      <c r="AS56" s="4" t="s">
        <v>266</v>
      </c>
      <c r="AT56" s="11">
        <v>5.2999999999999999E-2</v>
      </c>
      <c r="AU56" s="10">
        <f>828/2</f>
        <v>414</v>
      </c>
      <c r="AV56" s="11">
        <v>0</v>
      </c>
      <c r="AW56" s="10">
        <f>828/2</f>
        <v>414</v>
      </c>
      <c r="AX56" s="10">
        <f t="shared" si="23"/>
        <v>21.942</v>
      </c>
      <c r="AY56" s="10">
        <f t="shared" si="24"/>
        <v>392.05799999999999</v>
      </c>
      <c r="AZ56" s="10">
        <f t="shared" si="25"/>
        <v>0</v>
      </c>
      <c r="BA56" s="10">
        <f t="shared" si="26"/>
        <v>414</v>
      </c>
      <c r="BB56" s="4">
        <f t="shared" si="9"/>
        <v>828</v>
      </c>
    </row>
    <row r="57" spans="1:54" x14ac:dyDescent="0.25">
      <c r="A57" s="9" t="str">
        <f t="shared" si="14"/>
        <v>16E</v>
      </c>
      <c r="B57" s="4">
        <v>16</v>
      </c>
      <c r="C57" s="4">
        <v>1</v>
      </c>
      <c r="D57" s="4" t="s">
        <v>102</v>
      </c>
      <c r="E57" s="4">
        <v>0</v>
      </c>
      <c r="F57" s="4">
        <v>1</v>
      </c>
      <c r="G57" s="4">
        <v>0</v>
      </c>
      <c r="H57" s="2" t="s">
        <v>270</v>
      </c>
      <c r="I57" s="2" t="s">
        <v>20</v>
      </c>
      <c r="J57" s="2" t="s">
        <v>203</v>
      </c>
      <c r="K57" s="4">
        <v>1</v>
      </c>
      <c r="L57" s="2" t="s">
        <v>269</v>
      </c>
      <c r="M57" s="1"/>
      <c r="N57" s="4">
        <v>0</v>
      </c>
      <c r="O57" s="4">
        <v>1</v>
      </c>
      <c r="P57" s="20">
        <f t="shared" si="1"/>
        <v>0</v>
      </c>
      <c r="Q57" s="12">
        <v>2016</v>
      </c>
      <c r="R57" s="4" t="s">
        <v>268</v>
      </c>
      <c r="S57" s="4">
        <v>2013</v>
      </c>
      <c r="T57" s="4" t="s">
        <v>101</v>
      </c>
      <c r="U57" s="4">
        <v>0.245</v>
      </c>
      <c r="V57" s="12">
        <v>0.92</v>
      </c>
      <c r="W57" s="3">
        <v>0.89100000000000001</v>
      </c>
      <c r="X57" s="4">
        <v>53291.127689140565</v>
      </c>
      <c r="Y57" s="4">
        <v>0</v>
      </c>
      <c r="Z57" s="4">
        <v>0</v>
      </c>
      <c r="AA57" s="4">
        <v>0</v>
      </c>
      <c r="AB57" s="4" t="s">
        <v>207</v>
      </c>
      <c r="AC57" s="17" t="s">
        <v>267</v>
      </c>
      <c r="AD57" s="20">
        <v>0.26700000000000002</v>
      </c>
      <c r="AE57" s="20">
        <v>0.73299999999999998</v>
      </c>
      <c r="AF57" s="10">
        <v>0</v>
      </c>
      <c r="AG57" s="4">
        <f t="shared" si="2"/>
        <v>0</v>
      </c>
      <c r="AH57" s="3">
        <f t="shared" si="3"/>
        <v>0</v>
      </c>
      <c r="AI57" s="4">
        <f t="shared" si="4"/>
        <v>0</v>
      </c>
      <c r="AJ57" s="4">
        <f t="shared" si="5"/>
        <v>0</v>
      </c>
      <c r="AK57" s="4">
        <f t="shared" si="6"/>
        <v>0</v>
      </c>
      <c r="AL57" s="4">
        <f t="shared" si="7"/>
        <v>0</v>
      </c>
      <c r="AM57" s="4">
        <f t="shared" si="8"/>
        <v>0</v>
      </c>
      <c r="AN57" s="4">
        <v>0</v>
      </c>
      <c r="AO57" s="4">
        <v>0</v>
      </c>
      <c r="AP57" s="4" t="s">
        <v>100</v>
      </c>
      <c r="AQ57" s="4" t="s">
        <v>97</v>
      </c>
      <c r="AR57" s="12">
        <v>1</v>
      </c>
      <c r="AS57" s="4" t="s">
        <v>267</v>
      </c>
      <c r="AT57" s="11">
        <v>5.7000000000000002E-2</v>
      </c>
      <c r="AU57" s="10">
        <f>416/2</f>
        <v>208</v>
      </c>
      <c r="AV57" s="11">
        <v>0</v>
      </c>
      <c r="AW57" s="10">
        <f>416/2</f>
        <v>208</v>
      </c>
      <c r="AX57" s="10">
        <f t="shared" si="23"/>
        <v>11.856</v>
      </c>
      <c r="AY57" s="10">
        <f t="shared" si="24"/>
        <v>196.14400000000001</v>
      </c>
      <c r="AZ57" s="10">
        <f t="shared" si="25"/>
        <v>0</v>
      </c>
      <c r="BA57" s="10">
        <f t="shared" si="26"/>
        <v>208</v>
      </c>
      <c r="BB57" s="4">
        <f t="shared" si="9"/>
        <v>416</v>
      </c>
    </row>
    <row r="58" spans="1:54" x14ac:dyDescent="0.25">
      <c r="A58" s="30" t="str">
        <f t="shared" si="14"/>
        <v>17A</v>
      </c>
      <c r="B58" s="24">
        <v>17</v>
      </c>
      <c r="C58" s="24">
        <v>1</v>
      </c>
      <c r="D58" s="24" t="s">
        <v>65</v>
      </c>
      <c r="E58" s="24">
        <v>1</v>
      </c>
      <c r="F58" s="24">
        <v>1</v>
      </c>
      <c r="G58" s="24">
        <v>0</v>
      </c>
      <c r="H58" s="23" t="s">
        <v>274</v>
      </c>
      <c r="I58" s="23" t="s">
        <v>19</v>
      </c>
      <c r="J58" s="23" t="s">
        <v>229</v>
      </c>
      <c r="K58" s="24">
        <v>1</v>
      </c>
      <c r="L58" s="23" t="s">
        <v>273</v>
      </c>
      <c r="M58" s="23" t="s">
        <v>480</v>
      </c>
      <c r="N58" s="24">
        <v>3</v>
      </c>
      <c r="O58" s="24">
        <v>1</v>
      </c>
      <c r="P58" s="31">
        <f t="shared" si="1"/>
        <v>0.75</v>
      </c>
      <c r="Q58" s="24">
        <v>2012</v>
      </c>
      <c r="R58" s="24">
        <v>2008</v>
      </c>
      <c r="S58" s="24">
        <v>2008</v>
      </c>
      <c r="T58" s="24" t="s">
        <v>272</v>
      </c>
      <c r="U58" s="24">
        <v>5.3999999999999999E-2</v>
      </c>
      <c r="V58" s="3">
        <v>0.93899999999999995</v>
      </c>
      <c r="W58" s="3">
        <v>0.86599999999999999</v>
      </c>
      <c r="X58" s="3">
        <v>57879.943755391629</v>
      </c>
      <c r="Y58" s="3">
        <v>7.9000000000000001E-2</v>
      </c>
      <c r="Z58" s="24">
        <v>0</v>
      </c>
      <c r="AA58" s="24">
        <v>0</v>
      </c>
      <c r="AB58" s="24" t="s">
        <v>649</v>
      </c>
      <c r="AC58" s="38" t="s">
        <v>271</v>
      </c>
      <c r="AD58" s="19">
        <v>0.41639999999999999</v>
      </c>
      <c r="AE58" s="19">
        <v>0.58360000000000001</v>
      </c>
      <c r="AF58" s="10">
        <v>2</v>
      </c>
      <c r="AG58" s="3">
        <f t="shared" si="2"/>
        <v>1</v>
      </c>
      <c r="AH58" s="3">
        <f t="shared" si="3"/>
        <v>2</v>
      </c>
      <c r="AI58" s="4">
        <f t="shared" si="4"/>
        <v>1</v>
      </c>
      <c r="AJ58" s="4">
        <f t="shared" si="5"/>
        <v>2</v>
      </c>
      <c r="AK58" s="4">
        <f t="shared" si="6"/>
        <v>1</v>
      </c>
      <c r="AL58" s="4">
        <f t="shared" si="7"/>
        <v>2</v>
      </c>
      <c r="AM58" s="4">
        <f t="shared" si="8"/>
        <v>1</v>
      </c>
      <c r="AN58" s="4">
        <v>0</v>
      </c>
      <c r="AO58" s="4">
        <v>0</v>
      </c>
      <c r="AP58" s="24" t="s">
        <v>61</v>
      </c>
      <c r="AQ58" s="24" t="s">
        <v>63</v>
      </c>
      <c r="AR58" s="25">
        <v>1</v>
      </c>
      <c r="AS58" s="24" t="s">
        <v>62</v>
      </c>
      <c r="AT58" s="32">
        <f>(257*2+67+35)/(689*2)</f>
        <v>0.44702467343976776</v>
      </c>
      <c r="AU58" s="24">
        <f>689*2</f>
        <v>1378</v>
      </c>
      <c r="AV58" s="32">
        <f>(206*2+81+29)/(651*2)</f>
        <v>0.4009216589861751</v>
      </c>
      <c r="AW58" s="24">
        <f>651*2</f>
        <v>1302</v>
      </c>
      <c r="AX58" s="26">
        <f t="shared" si="23"/>
        <v>616</v>
      </c>
      <c r="AY58" s="26">
        <f t="shared" si="24"/>
        <v>762</v>
      </c>
      <c r="AZ58" s="26">
        <f t="shared" si="25"/>
        <v>522</v>
      </c>
      <c r="BA58" s="26">
        <f t="shared" si="26"/>
        <v>780</v>
      </c>
      <c r="BB58" s="24">
        <f t="shared" si="9"/>
        <v>2680</v>
      </c>
    </row>
    <row r="59" spans="1:54" x14ac:dyDescent="0.25">
      <c r="A59" s="9" t="str">
        <f t="shared" si="14"/>
        <v>18A</v>
      </c>
      <c r="B59" s="3">
        <v>18</v>
      </c>
      <c r="C59" s="3">
        <v>1</v>
      </c>
      <c r="D59" s="3" t="s">
        <v>65</v>
      </c>
      <c r="E59" s="3">
        <v>1</v>
      </c>
      <c r="F59" s="3">
        <v>0</v>
      </c>
      <c r="G59" s="3">
        <v>0</v>
      </c>
      <c r="H59" s="1" t="s">
        <v>167</v>
      </c>
      <c r="I59" s="1" t="s">
        <v>168</v>
      </c>
      <c r="J59" s="1" t="s">
        <v>229</v>
      </c>
      <c r="K59" s="14">
        <v>1</v>
      </c>
      <c r="L59" s="1" t="s">
        <v>146</v>
      </c>
      <c r="M59" s="1" t="s">
        <v>481</v>
      </c>
      <c r="N59" s="3">
        <v>1</v>
      </c>
      <c r="O59" s="3">
        <v>1</v>
      </c>
      <c r="P59" s="19">
        <f t="shared" si="1"/>
        <v>0.5</v>
      </c>
      <c r="Q59" s="3">
        <v>1987</v>
      </c>
      <c r="R59" s="3" t="s">
        <v>276</v>
      </c>
      <c r="S59" s="3">
        <v>1984</v>
      </c>
      <c r="T59" s="3" t="s">
        <v>157</v>
      </c>
      <c r="U59" s="3">
        <v>0.18</v>
      </c>
      <c r="V59" s="3">
        <v>0.86499999999999999</v>
      </c>
      <c r="W59" s="3">
        <v>0.873</v>
      </c>
      <c r="X59" s="3">
        <v>12421.4926</v>
      </c>
      <c r="Y59" s="3">
        <v>3.5000000000000003E-2</v>
      </c>
      <c r="Z59" s="3">
        <v>1</v>
      </c>
      <c r="AA59" s="3">
        <v>0</v>
      </c>
      <c r="AB59" s="3" t="s">
        <v>207</v>
      </c>
      <c r="AC59" s="7" t="s">
        <v>61</v>
      </c>
      <c r="AD59" s="19"/>
      <c r="AE59" s="19"/>
      <c r="AF59" s="10">
        <v>2</v>
      </c>
      <c r="AG59" s="4">
        <f t="shared" si="2"/>
        <v>1</v>
      </c>
      <c r="AH59" s="3">
        <f t="shared" si="3"/>
        <v>2</v>
      </c>
      <c r="AI59" s="4">
        <f t="shared" si="4"/>
        <v>1</v>
      </c>
      <c r="AJ59" s="4">
        <f t="shared" si="5"/>
        <v>2</v>
      </c>
      <c r="AK59" s="4">
        <f t="shared" si="6"/>
        <v>1</v>
      </c>
      <c r="AL59" s="4">
        <f t="shared" si="7"/>
        <v>2</v>
      </c>
      <c r="AM59" s="4">
        <f t="shared" si="8"/>
        <v>1</v>
      </c>
      <c r="AN59" s="4">
        <v>0</v>
      </c>
      <c r="AO59" s="4">
        <v>0</v>
      </c>
      <c r="AP59" s="3" t="s">
        <v>61</v>
      </c>
      <c r="AQ59" s="3" t="s">
        <v>63</v>
      </c>
      <c r="AR59" s="3">
        <v>0</v>
      </c>
      <c r="AS59" s="3" t="s">
        <v>62</v>
      </c>
      <c r="AT59" s="16">
        <f>(363+60)/AU59</f>
        <v>0.42684157416750756</v>
      </c>
      <c r="AU59" s="3">
        <v>991</v>
      </c>
      <c r="AV59" s="16">
        <f>(363+84)/AW59</f>
        <v>0.4510595358224016</v>
      </c>
      <c r="AW59" s="3">
        <v>991</v>
      </c>
      <c r="AX59" s="8">
        <f t="shared" si="23"/>
        <v>423</v>
      </c>
      <c r="AY59" s="8">
        <f t="shared" si="24"/>
        <v>568</v>
      </c>
      <c r="AZ59" s="8">
        <f t="shared" si="25"/>
        <v>447</v>
      </c>
      <c r="BA59" s="8">
        <f t="shared" si="26"/>
        <v>544</v>
      </c>
      <c r="BB59" s="8">
        <f t="shared" si="9"/>
        <v>1982</v>
      </c>
    </row>
    <row r="60" spans="1:54" s="1" customFormat="1" x14ac:dyDescent="0.25">
      <c r="A60" s="9" t="str">
        <f t="shared" si="14"/>
        <v>18B</v>
      </c>
      <c r="B60" s="4">
        <v>18</v>
      </c>
      <c r="C60" s="4">
        <v>1</v>
      </c>
      <c r="D60" s="4" t="s">
        <v>66</v>
      </c>
      <c r="E60" s="4">
        <v>0</v>
      </c>
      <c r="F60" s="4">
        <v>1</v>
      </c>
      <c r="G60" s="4">
        <v>0</v>
      </c>
      <c r="H60" s="2" t="s">
        <v>167</v>
      </c>
      <c r="I60" s="2" t="s">
        <v>168</v>
      </c>
      <c r="J60" s="2" t="s">
        <v>229</v>
      </c>
      <c r="K60" s="4">
        <v>1</v>
      </c>
      <c r="L60" s="2" t="s">
        <v>146</v>
      </c>
      <c r="N60" s="4">
        <v>1</v>
      </c>
      <c r="O60" s="4">
        <v>1</v>
      </c>
      <c r="P60" s="20">
        <f t="shared" si="1"/>
        <v>0.5</v>
      </c>
      <c r="Q60" s="4">
        <v>1987</v>
      </c>
      <c r="R60" s="4" t="s">
        <v>276</v>
      </c>
      <c r="S60" s="4">
        <v>1984</v>
      </c>
      <c r="T60" s="4" t="s">
        <v>157</v>
      </c>
      <c r="U60" s="4">
        <v>0.18</v>
      </c>
      <c r="V60" s="4">
        <v>0.86499999999999999</v>
      </c>
      <c r="W60" s="4">
        <v>0.873</v>
      </c>
      <c r="X60" s="4">
        <v>12421.4926</v>
      </c>
      <c r="Y60" s="4">
        <v>3.5000000000000003E-2</v>
      </c>
      <c r="Z60" s="4">
        <v>1</v>
      </c>
      <c r="AA60" s="4">
        <v>0</v>
      </c>
      <c r="AB60" s="4" t="s">
        <v>207</v>
      </c>
      <c r="AC60" s="17" t="s">
        <v>170</v>
      </c>
      <c r="AD60" s="20">
        <v>0.56201384758297424</v>
      </c>
      <c r="AE60" s="20">
        <v>0.43798615241702576</v>
      </c>
      <c r="AF60" s="10">
        <v>1</v>
      </c>
      <c r="AG60" s="4">
        <f t="shared" si="2"/>
        <v>1</v>
      </c>
      <c r="AH60" s="3">
        <f t="shared" si="3"/>
        <v>2</v>
      </c>
      <c r="AI60" s="4">
        <f t="shared" si="4"/>
        <v>1</v>
      </c>
      <c r="AJ60" s="4">
        <f t="shared" si="5"/>
        <v>2</v>
      </c>
      <c r="AK60" s="4">
        <f t="shared" si="6"/>
        <v>1</v>
      </c>
      <c r="AL60" s="4">
        <f t="shared" si="7"/>
        <v>2</v>
      </c>
      <c r="AM60" s="4">
        <f t="shared" si="8"/>
        <v>1</v>
      </c>
      <c r="AN60" s="4">
        <v>0</v>
      </c>
      <c r="AO60" s="4">
        <v>0</v>
      </c>
      <c r="AP60" s="4" t="s">
        <v>61</v>
      </c>
      <c r="AQ60" s="4" t="s">
        <v>63</v>
      </c>
      <c r="AR60" s="4">
        <v>0</v>
      </c>
      <c r="AS60" s="4" t="s">
        <v>170</v>
      </c>
      <c r="AT60" s="11">
        <f>(70+6)/AU60</f>
        <v>0.5</v>
      </c>
      <c r="AU60" s="4">
        <v>152</v>
      </c>
      <c r="AV60" s="11">
        <f>(70+17)/AW60</f>
        <v>0.57236842105263153</v>
      </c>
      <c r="AW60" s="4">
        <v>152</v>
      </c>
      <c r="AX60" s="10">
        <f t="shared" si="23"/>
        <v>76</v>
      </c>
      <c r="AY60" s="10">
        <f t="shared" si="24"/>
        <v>76</v>
      </c>
      <c r="AZ60" s="10">
        <f t="shared" si="25"/>
        <v>86.999999999999986</v>
      </c>
      <c r="BA60" s="10">
        <f t="shared" si="26"/>
        <v>65.000000000000014</v>
      </c>
      <c r="BB60" s="4">
        <f t="shared" si="9"/>
        <v>304</v>
      </c>
    </row>
    <row r="61" spans="1:54" x14ac:dyDescent="0.25">
      <c r="A61" s="9" t="str">
        <f t="shared" si="14"/>
        <v>18C</v>
      </c>
      <c r="B61" s="4">
        <v>18</v>
      </c>
      <c r="C61" s="4">
        <v>1</v>
      </c>
      <c r="D61" s="4" t="s">
        <v>67</v>
      </c>
      <c r="E61" s="4">
        <v>0</v>
      </c>
      <c r="F61" s="4">
        <v>1</v>
      </c>
      <c r="G61" s="4">
        <v>0</v>
      </c>
      <c r="H61" s="2" t="s">
        <v>167</v>
      </c>
      <c r="I61" s="2" t="s">
        <v>168</v>
      </c>
      <c r="J61" s="2" t="s">
        <v>229</v>
      </c>
      <c r="K61" s="4">
        <v>1</v>
      </c>
      <c r="L61" s="2" t="s">
        <v>146</v>
      </c>
      <c r="M61" s="1"/>
      <c r="N61" s="4">
        <v>1</v>
      </c>
      <c r="O61" s="4">
        <v>1</v>
      </c>
      <c r="P61" s="20">
        <f t="shared" si="1"/>
        <v>0.5</v>
      </c>
      <c r="Q61" s="4">
        <v>1987</v>
      </c>
      <c r="R61" s="4" t="s">
        <v>276</v>
      </c>
      <c r="S61" s="4">
        <v>1984</v>
      </c>
      <c r="T61" s="4" t="s">
        <v>157</v>
      </c>
      <c r="U61" s="4">
        <v>0.18</v>
      </c>
      <c r="V61" s="4">
        <v>0.86499999999999999</v>
      </c>
      <c r="W61" s="4">
        <v>0.873</v>
      </c>
      <c r="X61" s="4">
        <v>12421.4926</v>
      </c>
      <c r="Y61" s="4">
        <v>3.5000000000000003E-2</v>
      </c>
      <c r="Z61" s="4">
        <v>1</v>
      </c>
      <c r="AA61" s="4">
        <v>0</v>
      </c>
      <c r="AB61" s="4" t="s">
        <v>207</v>
      </c>
      <c r="AC61" s="17" t="s">
        <v>171</v>
      </c>
      <c r="AD61" s="20">
        <v>0.56201384758297424</v>
      </c>
      <c r="AE61" s="20">
        <v>0.43798615241702576</v>
      </c>
      <c r="AF61" s="10">
        <v>1</v>
      </c>
      <c r="AG61" s="4">
        <f t="shared" si="2"/>
        <v>1</v>
      </c>
      <c r="AH61" s="3">
        <f t="shared" si="3"/>
        <v>2</v>
      </c>
      <c r="AI61" s="4">
        <f t="shared" si="4"/>
        <v>1</v>
      </c>
      <c r="AJ61" s="4">
        <f t="shared" si="5"/>
        <v>2</v>
      </c>
      <c r="AK61" s="4">
        <f t="shared" si="6"/>
        <v>1</v>
      </c>
      <c r="AL61" s="4">
        <f t="shared" si="7"/>
        <v>2</v>
      </c>
      <c r="AM61" s="4">
        <f t="shared" si="8"/>
        <v>1</v>
      </c>
      <c r="AN61" s="4">
        <v>0</v>
      </c>
      <c r="AO61" s="4">
        <v>0</v>
      </c>
      <c r="AP61" s="4" t="s">
        <v>61</v>
      </c>
      <c r="AQ61" s="4" t="s">
        <v>63</v>
      </c>
      <c r="AR61" s="4">
        <v>0</v>
      </c>
      <c r="AS61" s="4" t="s">
        <v>171</v>
      </c>
      <c r="AT61" s="11">
        <f>(35+6)/AU61</f>
        <v>0.41414141414141414</v>
      </c>
      <c r="AU61" s="4">
        <v>99</v>
      </c>
      <c r="AV61" s="11">
        <f>(35+8)/AW61</f>
        <v>0.43434343434343436</v>
      </c>
      <c r="AW61" s="4">
        <v>99</v>
      </c>
      <c r="AX61" s="10">
        <f t="shared" si="23"/>
        <v>41</v>
      </c>
      <c r="AY61" s="10">
        <f t="shared" si="24"/>
        <v>58</v>
      </c>
      <c r="AZ61" s="10">
        <f t="shared" si="25"/>
        <v>43</v>
      </c>
      <c r="BA61" s="10">
        <f t="shared" si="26"/>
        <v>56</v>
      </c>
      <c r="BB61" s="4">
        <f t="shared" si="9"/>
        <v>198</v>
      </c>
    </row>
    <row r="62" spans="1:54" x14ac:dyDescent="0.25">
      <c r="A62" s="9" t="str">
        <f t="shared" si="14"/>
        <v>18D</v>
      </c>
      <c r="B62" s="4">
        <v>18</v>
      </c>
      <c r="C62" s="4">
        <v>1</v>
      </c>
      <c r="D62" s="4" t="s">
        <v>68</v>
      </c>
      <c r="E62" s="4">
        <v>0</v>
      </c>
      <c r="F62" s="4">
        <v>1</v>
      </c>
      <c r="G62" s="4">
        <v>0</v>
      </c>
      <c r="H62" s="2" t="s">
        <v>167</v>
      </c>
      <c r="I62" s="2" t="s">
        <v>168</v>
      </c>
      <c r="J62" s="2" t="s">
        <v>229</v>
      </c>
      <c r="K62" s="4">
        <v>1</v>
      </c>
      <c r="L62" s="2" t="s">
        <v>146</v>
      </c>
      <c r="M62" s="1"/>
      <c r="N62" s="4">
        <v>1</v>
      </c>
      <c r="O62" s="4">
        <v>1</v>
      </c>
      <c r="P62" s="20">
        <f t="shared" si="1"/>
        <v>0.5</v>
      </c>
      <c r="Q62" s="4">
        <v>1987</v>
      </c>
      <c r="R62" s="4" t="s">
        <v>276</v>
      </c>
      <c r="S62" s="4">
        <v>1984</v>
      </c>
      <c r="T62" s="4" t="s">
        <v>157</v>
      </c>
      <c r="U62" s="4">
        <v>0.18</v>
      </c>
      <c r="V62" s="4">
        <v>0.86499999999999999</v>
      </c>
      <c r="W62" s="4">
        <v>0.873</v>
      </c>
      <c r="X62" s="4">
        <v>12421.4926</v>
      </c>
      <c r="Y62" s="4">
        <v>3.5000000000000003E-2</v>
      </c>
      <c r="Z62" s="4">
        <v>1</v>
      </c>
      <c r="AA62" s="4">
        <v>0</v>
      </c>
      <c r="AB62" s="4" t="s">
        <v>207</v>
      </c>
      <c r="AC62" s="17" t="s">
        <v>172</v>
      </c>
      <c r="AD62" s="20">
        <v>0.56201384758297424</v>
      </c>
      <c r="AE62" s="20">
        <v>0.43798615241702576</v>
      </c>
      <c r="AF62" s="10">
        <v>1</v>
      </c>
      <c r="AG62" s="4">
        <f t="shared" si="2"/>
        <v>1</v>
      </c>
      <c r="AH62" s="3">
        <f t="shared" si="3"/>
        <v>2</v>
      </c>
      <c r="AI62" s="4">
        <f t="shared" si="4"/>
        <v>1</v>
      </c>
      <c r="AJ62" s="4">
        <f t="shared" si="5"/>
        <v>2</v>
      </c>
      <c r="AK62" s="4">
        <f t="shared" si="6"/>
        <v>1</v>
      </c>
      <c r="AL62" s="4">
        <f t="shared" si="7"/>
        <v>2</v>
      </c>
      <c r="AM62" s="4">
        <f t="shared" si="8"/>
        <v>1</v>
      </c>
      <c r="AN62" s="4">
        <v>0</v>
      </c>
      <c r="AO62" s="4">
        <v>0</v>
      </c>
      <c r="AP62" s="4" t="s">
        <v>61</v>
      </c>
      <c r="AQ62" s="4" t="s">
        <v>63</v>
      </c>
      <c r="AR62" s="4">
        <v>0</v>
      </c>
      <c r="AS62" s="4" t="s">
        <v>172</v>
      </c>
      <c r="AT62" s="11">
        <f>(53+11)/AU62</f>
        <v>0.55652173913043479</v>
      </c>
      <c r="AU62" s="4">
        <v>115</v>
      </c>
      <c r="AV62" s="11">
        <f>(53+7)/AW62</f>
        <v>0.52173913043478259</v>
      </c>
      <c r="AW62" s="4">
        <v>115</v>
      </c>
      <c r="AX62" s="10">
        <f t="shared" si="23"/>
        <v>64</v>
      </c>
      <c r="AY62" s="10">
        <f t="shared" si="24"/>
        <v>51</v>
      </c>
      <c r="AZ62" s="10">
        <f t="shared" si="25"/>
        <v>60</v>
      </c>
      <c r="BA62" s="10">
        <f t="shared" si="26"/>
        <v>55</v>
      </c>
      <c r="BB62" s="4">
        <f t="shared" si="9"/>
        <v>230</v>
      </c>
    </row>
    <row r="63" spans="1:54" x14ac:dyDescent="0.25">
      <c r="A63" s="9" t="str">
        <f t="shared" si="14"/>
        <v>18E</v>
      </c>
      <c r="B63" s="4">
        <v>18</v>
      </c>
      <c r="C63" s="4">
        <v>1</v>
      </c>
      <c r="D63" s="4" t="s">
        <v>102</v>
      </c>
      <c r="E63" s="4">
        <v>0</v>
      </c>
      <c r="F63" s="4">
        <v>1</v>
      </c>
      <c r="G63" s="4">
        <v>0</v>
      </c>
      <c r="H63" s="2" t="s">
        <v>167</v>
      </c>
      <c r="I63" s="2" t="s">
        <v>168</v>
      </c>
      <c r="J63" s="2" t="s">
        <v>229</v>
      </c>
      <c r="K63" s="4">
        <v>1</v>
      </c>
      <c r="L63" s="2" t="s">
        <v>146</v>
      </c>
      <c r="M63" s="1"/>
      <c r="N63" s="4">
        <v>1</v>
      </c>
      <c r="O63" s="4">
        <v>1</v>
      </c>
      <c r="P63" s="20">
        <f t="shared" si="1"/>
        <v>0.5</v>
      </c>
      <c r="Q63" s="4">
        <v>1987</v>
      </c>
      <c r="R63" s="4" t="s">
        <v>276</v>
      </c>
      <c r="S63" s="4">
        <v>1984</v>
      </c>
      <c r="T63" s="4" t="s">
        <v>157</v>
      </c>
      <c r="U63" s="4">
        <v>0.18</v>
      </c>
      <c r="V63" s="4">
        <v>0.86499999999999999</v>
      </c>
      <c r="W63" s="4">
        <v>0.873</v>
      </c>
      <c r="X63" s="4">
        <v>12421.4926</v>
      </c>
      <c r="Y63" s="4">
        <v>3.5000000000000003E-2</v>
      </c>
      <c r="Z63" s="4">
        <v>1</v>
      </c>
      <c r="AA63" s="4">
        <v>0</v>
      </c>
      <c r="AB63" s="4" t="s">
        <v>207</v>
      </c>
      <c r="AC63" s="17" t="s">
        <v>173</v>
      </c>
      <c r="AD63" s="20">
        <v>0.64701952685512709</v>
      </c>
      <c r="AE63" s="20">
        <v>0.35298047309246666</v>
      </c>
      <c r="AF63" s="10">
        <v>1</v>
      </c>
      <c r="AG63" s="4">
        <f t="shared" si="2"/>
        <v>1</v>
      </c>
      <c r="AH63" s="3">
        <f t="shared" si="3"/>
        <v>1</v>
      </c>
      <c r="AI63" s="4">
        <f t="shared" si="4"/>
        <v>1</v>
      </c>
      <c r="AJ63" s="4">
        <f t="shared" si="5"/>
        <v>2</v>
      </c>
      <c r="AK63" s="4">
        <f t="shared" si="6"/>
        <v>1</v>
      </c>
      <c r="AL63" s="4">
        <f t="shared" si="7"/>
        <v>2</v>
      </c>
      <c r="AM63" s="4">
        <f t="shared" si="8"/>
        <v>1</v>
      </c>
      <c r="AN63" s="4">
        <v>1</v>
      </c>
      <c r="AO63" s="4">
        <v>0</v>
      </c>
      <c r="AP63" s="4" t="s">
        <v>61</v>
      </c>
      <c r="AQ63" s="4" t="s">
        <v>63</v>
      </c>
      <c r="AR63" s="4">
        <v>0</v>
      </c>
      <c r="AS63" s="4" t="s">
        <v>173</v>
      </c>
      <c r="AT63" s="11">
        <f>(42+5)/AU63</f>
        <v>0.31756756756756754</v>
      </c>
      <c r="AU63" s="4">
        <v>148</v>
      </c>
      <c r="AV63" s="11">
        <f>(42+15)/AW63</f>
        <v>0.38513513513513514</v>
      </c>
      <c r="AW63" s="4">
        <v>148</v>
      </c>
      <c r="AX63" s="10">
        <f t="shared" si="23"/>
        <v>47</v>
      </c>
      <c r="AY63" s="10">
        <f t="shared" si="24"/>
        <v>101</v>
      </c>
      <c r="AZ63" s="10">
        <f t="shared" si="25"/>
        <v>57</v>
      </c>
      <c r="BA63" s="10">
        <f t="shared" si="26"/>
        <v>91</v>
      </c>
      <c r="BB63" s="4">
        <f t="shared" si="9"/>
        <v>296</v>
      </c>
    </row>
    <row r="64" spans="1:54" x14ac:dyDescent="0.25">
      <c r="A64" s="9" t="str">
        <f t="shared" si="14"/>
        <v>18F</v>
      </c>
      <c r="B64" s="4">
        <v>18</v>
      </c>
      <c r="C64" s="4">
        <v>1</v>
      </c>
      <c r="D64" s="4" t="s">
        <v>116</v>
      </c>
      <c r="E64" s="4">
        <v>0</v>
      </c>
      <c r="F64" s="4">
        <v>1</v>
      </c>
      <c r="G64" s="4">
        <v>0</v>
      </c>
      <c r="H64" s="2" t="s">
        <v>167</v>
      </c>
      <c r="I64" s="2" t="s">
        <v>168</v>
      </c>
      <c r="J64" s="2" t="s">
        <v>229</v>
      </c>
      <c r="K64" s="4">
        <v>1</v>
      </c>
      <c r="L64" s="2" t="s">
        <v>146</v>
      </c>
      <c r="M64" s="1"/>
      <c r="N64" s="4">
        <v>1</v>
      </c>
      <c r="O64" s="4">
        <v>1</v>
      </c>
      <c r="P64" s="20">
        <f t="shared" si="1"/>
        <v>0.5</v>
      </c>
      <c r="Q64" s="4">
        <v>1987</v>
      </c>
      <c r="R64" s="4" t="s">
        <v>276</v>
      </c>
      <c r="S64" s="4">
        <v>1984</v>
      </c>
      <c r="T64" s="4" t="s">
        <v>157</v>
      </c>
      <c r="U64" s="4">
        <v>0.18</v>
      </c>
      <c r="V64" s="4">
        <v>0.86499999999999999</v>
      </c>
      <c r="W64" s="4">
        <v>0.873</v>
      </c>
      <c r="X64" s="4">
        <v>12421.4926</v>
      </c>
      <c r="Y64" s="4">
        <v>3.5000000000000003E-2</v>
      </c>
      <c r="Z64" s="4">
        <v>1</v>
      </c>
      <c r="AA64" s="4">
        <v>0</v>
      </c>
      <c r="AB64" s="4" t="s">
        <v>207</v>
      </c>
      <c r="AC64" s="17" t="s">
        <v>275</v>
      </c>
      <c r="AD64" s="20">
        <v>0.56201384758297424</v>
      </c>
      <c r="AE64" s="20">
        <v>0.43798615241702576</v>
      </c>
      <c r="AF64" s="10">
        <v>2</v>
      </c>
      <c r="AG64" s="4">
        <f t="shared" si="2"/>
        <v>1</v>
      </c>
      <c r="AH64" s="3">
        <f t="shared" si="3"/>
        <v>2</v>
      </c>
      <c r="AI64" s="4">
        <f t="shared" si="4"/>
        <v>1</v>
      </c>
      <c r="AJ64" s="4">
        <f t="shared" si="5"/>
        <v>2</v>
      </c>
      <c r="AK64" s="4">
        <f t="shared" si="6"/>
        <v>1</v>
      </c>
      <c r="AL64" s="4">
        <f t="shared" si="7"/>
        <v>2</v>
      </c>
      <c r="AM64" s="4">
        <f t="shared" si="8"/>
        <v>1</v>
      </c>
      <c r="AN64" s="4">
        <v>0</v>
      </c>
      <c r="AO64" s="4">
        <v>0</v>
      </c>
      <c r="AP64" s="4" t="s">
        <v>61</v>
      </c>
      <c r="AQ64" s="4" t="s">
        <v>63</v>
      </c>
      <c r="AR64" s="4">
        <v>0</v>
      </c>
      <c r="AS64" s="4" t="s">
        <v>174</v>
      </c>
      <c r="AT64" s="11">
        <f>(26+7)/AU64</f>
        <v>0.35106382978723405</v>
      </c>
      <c r="AU64" s="4">
        <v>94</v>
      </c>
      <c r="AV64" s="11">
        <f>(26+5)/AW64</f>
        <v>0.32978723404255317</v>
      </c>
      <c r="AW64" s="4">
        <v>94</v>
      </c>
      <c r="AX64" s="10">
        <f t="shared" si="23"/>
        <v>33</v>
      </c>
      <c r="AY64" s="10">
        <f t="shared" si="24"/>
        <v>61</v>
      </c>
      <c r="AZ64" s="10">
        <f t="shared" si="25"/>
        <v>30.999999999999996</v>
      </c>
      <c r="BA64" s="10">
        <f t="shared" si="26"/>
        <v>63</v>
      </c>
      <c r="BB64" s="4">
        <f t="shared" si="9"/>
        <v>188</v>
      </c>
    </row>
    <row r="65" spans="1:54" x14ac:dyDescent="0.25">
      <c r="A65" s="9" t="str">
        <f t="shared" si="14"/>
        <v>18G</v>
      </c>
      <c r="B65" s="4">
        <v>18</v>
      </c>
      <c r="C65" s="4">
        <v>1</v>
      </c>
      <c r="D65" s="4" t="s">
        <v>117</v>
      </c>
      <c r="E65" s="4">
        <v>0</v>
      </c>
      <c r="F65" s="4">
        <v>1</v>
      </c>
      <c r="G65" s="4">
        <v>0</v>
      </c>
      <c r="H65" s="2" t="s">
        <v>167</v>
      </c>
      <c r="I65" s="2" t="s">
        <v>168</v>
      </c>
      <c r="J65" s="2" t="s">
        <v>229</v>
      </c>
      <c r="K65" s="4">
        <v>1</v>
      </c>
      <c r="L65" s="2" t="s">
        <v>146</v>
      </c>
      <c r="M65" s="1"/>
      <c r="N65" s="4">
        <v>1</v>
      </c>
      <c r="O65" s="4">
        <v>1</v>
      </c>
      <c r="P65" s="20">
        <f t="shared" si="1"/>
        <v>0.5</v>
      </c>
      <c r="Q65" s="4">
        <v>1987</v>
      </c>
      <c r="R65" s="4" t="s">
        <v>276</v>
      </c>
      <c r="S65" s="4">
        <v>1984</v>
      </c>
      <c r="T65" s="4" t="s">
        <v>157</v>
      </c>
      <c r="U65" s="4">
        <v>0.18</v>
      </c>
      <c r="V65" s="4">
        <v>0.86499999999999999</v>
      </c>
      <c r="W65" s="4">
        <v>0.873</v>
      </c>
      <c r="X65" s="4">
        <v>12421.4926</v>
      </c>
      <c r="Y65" s="4">
        <v>3.5000000000000003E-2</v>
      </c>
      <c r="Z65" s="4">
        <v>1</v>
      </c>
      <c r="AA65" s="4">
        <v>0</v>
      </c>
      <c r="AB65" s="4" t="s">
        <v>207</v>
      </c>
      <c r="AC65" s="17" t="s">
        <v>175</v>
      </c>
      <c r="AD65" s="20">
        <v>0.56201384758297424</v>
      </c>
      <c r="AE65" s="20">
        <v>0.43798615241702576</v>
      </c>
      <c r="AF65" s="10">
        <v>2</v>
      </c>
      <c r="AG65" s="4">
        <f t="shared" si="2"/>
        <v>1</v>
      </c>
      <c r="AH65" s="3">
        <f t="shared" si="3"/>
        <v>2</v>
      </c>
      <c r="AI65" s="4">
        <f t="shared" si="4"/>
        <v>1</v>
      </c>
      <c r="AJ65" s="4">
        <f t="shared" si="5"/>
        <v>2</v>
      </c>
      <c r="AK65" s="4">
        <f t="shared" si="6"/>
        <v>1</v>
      </c>
      <c r="AL65" s="4">
        <f t="shared" si="7"/>
        <v>2</v>
      </c>
      <c r="AM65" s="4">
        <f t="shared" si="8"/>
        <v>1</v>
      </c>
      <c r="AN65" s="4">
        <v>0</v>
      </c>
      <c r="AO65" s="4">
        <v>0</v>
      </c>
      <c r="AP65" s="4" t="s">
        <v>61</v>
      </c>
      <c r="AQ65" s="4" t="s">
        <v>63</v>
      </c>
      <c r="AR65" s="4">
        <v>0</v>
      </c>
      <c r="AS65" s="4" t="s">
        <v>175</v>
      </c>
      <c r="AT65" s="11">
        <f>(80+10)/AU65</f>
        <v>0.42654028436018959</v>
      </c>
      <c r="AU65" s="4">
        <v>211</v>
      </c>
      <c r="AV65" s="11">
        <f>(80+18)/AW65</f>
        <v>0.46445497630331756</v>
      </c>
      <c r="AW65" s="4">
        <v>211</v>
      </c>
      <c r="AX65" s="10">
        <f t="shared" si="23"/>
        <v>90</v>
      </c>
      <c r="AY65" s="10">
        <f t="shared" si="24"/>
        <v>121</v>
      </c>
      <c r="AZ65" s="10">
        <f t="shared" si="25"/>
        <v>98</v>
      </c>
      <c r="BA65" s="10">
        <f t="shared" si="26"/>
        <v>113</v>
      </c>
      <c r="BB65" s="4">
        <f t="shared" si="9"/>
        <v>422</v>
      </c>
    </row>
    <row r="66" spans="1:54" x14ac:dyDescent="0.25">
      <c r="A66" s="9" t="str">
        <f t="shared" si="14"/>
        <v>18H</v>
      </c>
      <c r="B66" s="4">
        <v>18</v>
      </c>
      <c r="C66" s="4">
        <v>1</v>
      </c>
      <c r="D66" s="4" t="s">
        <v>118</v>
      </c>
      <c r="E66" s="4">
        <v>0</v>
      </c>
      <c r="F66" s="4">
        <v>1</v>
      </c>
      <c r="G66" s="4">
        <v>0</v>
      </c>
      <c r="H66" s="2" t="s">
        <v>167</v>
      </c>
      <c r="I66" s="2" t="s">
        <v>168</v>
      </c>
      <c r="J66" s="2" t="s">
        <v>229</v>
      </c>
      <c r="K66" s="4">
        <v>1</v>
      </c>
      <c r="L66" s="2" t="s">
        <v>146</v>
      </c>
      <c r="M66" s="1"/>
      <c r="N66" s="4">
        <v>1</v>
      </c>
      <c r="O66" s="4">
        <v>1</v>
      </c>
      <c r="P66" s="20">
        <f t="shared" ref="P66:P129" si="27">N66/SUM(N66:O66)</f>
        <v>0.5</v>
      </c>
      <c r="Q66" s="4">
        <v>1987</v>
      </c>
      <c r="R66" s="4" t="s">
        <v>276</v>
      </c>
      <c r="S66" s="4">
        <v>1984</v>
      </c>
      <c r="T66" s="4" t="s">
        <v>157</v>
      </c>
      <c r="U66" s="4">
        <v>0.18</v>
      </c>
      <c r="V66" s="4">
        <v>0.86499999999999999</v>
      </c>
      <c r="W66" s="4">
        <v>0.873</v>
      </c>
      <c r="X66" s="4">
        <v>12421.4926</v>
      </c>
      <c r="Y66" s="4">
        <v>3.5000000000000003E-2</v>
      </c>
      <c r="Z66" s="4">
        <v>1</v>
      </c>
      <c r="AA66" s="4">
        <v>0</v>
      </c>
      <c r="AB66" s="4" t="s">
        <v>207</v>
      </c>
      <c r="AC66" s="17" t="s">
        <v>176</v>
      </c>
      <c r="AD66" s="20">
        <v>0.28515132039061086</v>
      </c>
      <c r="AE66" s="20">
        <v>0.71484867960938936</v>
      </c>
      <c r="AF66" s="10">
        <v>0</v>
      </c>
      <c r="AG66" s="4">
        <f t="shared" ref="AG66:AG129" si="28">IF(AF66=0,0,1)</f>
        <v>0</v>
      </c>
      <c r="AH66" s="3">
        <f t="shared" ref="AH66:AH129" si="29">IF(ISBLANK(AE66),2,IF(AE66&gt;0.6,0,IF(AE66&lt;0.4,1,2)))</f>
        <v>0</v>
      </c>
      <c r="AI66" s="4">
        <f t="shared" ref="AI66:AI129" si="30">IF(AH66=0,0,1)</f>
        <v>0</v>
      </c>
      <c r="AJ66" s="4">
        <f t="shared" ref="AJ66:AJ129" si="31">IF(ISBLANK(AE66),2,IF(AE66&gt;0.65,0,IF(AE66&lt;0.35,1,2)))</f>
        <v>0</v>
      </c>
      <c r="AK66" s="4">
        <f t="shared" ref="AK66:AK129" si="32">IF(AJ66=0,0,1)</f>
        <v>0</v>
      </c>
      <c r="AL66" s="4">
        <f t="shared" ref="AL66:AL129" si="33">IF(ISBLANK(AE66),2,IF(AE66&gt;0.7,0,IF(AE66&lt;0.3,1,2)))</f>
        <v>0</v>
      </c>
      <c r="AM66" s="4">
        <f t="shared" ref="AM66:AM129" si="34">IF(AL66=0,0,1)</f>
        <v>0</v>
      </c>
      <c r="AN66" s="4">
        <v>0</v>
      </c>
      <c r="AO66" s="4">
        <v>0</v>
      </c>
      <c r="AP66" s="4" t="s">
        <v>61</v>
      </c>
      <c r="AQ66" s="4" t="s">
        <v>63</v>
      </c>
      <c r="AR66" s="4">
        <v>0</v>
      </c>
      <c r="AS66" s="4" t="s">
        <v>176</v>
      </c>
      <c r="AT66" s="11">
        <f>(57+15)/AU66</f>
        <v>0.41860465116279072</v>
      </c>
      <c r="AU66" s="4">
        <v>172</v>
      </c>
      <c r="AV66" s="27">
        <f>(57+14)/AW66</f>
        <v>0.41279069767441862</v>
      </c>
      <c r="AW66" s="4">
        <v>172</v>
      </c>
      <c r="AX66" s="10">
        <f t="shared" si="23"/>
        <v>72</v>
      </c>
      <c r="AY66" s="10">
        <f t="shared" si="24"/>
        <v>100</v>
      </c>
      <c r="AZ66" s="10">
        <f t="shared" si="25"/>
        <v>71</v>
      </c>
      <c r="BA66" s="10">
        <f t="shared" si="26"/>
        <v>101</v>
      </c>
      <c r="BB66" s="4">
        <f t="shared" ref="BB66:BB129" si="35">SUM(AX66:BA66)</f>
        <v>344</v>
      </c>
    </row>
    <row r="67" spans="1:54" x14ac:dyDescent="0.25">
      <c r="A67" s="9" t="str">
        <f t="shared" si="14"/>
        <v>19A</v>
      </c>
      <c r="B67" s="3">
        <v>19</v>
      </c>
      <c r="C67" s="3">
        <v>1</v>
      </c>
      <c r="D67" s="3" t="s">
        <v>65</v>
      </c>
      <c r="E67" s="3">
        <v>1</v>
      </c>
      <c r="F67" s="3">
        <v>1</v>
      </c>
      <c r="G67" s="3">
        <v>0</v>
      </c>
      <c r="H67" s="1" t="s">
        <v>278</v>
      </c>
      <c r="I67" s="1" t="s">
        <v>279</v>
      </c>
      <c r="J67" s="1" t="s">
        <v>203</v>
      </c>
      <c r="K67" s="3">
        <v>1</v>
      </c>
      <c r="L67" s="1" t="s">
        <v>280</v>
      </c>
      <c r="M67" s="1" t="s">
        <v>482</v>
      </c>
      <c r="N67" s="3">
        <v>1</v>
      </c>
      <c r="O67" s="3">
        <v>0</v>
      </c>
      <c r="P67" s="19">
        <f t="shared" si="27"/>
        <v>1</v>
      </c>
      <c r="Q67" s="3">
        <v>2009</v>
      </c>
      <c r="R67" s="3">
        <v>2005</v>
      </c>
      <c r="S67" s="3">
        <v>2005</v>
      </c>
      <c r="T67" s="3" t="s">
        <v>133</v>
      </c>
      <c r="U67" s="3">
        <v>0.2</v>
      </c>
      <c r="V67" s="3">
        <v>0.91200000000000003</v>
      </c>
      <c r="W67" s="3">
        <v>0.86699999999999999</v>
      </c>
      <c r="X67" s="3">
        <v>42131.699399271165</v>
      </c>
      <c r="Y67" s="3">
        <v>4.5999999999999999E-2</v>
      </c>
      <c r="Z67" s="3">
        <v>0</v>
      </c>
      <c r="AA67" s="3">
        <v>0</v>
      </c>
      <c r="AB67" s="3" t="s">
        <v>207</v>
      </c>
      <c r="AC67" s="7" t="s">
        <v>277</v>
      </c>
      <c r="AD67" s="19">
        <v>0.64049999999999996</v>
      </c>
      <c r="AE67" s="19">
        <v>0.35950000000000004</v>
      </c>
      <c r="AF67" s="10">
        <v>2</v>
      </c>
      <c r="AG67" s="3">
        <f t="shared" si="28"/>
        <v>1</v>
      </c>
      <c r="AH67" s="3">
        <f t="shared" si="29"/>
        <v>1</v>
      </c>
      <c r="AI67" s="4">
        <f t="shared" si="30"/>
        <v>1</v>
      </c>
      <c r="AJ67" s="4">
        <f t="shared" si="31"/>
        <v>2</v>
      </c>
      <c r="AK67" s="4">
        <f t="shared" si="32"/>
        <v>1</v>
      </c>
      <c r="AL67" s="4">
        <f t="shared" si="33"/>
        <v>2</v>
      </c>
      <c r="AM67" s="4">
        <f t="shared" si="34"/>
        <v>1</v>
      </c>
      <c r="AN67" s="4">
        <v>0</v>
      </c>
      <c r="AO67" s="4">
        <v>0</v>
      </c>
      <c r="AP67" s="3" t="s">
        <v>100</v>
      </c>
      <c r="AQ67" s="4" t="s">
        <v>63</v>
      </c>
      <c r="AR67" s="3">
        <v>1</v>
      </c>
      <c r="AS67" s="3" t="s">
        <v>62</v>
      </c>
      <c r="AT67" s="16">
        <v>1.0999999999999999E-2</v>
      </c>
      <c r="AU67" s="3">
        <f>5120/2</f>
        <v>2560</v>
      </c>
      <c r="AV67" s="16">
        <v>1.7500000000000002E-2</v>
      </c>
      <c r="AW67" s="3">
        <f>5120/2</f>
        <v>2560</v>
      </c>
      <c r="AX67" s="8">
        <f t="shared" si="23"/>
        <v>28.159999999999997</v>
      </c>
      <c r="AY67" s="8">
        <f t="shared" si="24"/>
        <v>2531.84</v>
      </c>
      <c r="AZ67" s="8">
        <f t="shared" si="25"/>
        <v>44.800000000000004</v>
      </c>
      <c r="BA67" s="8">
        <f t="shared" si="26"/>
        <v>2515.1999999999998</v>
      </c>
      <c r="BB67" s="3">
        <f t="shared" si="35"/>
        <v>5120</v>
      </c>
    </row>
    <row r="68" spans="1:54" s="1" customFormat="1" x14ac:dyDescent="0.25">
      <c r="A68" s="9" t="str">
        <f t="shared" si="14"/>
        <v>20A</v>
      </c>
      <c r="B68" s="3">
        <v>20</v>
      </c>
      <c r="C68" s="3">
        <v>1</v>
      </c>
      <c r="D68" s="3" t="s">
        <v>65</v>
      </c>
      <c r="E68" s="3">
        <v>1</v>
      </c>
      <c r="F68" s="3">
        <v>0</v>
      </c>
      <c r="G68" s="3">
        <v>0</v>
      </c>
      <c r="H68" s="1" t="s">
        <v>289</v>
      </c>
      <c r="I68" s="1" t="s">
        <v>290</v>
      </c>
      <c r="J68" s="1" t="s">
        <v>229</v>
      </c>
      <c r="K68" s="14">
        <v>1</v>
      </c>
      <c r="L68" s="1" t="s">
        <v>288</v>
      </c>
      <c r="M68" s="1" t="s">
        <v>483</v>
      </c>
      <c r="N68" s="3">
        <v>1</v>
      </c>
      <c r="O68" s="3">
        <v>2</v>
      </c>
      <c r="P68" s="19">
        <f t="shared" si="27"/>
        <v>0.33333333333333331</v>
      </c>
      <c r="Q68" s="3">
        <v>2011</v>
      </c>
      <c r="R68" s="3" t="s">
        <v>287</v>
      </c>
      <c r="S68" s="3">
        <v>2006</v>
      </c>
      <c r="T68" s="3" t="s">
        <v>286</v>
      </c>
      <c r="U68" s="3">
        <v>0.11700000000000001</v>
      </c>
      <c r="V68" s="3">
        <v>0.86799999999999999</v>
      </c>
      <c r="W68" s="3">
        <v>0.745</v>
      </c>
      <c r="X68" s="3">
        <v>28389.078579987294</v>
      </c>
      <c r="Y68" s="3">
        <v>7.3999999999999996E-2</v>
      </c>
      <c r="Z68" s="3">
        <v>1</v>
      </c>
      <c r="AA68" s="3">
        <v>0</v>
      </c>
      <c r="AB68" s="3" t="s">
        <v>207</v>
      </c>
      <c r="AC68" s="7" t="s">
        <v>61</v>
      </c>
      <c r="AD68" s="3"/>
      <c r="AE68" s="3"/>
      <c r="AF68" s="10">
        <v>2</v>
      </c>
      <c r="AG68" s="3">
        <f t="shared" si="28"/>
        <v>1</v>
      </c>
      <c r="AH68" s="3">
        <f t="shared" si="29"/>
        <v>2</v>
      </c>
      <c r="AI68" s="4">
        <f t="shared" si="30"/>
        <v>1</v>
      </c>
      <c r="AJ68" s="4">
        <f t="shared" si="31"/>
        <v>2</v>
      </c>
      <c r="AK68" s="4">
        <f t="shared" si="32"/>
        <v>1</v>
      </c>
      <c r="AL68" s="4">
        <f t="shared" si="33"/>
        <v>2</v>
      </c>
      <c r="AM68" s="4">
        <f t="shared" si="34"/>
        <v>1</v>
      </c>
      <c r="AN68" s="4">
        <v>0</v>
      </c>
      <c r="AO68" s="4">
        <v>0</v>
      </c>
      <c r="AP68" s="3" t="s">
        <v>61</v>
      </c>
      <c r="AQ68" s="3" t="s">
        <v>97</v>
      </c>
      <c r="AR68" s="3">
        <v>1</v>
      </c>
      <c r="AS68" s="3" t="s">
        <v>62</v>
      </c>
      <c r="AT68" s="16">
        <v>0.10059999999999999</v>
      </c>
      <c r="AU68" s="3">
        <v>5310</v>
      </c>
      <c r="AV68" s="16">
        <v>7.4800000000000005E-2</v>
      </c>
      <c r="AW68" s="3">
        <v>5310</v>
      </c>
      <c r="AX68" s="8">
        <f t="shared" si="23"/>
        <v>534.18599999999992</v>
      </c>
      <c r="AY68" s="8">
        <f t="shared" si="24"/>
        <v>4775.8140000000003</v>
      </c>
      <c r="AZ68" s="8">
        <f t="shared" si="25"/>
        <v>397.18800000000005</v>
      </c>
      <c r="BA68" s="8">
        <f t="shared" si="26"/>
        <v>4912.8119999999999</v>
      </c>
      <c r="BB68" s="8">
        <f>SUM(AX68:BA68)</f>
        <v>10620</v>
      </c>
    </row>
    <row r="69" spans="1:54" s="1" customFormat="1" x14ac:dyDescent="0.25">
      <c r="A69" s="9" t="str">
        <f t="shared" si="14"/>
        <v>20B</v>
      </c>
      <c r="B69" s="4">
        <v>20</v>
      </c>
      <c r="C69" s="4">
        <v>1</v>
      </c>
      <c r="D69" s="4" t="s">
        <v>66</v>
      </c>
      <c r="E69" s="4">
        <v>0</v>
      </c>
      <c r="F69" s="4">
        <v>1</v>
      </c>
      <c r="G69" s="4">
        <v>0</v>
      </c>
      <c r="H69" s="2" t="s">
        <v>289</v>
      </c>
      <c r="I69" s="2" t="s">
        <v>290</v>
      </c>
      <c r="J69" s="2" t="s">
        <v>229</v>
      </c>
      <c r="K69" s="4">
        <v>1</v>
      </c>
      <c r="L69" s="2" t="s">
        <v>288</v>
      </c>
      <c r="N69" s="4">
        <v>1</v>
      </c>
      <c r="O69" s="4">
        <v>2</v>
      </c>
      <c r="P69" s="20">
        <f t="shared" si="27"/>
        <v>0.33333333333333331</v>
      </c>
      <c r="Q69" s="4">
        <v>2011</v>
      </c>
      <c r="R69" s="4" t="s">
        <v>287</v>
      </c>
      <c r="S69" s="4">
        <v>2006</v>
      </c>
      <c r="T69" s="4" t="s">
        <v>286</v>
      </c>
      <c r="U69" s="4">
        <v>0.11700000000000001</v>
      </c>
      <c r="V69" s="4">
        <v>0.86799999999999999</v>
      </c>
      <c r="W69" s="3">
        <v>0.745</v>
      </c>
      <c r="X69" s="4">
        <v>28389.078579987294</v>
      </c>
      <c r="Y69" s="4">
        <v>7.3999999999999996E-2</v>
      </c>
      <c r="Z69" s="4">
        <v>1</v>
      </c>
      <c r="AA69" s="4">
        <v>0</v>
      </c>
      <c r="AB69" s="4" t="s">
        <v>207</v>
      </c>
      <c r="AC69" s="17" t="s">
        <v>281</v>
      </c>
      <c r="AD69" s="20">
        <v>0.374</v>
      </c>
      <c r="AE69" s="20">
        <v>0.626</v>
      </c>
      <c r="AF69" s="10">
        <v>2</v>
      </c>
      <c r="AG69" s="4">
        <f t="shared" si="28"/>
        <v>1</v>
      </c>
      <c r="AH69" s="3">
        <f t="shared" si="29"/>
        <v>0</v>
      </c>
      <c r="AI69" s="4">
        <f t="shared" si="30"/>
        <v>0</v>
      </c>
      <c r="AJ69" s="4">
        <f t="shared" si="31"/>
        <v>2</v>
      </c>
      <c r="AK69" s="4">
        <f t="shared" si="32"/>
        <v>1</v>
      </c>
      <c r="AL69" s="4">
        <f t="shared" si="33"/>
        <v>2</v>
      </c>
      <c r="AM69" s="4">
        <f t="shared" si="34"/>
        <v>1</v>
      </c>
      <c r="AN69" s="4">
        <v>0</v>
      </c>
      <c r="AO69" s="4">
        <v>0</v>
      </c>
      <c r="AP69" s="4" t="s">
        <v>61</v>
      </c>
      <c r="AQ69" s="12" t="s">
        <v>97</v>
      </c>
      <c r="AR69" s="4">
        <v>1</v>
      </c>
      <c r="AS69" s="4" t="s">
        <v>281</v>
      </c>
      <c r="AT69" s="11">
        <v>0.16370000000000001</v>
      </c>
      <c r="AU69" s="4">
        <v>1130</v>
      </c>
      <c r="AV69" s="11">
        <v>0.1699</v>
      </c>
      <c r="AW69" s="4">
        <v>1130</v>
      </c>
      <c r="AX69" s="10">
        <f t="shared" si="23"/>
        <v>184.98100000000002</v>
      </c>
      <c r="AY69" s="10">
        <f t="shared" si="24"/>
        <v>945.01900000000001</v>
      </c>
      <c r="AZ69" s="10">
        <f t="shared" si="25"/>
        <v>191.98699999999999</v>
      </c>
      <c r="BA69" s="10">
        <f t="shared" si="26"/>
        <v>938.01300000000003</v>
      </c>
      <c r="BB69" s="10">
        <f t="shared" si="35"/>
        <v>2260</v>
      </c>
    </row>
    <row r="70" spans="1:54" x14ac:dyDescent="0.25">
      <c r="A70" s="9" t="str">
        <f t="shared" si="14"/>
        <v>20C</v>
      </c>
      <c r="B70" s="4">
        <v>20</v>
      </c>
      <c r="C70" s="4">
        <v>1</v>
      </c>
      <c r="D70" s="4" t="s">
        <v>67</v>
      </c>
      <c r="E70" s="4">
        <v>0</v>
      </c>
      <c r="F70" s="4">
        <v>1</v>
      </c>
      <c r="G70" s="4">
        <v>0</v>
      </c>
      <c r="H70" s="2" t="s">
        <v>289</v>
      </c>
      <c r="I70" s="2" t="s">
        <v>290</v>
      </c>
      <c r="J70" s="2" t="s">
        <v>229</v>
      </c>
      <c r="K70" s="4">
        <v>1</v>
      </c>
      <c r="L70" s="2" t="s">
        <v>288</v>
      </c>
      <c r="M70" s="1"/>
      <c r="N70" s="4">
        <v>1</v>
      </c>
      <c r="O70" s="4">
        <v>2</v>
      </c>
      <c r="P70" s="20">
        <f t="shared" si="27"/>
        <v>0.33333333333333331</v>
      </c>
      <c r="Q70" s="4">
        <v>2011</v>
      </c>
      <c r="R70" s="4" t="s">
        <v>287</v>
      </c>
      <c r="S70" s="4">
        <v>2006</v>
      </c>
      <c r="T70" s="4" t="s">
        <v>286</v>
      </c>
      <c r="U70" s="4">
        <v>0.11700000000000001</v>
      </c>
      <c r="V70" s="4">
        <v>0.86799999999999999</v>
      </c>
      <c r="W70" s="3">
        <v>0.745</v>
      </c>
      <c r="X70" s="4">
        <v>28389.078579987294</v>
      </c>
      <c r="Y70" s="4">
        <v>7.3999999999999996E-2</v>
      </c>
      <c r="Z70" s="4">
        <v>1</v>
      </c>
      <c r="AA70" s="4">
        <v>0</v>
      </c>
      <c r="AB70" s="4" t="s">
        <v>207</v>
      </c>
      <c r="AC70" s="17" t="s">
        <v>282</v>
      </c>
      <c r="AF70" s="10">
        <v>2</v>
      </c>
      <c r="AG70" s="4">
        <f t="shared" si="28"/>
        <v>1</v>
      </c>
      <c r="AH70" s="3">
        <f t="shared" si="29"/>
        <v>2</v>
      </c>
      <c r="AI70" s="4">
        <f t="shared" si="30"/>
        <v>1</v>
      </c>
      <c r="AJ70" s="4">
        <f t="shared" si="31"/>
        <v>2</v>
      </c>
      <c r="AK70" s="4">
        <f t="shared" si="32"/>
        <v>1</v>
      </c>
      <c r="AL70" s="4">
        <f t="shared" si="33"/>
        <v>2</v>
      </c>
      <c r="AM70" s="4">
        <f t="shared" si="34"/>
        <v>1</v>
      </c>
      <c r="AN70" s="4">
        <v>0</v>
      </c>
      <c r="AO70" s="4">
        <v>0</v>
      </c>
      <c r="AP70" s="4" t="s">
        <v>61</v>
      </c>
      <c r="AQ70" s="4" t="s">
        <v>97</v>
      </c>
      <c r="AR70" s="4">
        <v>1</v>
      </c>
      <c r="AS70" s="4" t="s">
        <v>282</v>
      </c>
      <c r="AT70" s="11">
        <v>2.3099999999999999E-2</v>
      </c>
      <c r="AU70" s="4">
        <v>1080</v>
      </c>
      <c r="AV70" s="11">
        <v>2.3099999999999999E-2</v>
      </c>
      <c r="AW70" s="4">
        <v>1080</v>
      </c>
      <c r="AX70" s="10">
        <f t="shared" si="23"/>
        <v>24.948</v>
      </c>
      <c r="AY70" s="10">
        <f t="shared" si="24"/>
        <v>1055.0519999999999</v>
      </c>
      <c r="AZ70" s="10">
        <f t="shared" si="25"/>
        <v>24.948</v>
      </c>
      <c r="BA70" s="10">
        <f t="shared" si="26"/>
        <v>1055.0519999999999</v>
      </c>
      <c r="BB70" s="4">
        <f t="shared" si="35"/>
        <v>2160</v>
      </c>
    </row>
    <row r="71" spans="1:54" x14ac:dyDescent="0.25">
      <c r="A71" s="9" t="str">
        <f t="shared" si="14"/>
        <v>20D</v>
      </c>
      <c r="B71" s="4">
        <v>20</v>
      </c>
      <c r="C71" s="4">
        <v>1</v>
      </c>
      <c r="D71" s="4" t="s">
        <v>68</v>
      </c>
      <c r="E71" s="4">
        <v>0</v>
      </c>
      <c r="F71" s="4">
        <v>1</v>
      </c>
      <c r="G71" s="4">
        <v>0</v>
      </c>
      <c r="H71" s="2" t="s">
        <v>289</v>
      </c>
      <c r="I71" s="2" t="s">
        <v>290</v>
      </c>
      <c r="J71" s="2" t="s">
        <v>229</v>
      </c>
      <c r="K71" s="4">
        <v>1</v>
      </c>
      <c r="L71" s="2" t="s">
        <v>288</v>
      </c>
      <c r="M71" s="1"/>
      <c r="N71" s="4">
        <v>1</v>
      </c>
      <c r="O71" s="4">
        <v>2</v>
      </c>
      <c r="P71" s="20">
        <f t="shared" si="27"/>
        <v>0.33333333333333331</v>
      </c>
      <c r="Q71" s="4">
        <v>2011</v>
      </c>
      <c r="R71" s="4" t="s">
        <v>287</v>
      </c>
      <c r="S71" s="4">
        <v>2006</v>
      </c>
      <c r="T71" s="4" t="s">
        <v>286</v>
      </c>
      <c r="U71" s="4">
        <v>0.11700000000000001</v>
      </c>
      <c r="V71" s="4">
        <v>0.86799999999999999</v>
      </c>
      <c r="W71" s="3">
        <v>0.745</v>
      </c>
      <c r="X71" s="4">
        <v>28389.078579987294</v>
      </c>
      <c r="Y71" s="4">
        <v>7.3999999999999996E-2</v>
      </c>
      <c r="Z71" s="4">
        <v>1</v>
      </c>
      <c r="AA71" s="4">
        <v>0</v>
      </c>
      <c r="AB71" s="4" t="s">
        <v>207</v>
      </c>
      <c r="AC71" s="17" t="s">
        <v>283</v>
      </c>
      <c r="AD71" s="20">
        <v>0.34799999999999998</v>
      </c>
      <c r="AE71" s="20">
        <v>0.65200000000000002</v>
      </c>
      <c r="AF71" s="10">
        <v>0</v>
      </c>
      <c r="AG71" s="4">
        <f t="shared" si="28"/>
        <v>0</v>
      </c>
      <c r="AH71" s="3">
        <f t="shared" si="29"/>
        <v>0</v>
      </c>
      <c r="AI71" s="4">
        <f t="shared" si="30"/>
        <v>0</v>
      </c>
      <c r="AJ71" s="4">
        <f t="shared" si="31"/>
        <v>0</v>
      </c>
      <c r="AK71" s="4">
        <f t="shared" si="32"/>
        <v>0</v>
      </c>
      <c r="AL71" s="4">
        <f t="shared" si="33"/>
        <v>2</v>
      </c>
      <c r="AM71" s="4">
        <f t="shared" si="34"/>
        <v>1</v>
      </c>
      <c r="AN71" s="4">
        <v>0</v>
      </c>
      <c r="AO71" s="4">
        <v>0</v>
      </c>
      <c r="AP71" s="4" t="s">
        <v>61</v>
      </c>
      <c r="AQ71" s="12" t="s">
        <v>97</v>
      </c>
      <c r="AR71" s="4">
        <v>1</v>
      </c>
      <c r="AS71" s="4" t="s">
        <v>283</v>
      </c>
      <c r="AT71" s="11">
        <v>0.11210000000000001</v>
      </c>
      <c r="AU71" s="4">
        <v>990</v>
      </c>
      <c r="AV71" s="11">
        <v>7.7799999999999994E-2</v>
      </c>
      <c r="AW71" s="4">
        <v>990</v>
      </c>
      <c r="AX71" s="10">
        <f t="shared" si="23"/>
        <v>110.979</v>
      </c>
      <c r="AY71" s="10">
        <f t="shared" si="24"/>
        <v>879.02099999999996</v>
      </c>
      <c r="AZ71" s="10">
        <f t="shared" si="25"/>
        <v>77.021999999999991</v>
      </c>
      <c r="BA71" s="10">
        <f t="shared" si="26"/>
        <v>912.97800000000007</v>
      </c>
      <c r="BB71" s="4">
        <f t="shared" si="35"/>
        <v>1980</v>
      </c>
    </row>
    <row r="72" spans="1:54" x14ac:dyDescent="0.25">
      <c r="A72" s="9" t="str">
        <f t="shared" si="14"/>
        <v>20E</v>
      </c>
      <c r="B72" s="4">
        <v>20</v>
      </c>
      <c r="C72" s="4">
        <v>1</v>
      </c>
      <c r="D72" s="4" t="s">
        <v>102</v>
      </c>
      <c r="E72" s="4">
        <v>0</v>
      </c>
      <c r="F72" s="4">
        <v>1</v>
      </c>
      <c r="G72" s="4">
        <v>0</v>
      </c>
      <c r="H72" s="2" t="s">
        <v>289</v>
      </c>
      <c r="I72" s="2" t="s">
        <v>290</v>
      </c>
      <c r="J72" s="2" t="s">
        <v>229</v>
      </c>
      <c r="K72" s="4">
        <v>1</v>
      </c>
      <c r="L72" s="2" t="s">
        <v>288</v>
      </c>
      <c r="M72" s="1"/>
      <c r="N72" s="4">
        <v>1</v>
      </c>
      <c r="O72" s="4">
        <v>2</v>
      </c>
      <c r="P72" s="20">
        <f t="shared" si="27"/>
        <v>0.33333333333333331</v>
      </c>
      <c r="Q72" s="4">
        <v>2011</v>
      </c>
      <c r="R72" s="4" t="s">
        <v>287</v>
      </c>
      <c r="S72" s="4">
        <v>2006</v>
      </c>
      <c r="T72" s="4" t="s">
        <v>286</v>
      </c>
      <c r="U72" s="4">
        <v>0.11700000000000001</v>
      </c>
      <c r="V72" s="4">
        <v>0.86799999999999999</v>
      </c>
      <c r="W72" s="3">
        <v>0.745</v>
      </c>
      <c r="X72" s="4">
        <v>28389.078579987294</v>
      </c>
      <c r="Y72" s="4">
        <v>7.3999999999999996E-2</v>
      </c>
      <c r="Z72" s="4">
        <v>1</v>
      </c>
      <c r="AA72" s="4">
        <v>0</v>
      </c>
      <c r="AB72" s="4" t="s">
        <v>207</v>
      </c>
      <c r="AC72" s="17" t="s">
        <v>147</v>
      </c>
      <c r="AD72" s="20">
        <v>0.47599999999999998</v>
      </c>
      <c r="AE72" s="20">
        <v>0.52400000000000002</v>
      </c>
      <c r="AF72" s="10">
        <v>2</v>
      </c>
      <c r="AG72" s="4">
        <f t="shared" si="28"/>
        <v>1</v>
      </c>
      <c r="AH72" s="3">
        <f t="shared" si="29"/>
        <v>2</v>
      </c>
      <c r="AI72" s="4">
        <f t="shared" si="30"/>
        <v>1</v>
      </c>
      <c r="AJ72" s="4">
        <f t="shared" si="31"/>
        <v>2</v>
      </c>
      <c r="AK72" s="4">
        <f t="shared" si="32"/>
        <v>1</v>
      </c>
      <c r="AL72" s="4">
        <f t="shared" si="33"/>
        <v>2</v>
      </c>
      <c r="AM72" s="4">
        <f t="shared" si="34"/>
        <v>1</v>
      </c>
      <c r="AN72" s="4">
        <v>0</v>
      </c>
      <c r="AO72" s="4">
        <v>0</v>
      </c>
      <c r="AP72" s="4" t="s">
        <v>61</v>
      </c>
      <c r="AQ72" s="4" t="s">
        <v>97</v>
      </c>
      <c r="AR72" s="4">
        <v>1</v>
      </c>
      <c r="AS72" s="4" t="s">
        <v>147</v>
      </c>
      <c r="AT72" s="11">
        <v>6.9900000000000004E-2</v>
      </c>
      <c r="AU72" s="4">
        <v>830</v>
      </c>
      <c r="AV72" s="11">
        <v>6.3899999999999998E-2</v>
      </c>
      <c r="AW72" s="4">
        <v>830</v>
      </c>
      <c r="AX72" s="10">
        <f t="shared" si="23"/>
        <v>58.017000000000003</v>
      </c>
      <c r="AY72" s="10">
        <f t="shared" si="24"/>
        <v>771.98299999999995</v>
      </c>
      <c r="AZ72" s="10">
        <f t="shared" si="25"/>
        <v>53.036999999999999</v>
      </c>
      <c r="BA72" s="10">
        <f t="shared" si="26"/>
        <v>776.96299999999997</v>
      </c>
      <c r="BB72" s="4">
        <f t="shared" si="35"/>
        <v>1660</v>
      </c>
    </row>
    <row r="73" spans="1:54" x14ac:dyDescent="0.25">
      <c r="A73" s="9" t="str">
        <f t="shared" si="14"/>
        <v>20F</v>
      </c>
      <c r="B73" s="4">
        <v>20</v>
      </c>
      <c r="C73" s="4">
        <v>1</v>
      </c>
      <c r="D73" s="4" t="s">
        <v>116</v>
      </c>
      <c r="E73" s="4">
        <v>0</v>
      </c>
      <c r="F73" s="4">
        <v>1</v>
      </c>
      <c r="G73" s="4">
        <v>0</v>
      </c>
      <c r="H73" s="2" t="s">
        <v>289</v>
      </c>
      <c r="I73" s="2" t="s">
        <v>290</v>
      </c>
      <c r="J73" s="2" t="s">
        <v>229</v>
      </c>
      <c r="K73" s="4">
        <v>1</v>
      </c>
      <c r="L73" s="2" t="s">
        <v>288</v>
      </c>
      <c r="M73" s="1"/>
      <c r="N73" s="4">
        <v>1</v>
      </c>
      <c r="O73" s="4">
        <v>2</v>
      </c>
      <c r="P73" s="20">
        <f t="shared" si="27"/>
        <v>0.33333333333333331</v>
      </c>
      <c r="Q73" s="4">
        <v>2011</v>
      </c>
      <c r="R73" s="4" t="s">
        <v>287</v>
      </c>
      <c r="S73" s="4">
        <v>2006</v>
      </c>
      <c r="T73" s="4" t="s">
        <v>286</v>
      </c>
      <c r="U73" s="4">
        <v>0.11700000000000001</v>
      </c>
      <c r="V73" s="4">
        <v>0.86799999999999999</v>
      </c>
      <c r="W73" s="3">
        <v>0.745</v>
      </c>
      <c r="X73" s="4">
        <v>28389.078579987294</v>
      </c>
      <c r="Y73" s="4">
        <v>7.3999999999999996E-2</v>
      </c>
      <c r="Z73" s="4">
        <v>1</v>
      </c>
      <c r="AA73" s="4">
        <v>0</v>
      </c>
      <c r="AB73" s="4" t="s">
        <v>207</v>
      </c>
      <c r="AC73" s="17" t="s">
        <v>284</v>
      </c>
      <c r="AD73" s="20">
        <v>0.34799999999999998</v>
      </c>
      <c r="AE73" s="20">
        <v>0.65200000000000002</v>
      </c>
      <c r="AF73" s="10">
        <v>0</v>
      </c>
      <c r="AG73" s="4">
        <f t="shared" si="28"/>
        <v>0</v>
      </c>
      <c r="AH73" s="3">
        <f t="shared" si="29"/>
        <v>0</v>
      </c>
      <c r="AI73" s="4">
        <f t="shared" si="30"/>
        <v>0</v>
      </c>
      <c r="AJ73" s="4">
        <f t="shared" si="31"/>
        <v>0</v>
      </c>
      <c r="AK73" s="4">
        <f t="shared" si="32"/>
        <v>0</v>
      </c>
      <c r="AL73" s="4">
        <f t="shared" si="33"/>
        <v>2</v>
      </c>
      <c r="AM73" s="4">
        <f t="shared" si="34"/>
        <v>1</v>
      </c>
      <c r="AN73" s="4">
        <v>0</v>
      </c>
      <c r="AO73" s="4">
        <v>0</v>
      </c>
      <c r="AP73" s="4" t="s">
        <v>61</v>
      </c>
      <c r="AQ73" s="4" t="s">
        <v>97</v>
      </c>
      <c r="AR73" s="4">
        <v>1</v>
      </c>
      <c r="AS73" s="4" t="s">
        <v>284</v>
      </c>
      <c r="AT73" s="11">
        <v>0.1045</v>
      </c>
      <c r="AU73" s="4">
        <v>880</v>
      </c>
      <c r="AV73" s="11">
        <v>3.4099999999999998E-2</v>
      </c>
      <c r="AW73" s="4">
        <v>880</v>
      </c>
      <c r="AX73" s="10">
        <f t="shared" si="23"/>
        <v>91.96</v>
      </c>
      <c r="AY73" s="10">
        <f t="shared" si="24"/>
        <v>788.04</v>
      </c>
      <c r="AZ73" s="10">
        <f t="shared" si="25"/>
        <v>30.007999999999999</v>
      </c>
      <c r="BA73" s="10">
        <f t="shared" si="26"/>
        <v>849.99199999999996</v>
      </c>
      <c r="BB73" s="4">
        <f t="shared" si="35"/>
        <v>1760</v>
      </c>
    </row>
    <row r="74" spans="1:54" x14ac:dyDescent="0.25">
      <c r="A74" s="9" t="str">
        <f t="shared" si="14"/>
        <v>20G</v>
      </c>
      <c r="B74" s="4">
        <v>20</v>
      </c>
      <c r="C74" s="4">
        <v>1</v>
      </c>
      <c r="D74" s="4" t="s">
        <v>117</v>
      </c>
      <c r="E74" s="4">
        <v>0</v>
      </c>
      <c r="F74" s="4">
        <v>1</v>
      </c>
      <c r="G74" s="4">
        <v>0</v>
      </c>
      <c r="H74" s="2" t="s">
        <v>289</v>
      </c>
      <c r="I74" s="2" t="s">
        <v>290</v>
      </c>
      <c r="J74" s="2" t="s">
        <v>229</v>
      </c>
      <c r="K74" s="4">
        <v>1</v>
      </c>
      <c r="L74" s="2" t="s">
        <v>288</v>
      </c>
      <c r="M74" s="1"/>
      <c r="N74" s="4">
        <v>1</v>
      </c>
      <c r="O74" s="4">
        <v>2</v>
      </c>
      <c r="P74" s="20">
        <f t="shared" si="27"/>
        <v>0.33333333333333331</v>
      </c>
      <c r="Q74" s="4">
        <v>2011</v>
      </c>
      <c r="R74" s="4" t="s">
        <v>287</v>
      </c>
      <c r="S74" s="4">
        <v>2006</v>
      </c>
      <c r="T74" s="4" t="s">
        <v>286</v>
      </c>
      <c r="U74" s="4">
        <v>0.11700000000000001</v>
      </c>
      <c r="V74" s="4">
        <v>0.86799999999999999</v>
      </c>
      <c r="W74" s="3">
        <v>0.745</v>
      </c>
      <c r="X74" s="4">
        <v>28389.078579987294</v>
      </c>
      <c r="Y74" s="4">
        <v>7.3999999999999996E-2</v>
      </c>
      <c r="Z74" s="4">
        <v>1</v>
      </c>
      <c r="AA74" s="4">
        <v>0</v>
      </c>
      <c r="AB74" s="4" t="s">
        <v>207</v>
      </c>
      <c r="AC74" s="17" t="s">
        <v>285</v>
      </c>
      <c r="AF74" s="10">
        <v>0</v>
      </c>
      <c r="AG74" s="4">
        <f t="shared" si="28"/>
        <v>0</v>
      </c>
      <c r="AH74" s="3">
        <f t="shared" si="29"/>
        <v>2</v>
      </c>
      <c r="AI74" s="4">
        <f t="shared" si="30"/>
        <v>1</v>
      </c>
      <c r="AJ74" s="4">
        <f t="shared" si="31"/>
        <v>2</v>
      </c>
      <c r="AK74" s="4">
        <f t="shared" si="32"/>
        <v>1</v>
      </c>
      <c r="AL74" s="4">
        <f t="shared" si="33"/>
        <v>2</v>
      </c>
      <c r="AM74" s="4">
        <f t="shared" si="34"/>
        <v>1</v>
      </c>
      <c r="AN74" s="4">
        <v>0</v>
      </c>
      <c r="AO74" s="4">
        <v>0</v>
      </c>
      <c r="AP74" s="4" t="s">
        <v>61</v>
      </c>
      <c r="AQ74" s="4" t="s">
        <v>97</v>
      </c>
      <c r="AR74" s="4">
        <v>1</v>
      </c>
      <c r="AS74" s="4" t="s">
        <v>285</v>
      </c>
      <c r="AT74" s="11">
        <v>0.1575</v>
      </c>
      <c r="AU74" s="4">
        <v>400</v>
      </c>
      <c r="AV74" s="11">
        <v>0.05</v>
      </c>
      <c r="AW74" s="4">
        <v>400</v>
      </c>
      <c r="AX74" s="10">
        <f t="shared" si="23"/>
        <v>63</v>
      </c>
      <c r="AY74" s="10">
        <f t="shared" si="24"/>
        <v>337</v>
      </c>
      <c r="AZ74" s="10">
        <f t="shared" si="25"/>
        <v>20</v>
      </c>
      <c r="BA74" s="10">
        <f t="shared" si="26"/>
        <v>380</v>
      </c>
      <c r="BB74" s="4">
        <f t="shared" si="35"/>
        <v>800</v>
      </c>
    </row>
    <row r="75" spans="1:54" x14ac:dyDescent="0.25">
      <c r="A75" s="9" t="str">
        <f t="shared" si="14"/>
        <v>21A</v>
      </c>
      <c r="B75" s="3">
        <v>21</v>
      </c>
      <c r="C75" s="3">
        <v>1</v>
      </c>
      <c r="D75" s="3" t="s">
        <v>65</v>
      </c>
      <c r="E75" s="3">
        <v>1</v>
      </c>
      <c r="F75" s="3">
        <v>1</v>
      </c>
      <c r="G75" s="3">
        <v>0</v>
      </c>
      <c r="H75" s="1" t="s">
        <v>293</v>
      </c>
      <c r="I75" s="1" t="s">
        <v>294</v>
      </c>
      <c r="J75" s="1" t="s">
        <v>229</v>
      </c>
      <c r="K75" s="3">
        <v>1</v>
      </c>
      <c r="L75" s="1" t="s">
        <v>292</v>
      </c>
      <c r="M75" s="1" t="s">
        <v>484</v>
      </c>
      <c r="N75" s="3">
        <v>0</v>
      </c>
      <c r="O75" s="3">
        <v>1</v>
      </c>
      <c r="P75" s="19">
        <f t="shared" si="27"/>
        <v>0</v>
      </c>
      <c r="Q75" s="3">
        <v>1981</v>
      </c>
      <c r="R75" s="3">
        <v>1976</v>
      </c>
      <c r="S75" s="3">
        <v>1976</v>
      </c>
      <c r="T75" s="3" t="s">
        <v>291</v>
      </c>
      <c r="U75" s="3">
        <v>0.184</v>
      </c>
      <c r="V75" s="3">
        <v>0.86</v>
      </c>
      <c r="W75" s="3">
        <v>0.80600000000000005</v>
      </c>
      <c r="X75" s="3">
        <v>8809.2646604493348</v>
      </c>
      <c r="Y75" s="3">
        <v>2.5999999999999999E-2</v>
      </c>
      <c r="Z75" s="3">
        <v>0</v>
      </c>
      <c r="AA75" s="3">
        <v>0</v>
      </c>
      <c r="AB75" s="3" t="s">
        <v>207</v>
      </c>
      <c r="AC75" s="7" t="s">
        <v>676</v>
      </c>
      <c r="AD75" s="19">
        <v>0.63287514318442151</v>
      </c>
      <c r="AE75" s="19">
        <v>0.36712485681557844</v>
      </c>
      <c r="AF75" s="10">
        <v>2</v>
      </c>
      <c r="AG75" s="4">
        <f t="shared" si="28"/>
        <v>1</v>
      </c>
      <c r="AH75" s="3">
        <f t="shared" si="29"/>
        <v>1</v>
      </c>
      <c r="AI75" s="4">
        <f t="shared" si="30"/>
        <v>1</v>
      </c>
      <c r="AJ75" s="4">
        <f t="shared" si="31"/>
        <v>2</v>
      </c>
      <c r="AK75" s="4">
        <f t="shared" si="32"/>
        <v>1</v>
      </c>
      <c r="AL75" s="4">
        <f t="shared" si="33"/>
        <v>2</v>
      </c>
      <c r="AM75" s="4">
        <f t="shared" si="34"/>
        <v>1</v>
      </c>
      <c r="AN75" s="4">
        <v>0</v>
      </c>
      <c r="AO75" s="4">
        <v>0</v>
      </c>
      <c r="AP75" s="3" t="s">
        <v>121</v>
      </c>
      <c r="AQ75" s="3" t="s">
        <v>63</v>
      </c>
      <c r="AR75" s="3">
        <v>1</v>
      </c>
      <c r="AS75" s="3" t="s">
        <v>62</v>
      </c>
      <c r="AT75" s="16">
        <f>(3+6)/(41+41)</f>
        <v>0.10975609756097561</v>
      </c>
      <c r="AU75" s="3">
        <f>41+41</f>
        <v>82</v>
      </c>
      <c r="AV75" s="16">
        <f>(4+7)/(39+42)</f>
        <v>0.13580246913580246</v>
      </c>
      <c r="AW75" s="3">
        <f>39+42</f>
        <v>81</v>
      </c>
      <c r="AX75" s="8">
        <f t="shared" si="23"/>
        <v>9</v>
      </c>
      <c r="AY75" s="8">
        <f t="shared" si="24"/>
        <v>73</v>
      </c>
      <c r="AZ75" s="8">
        <f t="shared" si="25"/>
        <v>11</v>
      </c>
      <c r="BA75" s="8">
        <f t="shared" si="26"/>
        <v>70</v>
      </c>
      <c r="BB75" s="8">
        <f t="shared" si="35"/>
        <v>163</v>
      </c>
    </row>
    <row r="76" spans="1:54" s="1" customFormat="1" x14ac:dyDescent="0.25">
      <c r="A76" s="9" t="str">
        <f t="shared" si="14"/>
        <v>22A</v>
      </c>
      <c r="B76" s="3">
        <v>22</v>
      </c>
      <c r="C76" s="3">
        <v>1</v>
      </c>
      <c r="D76" s="3" t="s">
        <v>65</v>
      </c>
      <c r="E76" s="3">
        <v>1</v>
      </c>
      <c r="F76" s="3">
        <v>0</v>
      </c>
      <c r="G76" s="3">
        <v>0</v>
      </c>
      <c r="H76" s="1" t="s">
        <v>186</v>
      </c>
      <c r="I76" s="1" t="s">
        <v>187</v>
      </c>
      <c r="J76" s="1" t="s">
        <v>203</v>
      </c>
      <c r="K76" s="14">
        <v>1</v>
      </c>
      <c r="L76" s="1" t="s">
        <v>599</v>
      </c>
      <c r="M76" s="1" t="s">
        <v>485</v>
      </c>
      <c r="N76" s="3">
        <v>0</v>
      </c>
      <c r="O76" s="3">
        <v>1</v>
      </c>
      <c r="P76" s="19">
        <f t="shared" si="27"/>
        <v>0</v>
      </c>
      <c r="Q76" s="3">
        <v>2011</v>
      </c>
      <c r="R76" s="3" t="s">
        <v>287</v>
      </c>
      <c r="S76" s="3">
        <v>2005</v>
      </c>
      <c r="T76" s="3" t="s">
        <v>51</v>
      </c>
      <c r="U76" s="3">
        <v>5.1999999999999998E-2</v>
      </c>
      <c r="V76" s="14">
        <v>0.91</v>
      </c>
      <c r="W76" s="14">
        <v>0.85299999999999998</v>
      </c>
      <c r="X76" s="3">
        <v>43437.063116477562</v>
      </c>
      <c r="Y76" s="3">
        <v>0.115</v>
      </c>
      <c r="Z76" s="3">
        <v>1</v>
      </c>
      <c r="AA76" s="3">
        <v>0</v>
      </c>
      <c r="AB76" s="3" t="s">
        <v>207</v>
      </c>
      <c r="AC76" s="7" t="s">
        <v>61</v>
      </c>
      <c r="AD76" s="3"/>
      <c r="AE76" s="3"/>
      <c r="AF76" s="10">
        <v>2</v>
      </c>
      <c r="AG76" s="3">
        <f t="shared" si="28"/>
        <v>1</v>
      </c>
      <c r="AH76" s="3">
        <f t="shared" si="29"/>
        <v>2</v>
      </c>
      <c r="AI76" s="4">
        <f t="shared" si="30"/>
        <v>1</v>
      </c>
      <c r="AJ76" s="4">
        <f t="shared" si="31"/>
        <v>2</v>
      </c>
      <c r="AK76" s="4">
        <f t="shared" si="32"/>
        <v>1</v>
      </c>
      <c r="AL76" s="4">
        <f t="shared" si="33"/>
        <v>2</v>
      </c>
      <c r="AM76" s="4">
        <f t="shared" si="34"/>
        <v>1</v>
      </c>
      <c r="AN76" s="4">
        <v>0</v>
      </c>
      <c r="AO76" s="4">
        <v>0</v>
      </c>
      <c r="AP76" s="3" t="s">
        <v>61</v>
      </c>
      <c r="AQ76" s="3" t="s">
        <v>63</v>
      </c>
      <c r="AR76" s="3">
        <v>0</v>
      </c>
      <c r="AS76" s="3" t="s">
        <v>62</v>
      </c>
      <c r="AT76" s="16">
        <v>0.31</v>
      </c>
      <c r="AU76" s="3">
        <v>1614</v>
      </c>
      <c r="AV76" s="16">
        <v>0.28999999999999998</v>
      </c>
      <c r="AW76" s="3">
        <v>1614</v>
      </c>
      <c r="AX76" s="8">
        <f>336+171</f>
        <v>507</v>
      </c>
      <c r="AY76" s="8">
        <f t="shared" si="24"/>
        <v>1107</v>
      </c>
      <c r="AZ76" s="8">
        <f>336+125</f>
        <v>461</v>
      </c>
      <c r="BA76" s="8">
        <f t="shared" si="26"/>
        <v>1153</v>
      </c>
      <c r="BB76" s="3">
        <f t="shared" si="35"/>
        <v>3228</v>
      </c>
    </row>
    <row r="77" spans="1:54" s="1" customFormat="1" x14ac:dyDescent="0.25">
      <c r="A77" s="9" t="str">
        <f t="shared" si="14"/>
        <v>22B</v>
      </c>
      <c r="B77" s="4">
        <v>22</v>
      </c>
      <c r="C77" s="4">
        <v>1</v>
      </c>
      <c r="D77" s="4" t="s">
        <v>66</v>
      </c>
      <c r="E77" s="4">
        <v>0</v>
      </c>
      <c r="F77" s="4">
        <v>1</v>
      </c>
      <c r="G77" s="4">
        <v>0</v>
      </c>
      <c r="H77" s="2" t="s">
        <v>186</v>
      </c>
      <c r="I77" s="2" t="s">
        <v>187</v>
      </c>
      <c r="J77" s="2" t="s">
        <v>203</v>
      </c>
      <c r="K77" s="4">
        <v>1</v>
      </c>
      <c r="L77" s="2" t="s">
        <v>599</v>
      </c>
      <c r="N77" s="4">
        <v>0</v>
      </c>
      <c r="O77" s="4">
        <v>1</v>
      </c>
      <c r="P77" s="20">
        <f t="shared" si="27"/>
        <v>0</v>
      </c>
      <c r="Q77" s="4">
        <v>2011</v>
      </c>
      <c r="R77" s="4" t="s">
        <v>287</v>
      </c>
      <c r="S77" s="4">
        <v>2005</v>
      </c>
      <c r="T77" s="4" t="s">
        <v>51</v>
      </c>
      <c r="U77" s="4">
        <v>5.1999999999999998E-2</v>
      </c>
      <c r="V77" s="12">
        <v>0.91</v>
      </c>
      <c r="W77" s="12">
        <v>0.85299999999999998</v>
      </c>
      <c r="X77" s="4">
        <v>43437.063116477562</v>
      </c>
      <c r="Y77" s="4">
        <v>0.115</v>
      </c>
      <c r="Z77" s="4">
        <v>1</v>
      </c>
      <c r="AA77" s="4">
        <v>0</v>
      </c>
      <c r="AB77" s="4" t="s">
        <v>207</v>
      </c>
      <c r="AC77" s="17" t="s">
        <v>295</v>
      </c>
      <c r="AD77" s="20">
        <v>0.76500000000000001</v>
      </c>
      <c r="AE77" s="20">
        <v>0.23499999999999999</v>
      </c>
      <c r="AF77" s="10">
        <v>1</v>
      </c>
      <c r="AG77" s="4">
        <f t="shared" si="28"/>
        <v>1</v>
      </c>
      <c r="AH77" s="3">
        <f t="shared" si="29"/>
        <v>1</v>
      </c>
      <c r="AI77" s="4">
        <f t="shared" si="30"/>
        <v>1</v>
      </c>
      <c r="AJ77" s="4">
        <f t="shared" si="31"/>
        <v>1</v>
      </c>
      <c r="AK77" s="4">
        <f t="shared" si="32"/>
        <v>1</v>
      </c>
      <c r="AL77" s="4">
        <f t="shared" si="33"/>
        <v>1</v>
      </c>
      <c r="AM77" s="4">
        <f t="shared" si="34"/>
        <v>1</v>
      </c>
      <c r="AN77" s="4">
        <v>0</v>
      </c>
      <c r="AO77" s="4">
        <v>0</v>
      </c>
      <c r="AP77" s="4" t="s">
        <v>61</v>
      </c>
      <c r="AQ77" s="4" t="s">
        <v>63</v>
      </c>
      <c r="AR77" s="4">
        <v>0</v>
      </c>
      <c r="AS77" s="4" t="s">
        <v>295</v>
      </c>
      <c r="AT77" s="11">
        <v>0.23</v>
      </c>
      <c r="AU77" s="4">
        <v>106</v>
      </c>
      <c r="AV77" s="11">
        <v>0.22</v>
      </c>
      <c r="AW77" s="4">
        <v>106</v>
      </c>
      <c r="AX77" s="10">
        <f>14+10</f>
        <v>24</v>
      </c>
      <c r="AY77" s="10">
        <f t="shared" si="24"/>
        <v>82</v>
      </c>
      <c r="AZ77" s="10">
        <f>14+9</f>
        <v>23</v>
      </c>
      <c r="BA77" s="10">
        <f t="shared" si="26"/>
        <v>83</v>
      </c>
      <c r="BB77" s="10">
        <f t="shared" si="35"/>
        <v>212</v>
      </c>
    </row>
    <row r="78" spans="1:54" x14ac:dyDescent="0.25">
      <c r="A78" s="9" t="str">
        <f t="shared" si="14"/>
        <v>22C</v>
      </c>
      <c r="B78" s="4">
        <v>22</v>
      </c>
      <c r="C78" s="4">
        <v>1</v>
      </c>
      <c r="D78" s="4" t="s">
        <v>67</v>
      </c>
      <c r="E78" s="4">
        <v>0</v>
      </c>
      <c r="F78" s="4">
        <v>1</v>
      </c>
      <c r="G78" s="4">
        <v>0</v>
      </c>
      <c r="H78" s="2" t="s">
        <v>186</v>
      </c>
      <c r="I78" s="2" t="s">
        <v>187</v>
      </c>
      <c r="J78" s="2" t="s">
        <v>203</v>
      </c>
      <c r="K78" s="4">
        <v>1</v>
      </c>
      <c r="L78" s="2" t="s">
        <v>599</v>
      </c>
      <c r="M78" s="1"/>
      <c r="N78" s="4">
        <v>0</v>
      </c>
      <c r="O78" s="4">
        <v>1</v>
      </c>
      <c r="P78" s="20">
        <f t="shared" si="27"/>
        <v>0</v>
      </c>
      <c r="Q78" s="4">
        <v>2011</v>
      </c>
      <c r="R78" s="4" t="s">
        <v>287</v>
      </c>
      <c r="S78" s="4">
        <v>2005</v>
      </c>
      <c r="T78" s="4" t="s">
        <v>51</v>
      </c>
      <c r="U78" s="4">
        <v>5.1999999999999998E-2</v>
      </c>
      <c r="V78" s="12">
        <v>0.91</v>
      </c>
      <c r="W78" s="12">
        <v>0.85299999999999998</v>
      </c>
      <c r="X78" s="4">
        <v>43437.063116477562</v>
      </c>
      <c r="Y78" s="4">
        <v>0.115</v>
      </c>
      <c r="Z78" s="4">
        <v>1</v>
      </c>
      <c r="AA78" s="4">
        <v>0</v>
      </c>
      <c r="AB78" s="4" t="s">
        <v>207</v>
      </c>
      <c r="AC78" s="17" t="s">
        <v>296</v>
      </c>
      <c r="AD78" s="20">
        <v>0.93400000000000005</v>
      </c>
      <c r="AE78" s="20">
        <v>6.5999999999999948E-2</v>
      </c>
      <c r="AF78" s="10">
        <v>1</v>
      </c>
      <c r="AG78" s="4">
        <f t="shared" si="28"/>
        <v>1</v>
      </c>
      <c r="AH78" s="3">
        <f t="shared" si="29"/>
        <v>1</v>
      </c>
      <c r="AI78" s="4">
        <f t="shared" si="30"/>
        <v>1</v>
      </c>
      <c r="AJ78" s="4">
        <f t="shared" si="31"/>
        <v>1</v>
      </c>
      <c r="AK78" s="4">
        <f t="shared" si="32"/>
        <v>1</v>
      </c>
      <c r="AL78" s="4">
        <f t="shared" si="33"/>
        <v>1</v>
      </c>
      <c r="AM78" s="4">
        <f t="shared" si="34"/>
        <v>1</v>
      </c>
      <c r="AN78" s="4">
        <v>0</v>
      </c>
      <c r="AO78" s="4">
        <v>0</v>
      </c>
      <c r="AP78" s="4" t="s">
        <v>61</v>
      </c>
      <c r="AQ78" s="4" t="s">
        <v>63</v>
      </c>
      <c r="AR78" s="4">
        <v>0</v>
      </c>
      <c r="AS78" s="4" t="s">
        <v>296</v>
      </c>
      <c r="AT78" s="11">
        <v>0.21</v>
      </c>
      <c r="AU78" s="4">
        <v>78</v>
      </c>
      <c r="AV78" s="11">
        <v>0.24</v>
      </c>
      <c r="AW78" s="4">
        <v>78</v>
      </c>
      <c r="AX78" s="10">
        <f>10+6</f>
        <v>16</v>
      </c>
      <c r="AY78" s="10">
        <f t="shared" si="24"/>
        <v>62</v>
      </c>
      <c r="AZ78" s="10">
        <f>10+9</f>
        <v>19</v>
      </c>
      <c r="BA78" s="10">
        <f t="shared" si="26"/>
        <v>59</v>
      </c>
      <c r="BB78" s="4">
        <f t="shared" si="35"/>
        <v>156</v>
      </c>
    </row>
    <row r="79" spans="1:54" x14ac:dyDescent="0.25">
      <c r="A79" s="9" t="str">
        <f t="shared" si="14"/>
        <v>22D</v>
      </c>
      <c r="B79" s="4">
        <v>22</v>
      </c>
      <c r="C79" s="4">
        <v>1</v>
      </c>
      <c r="D79" s="4" t="s">
        <v>68</v>
      </c>
      <c r="E79" s="4">
        <v>0</v>
      </c>
      <c r="F79" s="4">
        <v>1</v>
      </c>
      <c r="G79" s="4">
        <v>0</v>
      </c>
      <c r="H79" s="2" t="s">
        <v>186</v>
      </c>
      <c r="I79" s="2" t="s">
        <v>187</v>
      </c>
      <c r="J79" s="2" t="s">
        <v>203</v>
      </c>
      <c r="K79" s="4">
        <v>1</v>
      </c>
      <c r="L79" s="2" t="s">
        <v>599</v>
      </c>
      <c r="M79" s="1"/>
      <c r="N79" s="4">
        <v>0</v>
      </c>
      <c r="O79" s="4">
        <v>1</v>
      </c>
      <c r="P79" s="20">
        <f t="shared" si="27"/>
        <v>0</v>
      </c>
      <c r="Q79" s="4">
        <v>2011</v>
      </c>
      <c r="R79" s="4" t="s">
        <v>287</v>
      </c>
      <c r="S79" s="4">
        <v>2005</v>
      </c>
      <c r="T79" s="4" t="s">
        <v>51</v>
      </c>
      <c r="U79" s="4">
        <v>5.1999999999999998E-2</v>
      </c>
      <c r="V79" s="12">
        <v>0.91</v>
      </c>
      <c r="W79" s="12">
        <v>0.85299999999999998</v>
      </c>
      <c r="X79" s="4">
        <v>43437.063116477562</v>
      </c>
      <c r="Y79" s="4">
        <v>0.115</v>
      </c>
      <c r="Z79" s="4">
        <v>1</v>
      </c>
      <c r="AA79" s="4">
        <v>0</v>
      </c>
      <c r="AB79" s="4" t="s">
        <v>207</v>
      </c>
      <c r="AC79" s="17" t="s">
        <v>297</v>
      </c>
      <c r="AD79" s="20">
        <v>0.97699999999999998</v>
      </c>
      <c r="AE79" s="20">
        <v>2.300000000000002E-2</v>
      </c>
      <c r="AF79" s="10">
        <v>1</v>
      </c>
      <c r="AG79" s="4">
        <f t="shared" si="28"/>
        <v>1</v>
      </c>
      <c r="AH79" s="3">
        <f t="shared" si="29"/>
        <v>1</v>
      </c>
      <c r="AI79" s="4">
        <f t="shared" si="30"/>
        <v>1</v>
      </c>
      <c r="AJ79" s="4">
        <f t="shared" si="31"/>
        <v>1</v>
      </c>
      <c r="AK79" s="4">
        <f t="shared" si="32"/>
        <v>1</v>
      </c>
      <c r="AL79" s="4">
        <f t="shared" si="33"/>
        <v>1</v>
      </c>
      <c r="AM79" s="4">
        <f t="shared" si="34"/>
        <v>1</v>
      </c>
      <c r="AN79" s="4">
        <v>1</v>
      </c>
      <c r="AO79" s="4">
        <v>0</v>
      </c>
      <c r="AP79" s="4" t="s">
        <v>61</v>
      </c>
      <c r="AQ79" s="4" t="s">
        <v>63</v>
      </c>
      <c r="AR79" s="4">
        <v>0</v>
      </c>
      <c r="AS79" s="4" t="s">
        <v>297</v>
      </c>
      <c r="AT79" s="11">
        <v>0.2</v>
      </c>
      <c r="AU79" s="4">
        <v>64</v>
      </c>
      <c r="AV79" s="11">
        <v>0.3</v>
      </c>
      <c r="AW79" s="4">
        <v>64</v>
      </c>
      <c r="AX79" s="10">
        <f>9+4</f>
        <v>13</v>
      </c>
      <c r="AY79" s="10">
        <f t="shared" si="24"/>
        <v>51</v>
      </c>
      <c r="AZ79" s="10">
        <f>9+10</f>
        <v>19</v>
      </c>
      <c r="BA79" s="10">
        <f t="shared" si="26"/>
        <v>45</v>
      </c>
      <c r="BB79" s="4">
        <f t="shared" si="35"/>
        <v>128</v>
      </c>
    </row>
    <row r="80" spans="1:54" x14ac:dyDescent="0.25">
      <c r="A80" s="9" t="str">
        <f t="shared" ref="A80:A143" si="36">B80&amp;D80</f>
        <v>22E</v>
      </c>
      <c r="B80" s="4">
        <v>22</v>
      </c>
      <c r="C80" s="4">
        <v>1</v>
      </c>
      <c r="D80" s="4" t="s">
        <v>102</v>
      </c>
      <c r="E80" s="4">
        <v>0</v>
      </c>
      <c r="F80" s="4">
        <v>1</v>
      </c>
      <c r="G80" s="4">
        <v>0</v>
      </c>
      <c r="H80" s="2" t="s">
        <v>186</v>
      </c>
      <c r="I80" s="2" t="s">
        <v>187</v>
      </c>
      <c r="J80" s="2" t="s">
        <v>203</v>
      </c>
      <c r="K80" s="4">
        <v>1</v>
      </c>
      <c r="L80" s="2" t="s">
        <v>599</v>
      </c>
      <c r="M80" s="1"/>
      <c r="N80" s="4">
        <v>0</v>
      </c>
      <c r="O80" s="4">
        <v>1</v>
      </c>
      <c r="P80" s="20">
        <f t="shared" si="27"/>
        <v>0</v>
      </c>
      <c r="Q80" s="4">
        <v>2011</v>
      </c>
      <c r="R80" s="4" t="s">
        <v>287</v>
      </c>
      <c r="S80" s="4">
        <v>2005</v>
      </c>
      <c r="T80" s="4" t="s">
        <v>51</v>
      </c>
      <c r="U80" s="4">
        <v>5.1999999999999998E-2</v>
      </c>
      <c r="V80" s="12">
        <v>0.91</v>
      </c>
      <c r="W80" s="12">
        <v>0.85299999999999998</v>
      </c>
      <c r="X80" s="4">
        <v>43437.063116477562</v>
      </c>
      <c r="Y80" s="4">
        <v>0.115</v>
      </c>
      <c r="Z80" s="4">
        <v>1</v>
      </c>
      <c r="AA80" s="4">
        <v>0</v>
      </c>
      <c r="AB80" s="4" t="s">
        <v>207</v>
      </c>
      <c r="AC80" s="17" t="s">
        <v>298</v>
      </c>
      <c r="AD80" s="20">
        <v>0.61199999999999999</v>
      </c>
      <c r="AE80" s="20">
        <v>0.38800000000000001</v>
      </c>
      <c r="AF80" s="10">
        <v>2</v>
      </c>
      <c r="AG80" s="4">
        <f t="shared" si="28"/>
        <v>1</v>
      </c>
      <c r="AH80" s="3">
        <f t="shared" si="29"/>
        <v>1</v>
      </c>
      <c r="AI80" s="4">
        <f t="shared" si="30"/>
        <v>1</v>
      </c>
      <c r="AJ80" s="4">
        <f t="shared" si="31"/>
        <v>2</v>
      </c>
      <c r="AK80" s="4">
        <f t="shared" si="32"/>
        <v>1</v>
      </c>
      <c r="AL80" s="4">
        <f t="shared" si="33"/>
        <v>2</v>
      </c>
      <c r="AM80" s="4">
        <f t="shared" si="34"/>
        <v>1</v>
      </c>
      <c r="AN80" s="4">
        <v>0</v>
      </c>
      <c r="AO80" s="4">
        <v>0</v>
      </c>
      <c r="AP80" s="4" t="s">
        <v>61</v>
      </c>
      <c r="AQ80" s="4" t="s">
        <v>63</v>
      </c>
      <c r="AR80" s="4">
        <v>0</v>
      </c>
      <c r="AS80" s="4" t="s">
        <v>298</v>
      </c>
      <c r="AT80" s="11">
        <v>0.41</v>
      </c>
      <c r="AU80" s="4">
        <v>278</v>
      </c>
      <c r="AV80" s="11">
        <v>0.35</v>
      </c>
      <c r="AW80" s="4">
        <v>278</v>
      </c>
      <c r="AX80" s="10">
        <f>73+42</f>
        <v>115</v>
      </c>
      <c r="AY80" s="10">
        <f t="shared" si="24"/>
        <v>163</v>
      </c>
      <c r="AZ80" s="10">
        <f>73+23</f>
        <v>96</v>
      </c>
      <c r="BA80" s="10">
        <f t="shared" si="26"/>
        <v>182</v>
      </c>
      <c r="BB80" s="4">
        <f t="shared" si="35"/>
        <v>556</v>
      </c>
    </row>
    <row r="81" spans="1:54" x14ac:dyDescent="0.25">
      <c r="A81" s="9" t="str">
        <f t="shared" si="36"/>
        <v>22F</v>
      </c>
      <c r="B81" s="4">
        <v>22</v>
      </c>
      <c r="C81" s="4">
        <v>1</v>
      </c>
      <c r="D81" s="4" t="s">
        <v>116</v>
      </c>
      <c r="E81" s="4">
        <v>0</v>
      </c>
      <c r="F81" s="4">
        <v>1</v>
      </c>
      <c r="G81" s="4">
        <v>0</v>
      </c>
      <c r="H81" s="2" t="s">
        <v>186</v>
      </c>
      <c r="I81" s="2" t="s">
        <v>187</v>
      </c>
      <c r="J81" s="2" t="s">
        <v>203</v>
      </c>
      <c r="K81" s="4">
        <v>1</v>
      </c>
      <c r="L81" s="2" t="s">
        <v>599</v>
      </c>
      <c r="M81" s="1"/>
      <c r="N81" s="4">
        <v>0</v>
      </c>
      <c r="O81" s="4">
        <v>1</v>
      </c>
      <c r="P81" s="20">
        <f t="shared" si="27"/>
        <v>0</v>
      </c>
      <c r="Q81" s="4">
        <v>2011</v>
      </c>
      <c r="R81" s="4" t="s">
        <v>287</v>
      </c>
      <c r="S81" s="4">
        <v>2005</v>
      </c>
      <c r="T81" s="4" t="s">
        <v>51</v>
      </c>
      <c r="U81" s="4">
        <v>5.1999999999999998E-2</v>
      </c>
      <c r="V81" s="12">
        <v>0.91</v>
      </c>
      <c r="W81" s="12">
        <v>0.85299999999999998</v>
      </c>
      <c r="X81" s="4">
        <v>43437.063116477562</v>
      </c>
      <c r="Y81" s="4">
        <v>0.115</v>
      </c>
      <c r="Z81" s="4">
        <v>1</v>
      </c>
      <c r="AA81" s="4">
        <v>0</v>
      </c>
      <c r="AB81" s="4" t="s">
        <v>207</v>
      </c>
      <c r="AC81" s="17" t="s">
        <v>299</v>
      </c>
      <c r="AD81" s="20">
        <v>0.47</v>
      </c>
      <c r="AE81" s="20">
        <v>0.53</v>
      </c>
      <c r="AF81" s="10">
        <v>2</v>
      </c>
      <c r="AG81" s="4">
        <f t="shared" si="28"/>
        <v>1</v>
      </c>
      <c r="AH81" s="3">
        <f t="shared" si="29"/>
        <v>2</v>
      </c>
      <c r="AI81" s="4">
        <f t="shared" si="30"/>
        <v>1</v>
      </c>
      <c r="AJ81" s="4">
        <f t="shared" si="31"/>
        <v>2</v>
      </c>
      <c r="AK81" s="4">
        <f t="shared" si="32"/>
        <v>1</v>
      </c>
      <c r="AL81" s="4">
        <f t="shared" si="33"/>
        <v>2</v>
      </c>
      <c r="AM81" s="4">
        <f t="shared" si="34"/>
        <v>1</v>
      </c>
      <c r="AN81" s="4">
        <v>0</v>
      </c>
      <c r="AO81" s="4">
        <v>1</v>
      </c>
      <c r="AP81" s="4" t="s">
        <v>61</v>
      </c>
      <c r="AQ81" s="4" t="s">
        <v>63</v>
      </c>
      <c r="AR81" s="4">
        <v>0</v>
      </c>
      <c r="AS81" s="4" t="s">
        <v>299</v>
      </c>
      <c r="AT81" s="11">
        <v>0.47</v>
      </c>
      <c r="AU81" s="4">
        <v>60</v>
      </c>
      <c r="AV81" s="11">
        <v>0.47</v>
      </c>
      <c r="AW81" s="4">
        <v>60</v>
      </c>
      <c r="AX81" s="10">
        <f>21+7</f>
        <v>28</v>
      </c>
      <c r="AY81" s="10">
        <f t="shared" si="24"/>
        <v>32</v>
      </c>
      <c r="AZ81" s="10">
        <f>21+7</f>
        <v>28</v>
      </c>
      <c r="BA81" s="10">
        <f t="shared" si="26"/>
        <v>32</v>
      </c>
      <c r="BB81" s="4">
        <f t="shared" si="35"/>
        <v>120</v>
      </c>
    </row>
    <row r="82" spans="1:54" x14ac:dyDescent="0.25">
      <c r="A82" s="9" t="str">
        <f t="shared" si="36"/>
        <v>22G</v>
      </c>
      <c r="B82" s="4">
        <v>22</v>
      </c>
      <c r="C82" s="4">
        <v>1</v>
      </c>
      <c r="D82" s="4" t="s">
        <v>117</v>
      </c>
      <c r="E82" s="4">
        <v>0</v>
      </c>
      <c r="F82" s="4">
        <v>1</v>
      </c>
      <c r="G82" s="4">
        <v>0</v>
      </c>
      <c r="H82" s="2" t="s">
        <v>186</v>
      </c>
      <c r="I82" s="2" t="s">
        <v>187</v>
      </c>
      <c r="J82" s="2" t="s">
        <v>203</v>
      </c>
      <c r="K82" s="4">
        <v>1</v>
      </c>
      <c r="L82" s="2" t="s">
        <v>599</v>
      </c>
      <c r="M82" s="1"/>
      <c r="N82" s="4">
        <v>0</v>
      </c>
      <c r="O82" s="4">
        <v>1</v>
      </c>
      <c r="P82" s="20">
        <f t="shared" si="27"/>
        <v>0</v>
      </c>
      <c r="Q82" s="4">
        <v>2011</v>
      </c>
      <c r="R82" s="4" t="s">
        <v>287</v>
      </c>
      <c r="S82" s="4">
        <v>2005</v>
      </c>
      <c r="T82" s="4" t="s">
        <v>51</v>
      </c>
      <c r="U82" s="4">
        <v>5.1999999999999998E-2</v>
      </c>
      <c r="V82" s="12">
        <v>0.91</v>
      </c>
      <c r="W82" s="12">
        <v>0.85299999999999998</v>
      </c>
      <c r="X82" s="4">
        <v>43437.063116477562</v>
      </c>
      <c r="Y82" s="4">
        <v>0.115</v>
      </c>
      <c r="Z82" s="4">
        <v>1</v>
      </c>
      <c r="AA82" s="4">
        <v>0</v>
      </c>
      <c r="AB82" s="4" t="s">
        <v>207</v>
      </c>
      <c r="AC82" s="17" t="s">
        <v>300</v>
      </c>
      <c r="AD82" s="20">
        <v>0.47</v>
      </c>
      <c r="AE82" s="20">
        <v>0.53</v>
      </c>
      <c r="AF82" s="10">
        <v>2</v>
      </c>
      <c r="AG82" s="4">
        <f t="shared" si="28"/>
        <v>1</v>
      </c>
      <c r="AH82" s="3">
        <f t="shared" si="29"/>
        <v>2</v>
      </c>
      <c r="AI82" s="4">
        <f t="shared" si="30"/>
        <v>1</v>
      </c>
      <c r="AJ82" s="4">
        <f t="shared" si="31"/>
        <v>2</v>
      </c>
      <c r="AK82" s="4">
        <f t="shared" si="32"/>
        <v>1</v>
      </c>
      <c r="AL82" s="4">
        <f t="shared" si="33"/>
        <v>2</v>
      </c>
      <c r="AM82" s="4">
        <f t="shared" si="34"/>
        <v>1</v>
      </c>
      <c r="AN82" s="4">
        <v>0</v>
      </c>
      <c r="AO82" s="4">
        <v>1</v>
      </c>
      <c r="AP82" s="4" t="s">
        <v>61</v>
      </c>
      <c r="AQ82" s="4" t="s">
        <v>63</v>
      </c>
      <c r="AR82" s="4">
        <v>0</v>
      </c>
      <c r="AS82" s="4" t="s">
        <v>300</v>
      </c>
      <c r="AT82" s="11">
        <v>0.3</v>
      </c>
      <c r="AU82" s="4">
        <v>64</v>
      </c>
      <c r="AV82" s="11">
        <v>0.33</v>
      </c>
      <c r="AW82" s="4">
        <v>64</v>
      </c>
      <c r="AX82" s="10">
        <f>12+7</f>
        <v>19</v>
      </c>
      <c r="AY82" s="10">
        <f t="shared" si="24"/>
        <v>45</v>
      </c>
      <c r="AZ82" s="10">
        <f>12+9</f>
        <v>21</v>
      </c>
      <c r="BA82" s="10">
        <f t="shared" si="26"/>
        <v>43</v>
      </c>
      <c r="BB82" s="4">
        <f t="shared" si="35"/>
        <v>128</v>
      </c>
    </row>
    <row r="83" spans="1:54" x14ac:dyDescent="0.25">
      <c r="A83" s="9" t="str">
        <f t="shared" si="36"/>
        <v>22H</v>
      </c>
      <c r="B83" s="4">
        <v>22</v>
      </c>
      <c r="C83" s="4">
        <v>1</v>
      </c>
      <c r="D83" s="4" t="s">
        <v>118</v>
      </c>
      <c r="E83" s="4">
        <v>0</v>
      </c>
      <c r="F83" s="4">
        <v>1</v>
      </c>
      <c r="G83" s="4">
        <v>0</v>
      </c>
      <c r="H83" s="2" t="s">
        <v>186</v>
      </c>
      <c r="I83" s="2" t="s">
        <v>187</v>
      </c>
      <c r="J83" s="2" t="s">
        <v>203</v>
      </c>
      <c r="K83" s="4">
        <v>1</v>
      </c>
      <c r="L83" s="2" t="s">
        <v>599</v>
      </c>
      <c r="M83" s="1"/>
      <c r="N83" s="4">
        <v>0</v>
      </c>
      <c r="O83" s="4">
        <v>1</v>
      </c>
      <c r="P83" s="20">
        <f t="shared" si="27"/>
        <v>0</v>
      </c>
      <c r="Q83" s="4">
        <v>2011</v>
      </c>
      <c r="R83" s="4" t="s">
        <v>287</v>
      </c>
      <c r="S83" s="4">
        <v>2005</v>
      </c>
      <c r="T83" s="4" t="s">
        <v>51</v>
      </c>
      <c r="U83" s="4">
        <v>5.1999999999999998E-2</v>
      </c>
      <c r="V83" s="12">
        <v>0.91</v>
      </c>
      <c r="W83" s="12">
        <v>0.85299999999999998</v>
      </c>
      <c r="X83" s="4">
        <v>43437.063116477562</v>
      </c>
      <c r="Y83" s="4">
        <v>0.115</v>
      </c>
      <c r="Z83" s="4">
        <v>1</v>
      </c>
      <c r="AA83" s="4">
        <v>0</v>
      </c>
      <c r="AB83" s="4" t="s">
        <v>207</v>
      </c>
      <c r="AC83" s="17" t="s">
        <v>301</v>
      </c>
      <c r="AD83" s="20">
        <v>0.21299999999999999</v>
      </c>
      <c r="AE83" s="20">
        <v>0.78700000000000003</v>
      </c>
      <c r="AF83" s="10">
        <v>2</v>
      </c>
      <c r="AG83" s="4">
        <f t="shared" si="28"/>
        <v>1</v>
      </c>
      <c r="AH83" s="3">
        <f t="shared" si="29"/>
        <v>0</v>
      </c>
      <c r="AI83" s="4">
        <f t="shared" si="30"/>
        <v>0</v>
      </c>
      <c r="AJ83" s="4">
        <f t="shared" si="31"/>
        <v>0</v>
      </c>
      <c r="AK83" s="4">
        <f t="shared" si="32"/>
        <v>0</v>
      </c>
      <c r="AL83" s="4">
        <f t="shared" si="33"/>
        <v>0</v>
      </c>
      <c r="AM83" s="4">
        <f t="shared" si="34"/>
        <v>0</v>
      </c>
      <c r="AN83" s="4">
        <v>0</v>
      </c>
      <c r="AO83" s="4">
        <v>0</v>
      </c>
      <c r="AP83" s="4" t="s">
        <v>61</v>
      </c>
      <c r="AQ83" s="4" t="s">
        <v>63</v>
      </c>
      <c r="AR83" s="4">
        <v>0</v>
      </c>
      <c r="AS83" s="4" t="s">
        <v>301</v>
      </c>
      <c r="AT83" s="11">
        <v>0.19</v>
      </c>
      <c r="AU83" s="4">
        <v>140</v>
      </c>
      <c r="AV83" s="11">
        <v>0.08</v>
      </c>
      <c r="AW83" s="4">
        <v>140</v>
      </c>
      <c r="AX83" s="10">
        <f>8+19</f>
        <v>27</v>
      </c>
      <c r="AY83" s="10">
        <f t="shared" si="24"/>
        <v>113</v>
      </c>
      <c r="AZ83" s="10">
        <f>8+3</f>
        <v>11</v>
      </c>
      <c r="BA83" s="10">
        <f t="shared" si="26"/>
        <v>129</v>
      </c>
      <c r="BB83" s="4">
        <f t="shared" si="35"/>
        <v>280</v>
      </c>
    </row>
    <row r="84" spans="1:54" x14ac:dyDescent="0.25">
      <c r="A84" s="9" t="str">
        <f t="shared" si="36"/>
        <v>22I</v>
      </c>
      <c r="B84" s="4">
        <v>22</v>
      </c>
      <c r="C84" s="4">
        <v>1</v>
      </c>
      <c r="D84" s="4" t="s">
        <v>119</v>
      </c>
      <c r="E84" s="4">
        <v>0</v>
      </c>
      <c r="F84" s="4">
        <v>1</v>
      </c>
      <c r="G84" s="4">
        <v>0</v>
      </c>
      <c r="H84" s="2" t="s">
        <v>186</v>
      </c>
      <c r="I84" s="2" t="s">
        <v>187</v>
      </c>
      <c r="J84" s="2" t="s">
        <v>203</v>
      </c>
      <c r="K84" s="4">
        <v>1</v>
      </c>
      <c r="L84" s="2" t="s">
        <v>599</v>
      </c>
      <c r="M84" s="1"/>
      <c r="N84" s="4">
        <v>0</v>
      </c>
      <c r="O84" s="4">
        <v>1</v>
      </c>
      <c r="P84" s="20">
        <f t="shared" si="27"/>
        <v>0</v>
      </c>
      <c r="Q84" s="4">
        <v>2011</v>
      </c>
      <c r="R84" s="4" t="s">
        <v>287</v>
      </c>
      <c r="S84" s="4">
        <v>2005</v>
      </c>
      <c r="T84" s="4" t="s">
        <v>51</v>
      </c>
      <c r="U84" s="4">
        <v>5.1999999999999998E-2</v>
      </c>
      <c r="V84" s="12">
        <v>0.91</v>
      </c>
      <c r="W84" s="12">
        <v>0.85299999999999998</v>
      </c>
      <c r="X84" s="4">
        <v>43437.063116477562</v>
      </c>
      <c r="Y84" s="4">
        <v>0.115</v>
      </c>
      <c r="Z84" s="4">
        <v>1</v>
      </c>
      <c r="AA84" s="4">
        <v>0</v>
      </c>
      <c r="AB84" s="4" t="s">
        <v>207</v>
      </c>
      <c r="AC84" s="17" t="s">
        <v>302</v>
      </c>
      <c r="AD84" s="20">
        <v>0.42699999999999999</v>
      </c>
      <c r="AE84" s="20">
        <v>0.57299999999999995</v>
      </c>
      <c r="AF84" s="10">
        <v>2</v>
      </c>
      <c r="AG84" s="4">
        <f t="shared" si="28"/>
        <v>1</v>
      </c>
      <c r="AH84" s="3">
        <f t="shared" si="29"/>
        <v>2</v>
      </c>
      <c r="AI84" s="4">
        <f t="shared" si="30"/>
        <v>1</v>
      </c>
      <c r="AJ84" s="4">
        <f t="shared" si="31"/>
        <v>2</v>
      </c>
      <c r="AK84" s="4">
        <f t="shared" si="32"/>
        <v>1</v>
      </c>
      <c r="AL84" s="4">
        <f t="shared" si="33"/>
        <v>2</v>
      </c>
      <c r="AM84" s="4">
        <f t="shared" si="34"/>
        <v>1</v>
      </c>
      <c r="AN84" s="4">
        <v>0</v>
      </c>
      <c r="AO84" s="4">
        <v>0</v>
      </c>
      <c r="AP84" s="4" t="s">
        <v>61</v>
      </c>
      <c r="AQ84" s="4" t="s">
        <v>63</v>
      </c>
      <c r="AR84" s="4">
        <v>0</v>
      </c>
      <c r="AS84" s="4" t="s">
        <v>302</v>
      </c>
      <c r="AT84" s="11">
        <v>0.21</v>
      </c>
      <c r="AU84" s="4">
        <v>186</v>
      </c>
      <c r="AV84" s="11">
        <v>0.13</v>
      </c>
      <c r="AW84" s="4">
        <v>186</v>
      </c>
      <c r="AX84" s="10">
        <f>17+22</f>
        <v>39</v>
      </c>
      <c r="AY84" s="10">
        <f t="shared" si="24"/>
        <v>147</v>
      </c>
      <c r="AZ84" s="10">
        <f>17+7</f>
        <v>24</v>
      </c>
      <c r="BA84" s="10">
        <f t="shared" si="26"/>
        <v>162</v>
      </c>
      <c r="BB84" s="4">
        <f t="shared" si="35"/>
        <v>372</v>
      </c>
    </row>
    <row r="85" spans="1:54" x14ac:dyDescent="0.25">
      <c r="A85" s="9" t="str">
        <f t="shared" si="36"/>
        <v>22J</v>
      </c>
      <c r="B85" s="4">
        <v>22</v>
      </c>
      <c r="C85" s="4">
        <v>1</v>
      </c>
      <c r="D85" s="4" t="s">
        <v>169</v>
      </c>
      <c r="E85" s="4">
        <v>0</v>
      </c>
      <c r="F85" s="4">
        <v>1</v>
      </c>
      <c r="G85" s="4">
        <v>0</v>
      </c>
      <c r="H85" s="2" t="s">
        <v>186</v>
      </c>
      <c r="I85" s="2" t="s">
        <v>187</v>
      </c>
      <c r="J85" s="2" t="s">
        <v>203</v>
      </c>
      <c r="K85" s="4">
        <v>1</v>
      </c>
      <c r="L85" s="2" t="s">
        <v>599</v>
      </c>
      <c r="M85" s="1"/>
      <c r="N85" s="4">
        <v>0</v>
      </c>
      <c r="O85" s="4">
        <v>1</v>
      </c>
      <c r="P85" s="20">
        <f t="shared" si="27"/>
        <v>0</v>
      </c>
      <c r="Q85" s="4">
        <v>2011</v>
      </c>
      <c r="R85" s="4" t="s">
        <v>287</v>
      </c>
      <c r="S85" s="4">
        <v>2005</v>
      </c>
      <c r="T85" s="4" t="s">
        <v>51</v>
      </c>
      <c r="U85" s="4">
        <v>5.1999999999999998E-2</v>
      </c>
      <c r="V85" s="12">
        <v>0.91</v>
      </c>
      <c r="W85" s="12">
        <v>0.85299999999999998</v>
      </c>
      <c r="X85" s="4">
        <v>43437.063116477562</v>
      </c>
      <c r="Y85" s="4">
        <v>0.115</v>
      </c>
      <c r="Z85" s="4">
        <v>1</v>
      </c>
      <c r="AA85" s="4">
        <v>0</v>
      </c>
      <c r="AB85" s="4" t="s">
        <v>207</v>
      </c>
      <c r="AC85" s="17" t="s">
        <v>303</v>
      </c>
      <c r="AD85" s="20">
        <v>0.20399999999999999</v>
      </c>
      <c r="AE85" s="20">
        <v>0.79600000000000004</v>
      </c>
      <c r="AF85" s="10">
        <v>0</v>
      </c>
      <c r="AG85" s="4">
        <f t="shared" si="28"/>
        <v>0</v>
      </c>
      <c r="AH85" s="3">
        <f t="shared" si="29"/>
        <v>0</v>
      </c>
      <c r="AI85" s="4">
        <f t="shared" si="30"/>
        <v>0</v>
      </c>
      <c r="AJ85" s="4">
        <f t="shared" si="31"/>
        <v>0</v>
      </c>
      <c r="AK85" s="4">
        <f t="shared" si="32"/>
        <v>0</v>
      </c>
      <c r="AL85" s="4">
        <f t="shared" si="33"/>
        <v>0</v>
      </c>
      <c r="AM85" s="4">
        <f t="shared" si="34"/>
        <v>0</v>
      </c>
      <c r="AN85" s="4">
        <v>0</v>
      </c>
      <c r="AO85" s="4">
        <v>0</v>
      </c>
      <c r="AP85" s="4" t="s">
        <v>61</v>
      </c>
      <c r="AQ85" s="4" t="s">
        <v>63</v>
      </c>
      <c r="AR85" s="4">
        <v>0</v>
      </c>
      <c r="AS85" s="4" t="s">
        <v>303</v>
      </c>
      <c r="AT85" s="11">
        <v>0.11</v>
      </c>
      <c r="AU85" s="4">
        <v>62</v>
      </c>
      <c r="AV85" s="11">
        <v>0.08</v>
      </c>
      <c r="AW85" s="4">
        <v>62</v>
      </c>
      <c r="AX85" s="10">
        <f>4+3</f>
        <v>7</v>
      </c>
      <c r="AY85" s="10">
        <f t="shared" si="24"/>
        <v>55</v>
      </c>
      <c r="AZ85" s="10">
        <f>4+1</f>
        <v>5</v>
      </c>
      <c r="BA85" s="10">
        <f t="shared" si="26"/>
        <v>57</v>
      </c>
      <c r="BB85" s="4">
        <f t="shared" si="35"/>
        <v>124</v>
      </c>
    </row>
    <row r="86" spans="1:54" x14ac:dyDescent="0.25">
      <c r="A86" s="9" t="str">
        <f t="shared" si="36"/>
        <v>22K</v>
      </c>
      <c r="B86" s="4">
        <v>22</v>
      </c>
      <c r="C86" s="4">
        <v>1</v>
      </c>
      <c r="D86" s="4" t="s">
        <v>188</v>
      </c>
      <c r="E86" s="4">
        <v>0</v>
      </c>
      <c r="F86" s="4">
        <v>1</v>
      </c>
      <c r="G86" s="4">
        <v>0</v>
      </c>
      <c r="H86" s="2" t="s">
        <v>186</v>
      </c>
      <c r="I86" s="2" t="s">
        <v>187</v>
      </c>
      <c r="J86" s="2" t="s">
        <v>203</v>
      </c>
      <c r="K86" s="4">
        <v>1</v>
      </c>
      <c r="L86" s="2" t="s">
        <v>599</v>
      </c>
      <c r="M86" s="1"/>
      <c r="N86" s="4">
        <v>0</v>
      </c>
      <c r="O86" s="4">
        <v>1</v>
      </c>
      <c r="P86" s="20">
        <f t="shared" si="27"/>
        <v>0</v>
      </c>
      <c r="Q86" s="4">
        <v>2011</v>
      </c>
      <c r="R86" s="4" t="s">
        <v>287</v>
      </c>
      <c r="S86" s="4">
        <v>2005</v>
      </c>
      <c r="T86" s="4" t="s">
        <v>51</v>
      </c>
      <c r="U86" s="4">
        <v>5.1999999999999998E-2</v>
      </c>
      <c r="V86" s="12">
        <v>0.91</v>
      </c>
      <c r="W86" s="12">
        <v>0.85299999999999998</v>
      </c>
      <c r="X86" s="4">
        <v>43437.063116477562</v>
      </c>
      <c r="Y86" s="4">
        <v>0.115</v>
      </c>
      <c r="Z86" s="4">
        <v>1</v>
      </c>
      <c r="AA86" s="4">
        <v>0</v>
      </c>
      <c r="AB86" s="4" t="s">
        <v>207</v>
      </c>
      <c r="AC86" s="17" t="s">
        <v>304</v>
      </c>
      <c r="AD86" s="20">
        <v>7.5999999999999998E-2</v>
      </c>
      <c r="AE86" s="20">
        <v>0.92400000000000004</v>
      </c>
      <c r="AF86" s="10">
        <v>0</v>
      </c>
      <c r="AG86" s="4">
        <f t="shared" si="28"/>
        <v>0</v>
      </c>
      <c r="AH86" s="3">
        <f t="shared" si="29"/>
        <v>0</v>
      </c>
      <c r="AI86" s="4">
        <f t="shared" si="30"/>
        <v>0</v>
      </c>
      <c r="AJ86" s="4">
        <f t="shared" si="31"/>
        <v>0</v>
      </c>
      <c r="AK86" s="4">
        <f t="shared" si="32"/>
        <v>0</v>
      </c>
      <c r="AL86" s="4">
        <f t="shared" si="33"/>
        <v>0</v>
      </c>
      <c r="AM86" s="4">
        <f t="shared" si="34"/>
        <v>0</v>
      </c>
      <c r="AN86" s="4">
        <v>0</v>
      </c>
      <c r="AO86" s="4">
        <v>1</v>
      </c>
      <c r="AP86" s="4" t="s">
        <v>61</v>
      </c>
      <c r="AQ86" s="4" t="s">
        <v>63</v>
      </c>
      <c r="AR86" s="4">
        <v>0</v>
      </c>
      <c r="AS86" s="4" t="s">
        <v>304</v>
      </c>
      <c r="AT86" s="11">
        <v>0.67</v>
      </c>
      <c r="AU86" s="4">
        <v>184</v>
      </c>
      <c r="AV86" s="11">
        <v>0.61</v>
      </c>
      <c r="AW86" s="4">
        <v>184</v>
      </c>
      <c r="AX86" s="10">
        <f>96+27</f>
        <v>123</v>
      </c>
      <c r="AY86" s="10">
        <f t="shared" ref="AY86:AY112" si="37">AU86-AX86</f>
        <v>61</v>
      </c>
      <c r="AZ86" s="10">
        <f>96+16</f>
        <v>112</v>
      </c>
      <c r="BA86" s="10">
        <f t="shared" ref="BA86:BA112" si="38">AW86-AZ86</f>
        <v>72</v>
      </c>
      <c r="BB86" s="4">
        <f t="shared" si="35"/>
        <v>368</v>
      </c>
    </row>
    <row r="87" spans="1:54" x14ac:dyDescent="0.25">
      <c r="A87" s="9" t="str">
        <f t="shared" si="36"/>
        <v>22L</v>
      </c>
      <c r="B87" s="4">
        <v>22</v>
      </c>
      <c r="C87" s="4">
        <v>1</v>
      </c>
      <c r="D87" s="4" t="s">
        <v>189</v>
      </c>
      <c r="E87" s="4">
        <v>0</v>
      </c>
      <c r="F87" s="4">
        <v>1</v>
      </c>
      <c r="G87" s="4">
        <v>0</v>
      </c>
      <c r="H87" s="2" t="s">
        <v>186</v>
      </c>
      <c r="I87" s="2" t="s">
        <v>187</v>
      </c>
      <c r="J87" s="2" t="s">
        <v>203</v>
      </c>
      <c r="K87" s="4">
        <v>1</v>
      </c>
      <c r="L87" s="2" t="s">
        <v>599</v>
      </c>
      <c r="M87" s="1"/>
      <c r="N87" s="4">
        <v>0</v>
      </c>
      <c r="O87" s="4">
        <v>1</v>
      </c>
      <c r="P87" s="20">
        <f t="shared" si="27"/>
        <v>0</v>
      </c>
      <c r="Q87" s="4">
        <v>2011</v>
      </c>
      <c r="R87" s="4" t="s">
        <v>287</v>
      </c>
      <c r="S87" s="4">
        <v>2005</v>
      </c>
      <c r="T87" s="4" t="s">
        <v>51</v>
      </c>
      <c r="U87" s="4">
        <v>5.1999999999999998E-2</v>
      </c>
      <c r="V87" s="12">
        <v>0.91</v>
      </c>
      <c r="W87" s="12">
        <v>0.85299999999999998</v>
      </c>
      <c r="X87" s="4">
        <v>43437.063116477562</v>
      </c>
      <c r="Y87" s="4">
        <v>0.115</v>
      </c>
      <c r="Z87" s="4">
        <v>1</v>
      </c>
      <c r="AA87" s="4">
        <v>0</v>
      </c>
      <c r="AB87" s="4" t="s">
        <v>207</v>
      </c>
      <c r="AC87" s="17" t="s">
        <v>305</v>
      </c>
      <c r="AD87" s="20">
        <v>0.34899999999999998</v>
      </c>
      <c r="AE87" s="20">
        <v>0.65100000000000002</v>
      </c>
      <c r="AF87" s="10">
        <v>0</v>
      </c>
      <c r="AG87" s="4">
        <f t="shared" si="28"/>
        <v>0</v>
      </c>
      <c r="AH87" s="3">
        <f t="shared" si="29"/>
        <v>0</v>
      </c>
      <c r="AI87" s="4">
        <f t="shared" si="30"/>
        <v>0</v>
      </c>
      <c r="AJ87" s="4">
        <f t="shared" si="31"/>
        <v>0</v>
      </c>
      <c r="AK87" s="4">
        <f t="shared" si="32"/>
        <v>0</v>
      </c>
      <c r="AL87" s="4">
        <f t="shared" si="33"/>
        <v>2</v>
      </c>
      <c r="AM87" s="4">
        <f t="shared" si="34"/>
        <v>1</v>
      </c>
      <c r="AN87" s="4">
        <v>0</v>
      </c>
      <c r="AO87" s="4">
        <v>0</v>
      </c>
      <c r="AP87" s="4" t="s">
        <v>61</v>
      </c>
      <c r="AQ87" s="4" t="s">
        <v>63</v>
      </c>
      <c r="AR87" s="4">
        <v>0</v>
      </c>
      <c r="AS87" s="4" t="s">
        <v>305</v>
      </c>
      <c r="AT87" s="11">
        <v>0.15</v>
      </c>
      <c r="AU87" s="4">
        <v>200</v>
      </c>
      <c r="AV87" s="11">
        <v>0.15</v>
      </c>
      <c r="AW87" s="4">
        <v>200</v>
      </c>
      <c r="AX87" s="10">
        <f>14+15</f>
        <v>29</v>
      </c>
      <c r="AY87" s="10">
        <f t="shared" si="37"/>
        <v>171</v>
      </c>
      <c r="AZ87" s="10">
        <f>14+15</f>
        <v>29</v>
      </c>
      <c r="BA87" s="10">
        <f t="shared" si="38"/>
        <v>171</v>
      </c>
      <c r="BB87" s="4">
        <f t="shared" si="35"/>
        <v>400</v>
      </c>
    </row>
    <row r="88" spans="1:54" x14ac:dyDescent="0.25">
      <c r="A88" s="9" t="str">
        <f t="shared" si="36"/>
        <v>22M</v>
      </c>
      <c r="B88" s="4">
        <v>22</v>
      </c>
      <c r="C88" s="4">
        <v>1</v>
      </c>
      <c r="D88" s="4" t="s">
        <v>190</v>
      </c>
      <c r="E88" s="4">
        <v>0</v>
      </c>
      <c r="F88" s="4">
        <v>1</v>
      </c>
      <c r="G88" s="4">
        <v>0</v>
      </c>
      <c r="H88" s="2" t="s">
        <v>186</v>
      </c>
      <c r="I88" s="2" t="s">
        <v>187</v>
      </c>
      <c r="J88" s="2" t="s">
        <v>203</v>
      </c>
      <c r="K88" s="4">
        <v>1</v>
      </c>
      <c r="L88" s="2" t="s">
        <v>599</v>
      </c>
      <c r="M88" s="1"/>
      <c r="N88" s="4">
        <v>0</v>
      </c>
      <c r="O88" s="4">
        <v>1</v>
      </c>
      <c r="P88" s="20">
        <f t="shared" si="27"/>
        <v>0</v>
      </c>
      <c r="Q88" s="4">
        <v>2011</v>
      </c>
      <c r="R88" s="4" t="s">
        <v>287</v>
      </c>
      <c r="S88" s="4">
        <v>2005</v>
      </c>
      <c r="T88" s="4" t="s">
        <v>51</v>
      </c>
      <c r="U88" s="4">
        <v>5.1999999999999998E-2</v>
      </c>
      <c r="V88" s="12">
        <v>0.91</v>
      </c>
      <c r="W88" s="12">
        <v>0.85299999999999998</v>
      </c>
      <c r="X88" s="4">
        <v>43437.063116477562</v>
      </c>
      <c r="Y88" s="4">
        <v>0.115</v>
      </c>
      <c r="Z88" s="4">
        <v>1</v>
      </c>
      <c r="AA88" s="4">
        <v>0</v>
      </c>
      <c r="AB88" s="4" t="s">
        <v>207</v>
      </c>
      <c r="AC88" s="17" t="s">
        <v>306</v>
      </c>
      <c r="AD88" s="20">
        <v>0.47</v>
      </c>
      <c r="AE88" s="20">
        <v>0.53</v>
      </c>
      <c r="AF88" s="10">
        <v>2</v>
      </c>
      <c r="AG88" s="4">
        <f t="shared" si="28"/>
        <v>1</v>
      </c>
      <c r="AH88" s="3">
        <f t="shared" si="29"/>
        <v>2</v>
      </c>
      <c r="AI88" s="4">
        <f t="shared" si="30"/>
        <v>1</v>
      </c>
      <c r="AJ88" s="4">
        <f t="shared" si="31"/>
        <v>2</v>
      </c>
      <c r="AK88" s="4">
        <f t="shared" si="32"/>
        <v>1</v>
      </c>
      <c r="AL88" s="4">
        <f t="shared" si="33"/>
        <v>2</v>
      </c>
      <c r="AM88" s="4">
        <f t="shared" si="34"/>
        <v>1</v>
      </c>
      <c r="AN88" s="4">
        <v>0</v>
      </c>
      <c r="AO88" s="4">
        <v>1</v>
      </c>
      <c r="AP88" s="4" t="s">
        <v>61</v>
      </c>
      <c r="AQ88" s="4" t="s">
        <v>63</v>
      </c>
      <c r="AR88" s="4">
        <v>0</v>
      </c>
      <c r="AS88" s="4" t="s">
        <v>306</v>
      </c>
      <c r="AT88" s="11">
        <v>0.55000000000000004</v>
      </c>
      <c r="AU88" s="4">
        <v>42</v>
      </c>
      <c r="AV88" s="11">
        <v>0.56999999999999995</v>
      </c>
      <c r="AW88" s="4">
        <v>42</v>
      </c>
      <c r="AX88" s="10">
        <f>19+4</f>
        <v>23</v>
      </c>
      <c r="AY88" s="10">
        <f t="shared" si="37"/>
        <v>19</v>
      </c>
      <c r="AZ88" s="10">
        <f>19+5</f>
        <v>24</v>
      </c>
      <c r="BA88" s="10">
        <f t="shared" si="38"/>
        <v>18</v>
      </c>
      <c r="BB88" s="4">
        <f t="shared" si="35"/>
        <v>84</v>
      </c>
    </row>
    <row r="89" spans="1:54" x14ac:dyDescent="0.25">
      <c r="A89" s="9" t="str">
        <f t="shared" si="36"/>
        <v>22N</v>
      </c>
      <c r="B89" s="4">
        <v>22</v>
      </c>
      <c r="C89" s="4">
        <v>1</v>
      </c>
      <c r="D89" s="4" t="s">
        <v>308</v>
      </c>
      <c r="E89" s="4">
        <v>0</v>
      </c>
      <c r="F89" s="4">
        <v>1</v>
      </c>
      <c r="G89" s="4">
        <v>0</v>
      </c>
      <c r="H89" s="2" t="s">
        <v>186</v>
      </c>
      <c r="I89" s="2" t="s">
        <v>187</v>
      </c>
      <c r="J89" s="2" t="s">
        <v>203</v>
      </c>
      <c r="K89" s="4">
        <v>1</v>
      </c>
      <c r="L89" s="2" t="s">
        <v>599</v>
      </c>
      <c r="M89" s="1"/>
      <c r="N89" s="4">
        <v>0</v>
      </c>
      <c r="O89" s="4">
        <v>1</v>
      </c>
      <c r="P89" s="20">
        <f t="shared" si="27"/>
        <v>0</v>
      </c>
      <c r="Q89" s="4">
        <v>2011</v>
      </c>
      <c r="R89" s="4" t="s">
        <v>287</v>
      </c>
      <c r="S89" s="4">
        <v>2005</v>
      </c>
      <c r="T89" s="4" t="s">
        <v>51</v>
      </c>
      <c r="U89" s="4">
        <v>5.1999999999999998E-2</v>
      </c>
      <c r="V89" s="12">
        <v>0.91</v>
      </c>
      <c r="W89" s="12">
        <v>0.85299999999999998</v>
      </c>
      <c r="X89" s="4">
        <v>43437.063116477562</v>
      </c>
      <c r="Y89" s="4">
        <v>0.115</v>
      </c>
      <c r="Z89" s="4">
        <v>1</v>
      </c>
      <c r="AA89" s="4">
        <v>0</v>
      </c>
      <c r="AB89" s="4" t="s">
        <v>207</v>
      </c>
      <c r="AC89" s="17" t="s">
        <v>307</v>
      </c>
      <c r="AD89" s="20">
        <v>7.8E-2</v>
      </c>
      <c r="AE89" s="20">
        <v>0.92200000000000004</v>
      </c>
      <c r="AF89" s="10">
        <v>0</v>
      </c>
      <c r="AG89" s="4">
        <f t="shared" si="28"/>
        <v>0</v>
      </c>
      <c r="AH89" s="3">
        <f t="shared" si="29"/>
        <v>0</v>
      </c>
      <c r="AI89" s="4">
        <f t="shared" si="30"/>
        <v>0</v>
      </c>
      <c r="AJ89" s="4">
        <f t="shared" si="31"/>
        <v>0</v>
      </c>
      <c r="AK89" s="4">
        <f t="shared" si="32"/>
        <v>0</v>
      </c>
      <c r="AL89" s="4">
        <f t="shared" si="33"/>
        <v>0</v>
      </c>
      <c r="AM89" s="4">
        <f t="shared" si="34"/>
        <v>0</v>
      </c>
      <c r="AN89" s="4">
        <v>0</v>
      </c>
      <c r="AO89" s="4">
        <v>1</v>
      </c>
      <c r="AP89" s="4" t="s">
        <v>61</v>
      </c>
      <c r="AQ89" s="4" t="s">
        <v>63</v>
      </c>
      <c r="AR89" s="4">
        <v>0</v>
      </c>
      <c r="AS89" s="4" t="s">
        <v>307</v>
      </c>
      <c r="AT89" s="11">
        <v>0.28999999999999998</v>
      </c>
      <c r="AU89" s="4">
        <v>150</v>
      </c>
      <c r="AV89" s="11">
        <v>0.33</v>
      </c>
      <c r="AW89" s="4">
        <v>150</v>
      </c>
      <c r="AX89" s="10">
        <f>39+5</f>
        <v>44</v>
      </c>
      <c r="AY89" s="10">
        <f t="shared" si="37"/>
        <v>106</v>
      </c>
      <c r="AZ89" s="10">
        <f>39+11</f>
        <v>50</v>
      </c>
      <c r="BA89" s="10">
        <f t="shared" si="38"/>
        <v>100</v>
      </c>
      <c r="BB89" s="4">
        <f t="shared" si="35"/>
        <v>300</v>
      </c>
    </row>
    <row r="90" spans="1:54" x14ac:dyDescent="0.25">
      <c r="A90" s="9" t="str">
        <f t="shared" si="36"/>
        <v>23A</v>
      </c>
      <c r="B90" s="3">
        <v>23</v>
      </c>
      <c r="C90" s="3">
        <v>1</v>
      </c>
      <c r="D90" s="3" t="s">
        <v>65</v>
      </c>
      <c r="E90" s="3">
        <v>1</v>
      </c>
      <c r="F90" s="3">
        <v>1</v>
      </c>
      <c r="G90" s="3">
        <v>0</v>
      </c>
      <c r="H90" s="1" t="s">
        <v>311</v>
      </c>
      <c r="I90" s="1" t="s">
        <v>310</v>
      </c>
      <c r="J90" s="1" t="s">
        <v>203</v>
      </c>
      <c r="K90" s="3">
        <v>1</v>
      </c>
      <c r="L90" s="1" t="s">
        <v>309</v>
      </c>
      <c r="M90" s="1" t="s">
        <v>486</v>
      </c>
      <c r="N90" s="3">
        <v>0</v>
      </c>
      <c r="O90" s="3">
        <v>3</v>
      </c>
      <c r="P90" s="19">
        <f t="shared" si="27"/>
        <v>0</v>
      </c>
      <c r="Q90" s="3">
        <v>2013</v>
      </c>
      <c r="R90" s="3">
        <v>2010</v>
      </c>
      <c r="S90" s="3">
        <v>2010</v>
      </c>
      <c r="T90" s="3" t="s">
        <v>101</v>
      </c>
      <c r="U90" s="3">
        <v>0.25900000000000001</v>
      </c>
      <c r="V90" s="3">
        <v>0.91100000000000003</v>
      </c>
      <c r="W90" s="3">
        <v>0.89200000000000002</v>
      </c>
      <c r="X90" s="3">
        <v>48650.643128333555</v>
      </c>
      <c r="Y90" s="3">
        <v>0</v>
      </c>
      <c r="Z90" s="3">
        <v>1</v>
      </c>
      <c r="AA90" s="3">
        <v>0</v>
      </c>
      <c r="AB90" s="3" t="s">
        <v>207</v>
      </c>
      <c r="AC90" s="7" t="s">
        <v>61</v>
      </c>
      <c r="AD90" s="39">
        <v>0.52751970315825802</v>
      </c>
      <c r="AE90" s="39">
        <v>0.47248029684174192</v>
      </c>
      <c r="AF90" s="10">
        <v>2</v>
      </c>
      <c r="AG90" s="3">
        <f t="shared" si="28"/>
        <v>1</v>
      </c>
      <c r="AH90" s="3">
        <f t="shared" si="29"/>
        <v>2</v>
      </c>
      <c r="AI90" s="4">
        <f t="shared" si="30"/>
        <v>1</v>
      </c>
      <c r="AJ90" s="4">
        <f t="shared" si="31"/>
        <v>2</v>
      </c>
      <c r="AK90" s="4">
        <f t="shared" si="32"/>
        <v>1</v>
      </c>
      <c r="AL90" s="4">
        <f t="shared" si="33"/>
        <v>2</v>
      </c>
      <c r="AM90" s="4">
        <f t="shared" si="34"/>
        <v>1</v>
      </c>
      <c r="AN90" s="4">
        <v>0</v>
      </c>
      <c r="AO90" s="4">
        <v>0</v>
      </c>
      <c r="AP90" s="3" t="s">
        <v>100</v>
      </c>
      <c r="AQ90" s="3" t="s">
        <v>97</v>
      </c>
      <c r="AR90" s="3">
        <v>1</v>
      </c>
      <c r="AS90" s="3" t="s">
        <v>62</v>
      </c>
      <c r="AT90" s="16">
        <f>(0.124+0.124)/2</f>
        <v>0.124</v>
      </c>
      <c r="AU90" s="3">
        <f>1536+768</f>
        <v>2304</v>
      </c>
      <c r="AV90" s="16">
        <f>(0.139+0.119)/2</f>
        <v>0.129</v>
      </c>
      <c r="AW90" s="3">
        <f>1536+768</f>
        <v>2304</v>
      </c>
      <c r="AX90" s="8">
        <f>AT90*AU90</f>
        <v>285.69600000000003</v>
      </c>
      <c r="AY90" s="8">
        <f t="shared" si="37"/>
        <v>2018.3040000000001</v>
      </c>
      <c r="AZ90" s="8">
        <f>AV90*AW90</f>
        <v>297.21600000000001</v>
      </c>
      <c r="BA90" s="8">
        <f t="shared" si="38"/>
        <v>2006.7840000000001</v>
      </c>
      <c r="BB90" s="3">
        <f t="shared" si="35"/>
        <v>4608</v>
      </c>
    </row>
    <row r="91" spans="1:54" s="1" customFormat="1" x14ac:dyDescent="0.25">
      <c r="A91" s="9" t="str">
        <f t="shared" si="36"/>
        <v>24A</v>
      </c>
      <c r="B91" s="3">
        <v>24</v>
      </c>
      <c r="C91" s="3">
        <v>2</v>
      </c>
      <c r="D91" s="3" t="s">
        <v>65</v>
      </c>
      <c r="E91" s="3">
        <v>1</v>
      </c>
      <c r="F91" s="3">
        <v>1</v>
      </c>
      <c r="G91" s="3">
        <v>0</v>
      </c>
      <c r="H91" s="13" t="s">
        <v>29</v>
      </c>
      <c r="I91" s="13" t="s">
        <v>20</v>
      </c>
      <c r="J91" s="13" t="s">
        <v>222</v>
      </c>
      <c r="K91" s="14">
        <v>1</v>
      </c>
      <c r="L91" s="13" t="s">
        <v>134</v>
      </c>
      <c r="M91" s="1" t="s">
        <v>487</v>
      </c>
      <c r="N91" s="3">
        <v>1</v>
      </c>
      <c r="O91" s="3">
        <v>0</v>
      </c>
      <c r="P91" s="19">
        <f t="shared" si="27"/>
        <v>1</v>
      </c>
      <c r="Q91" s="14">
        <v>2018</v>
      </c>
      <c r="R91" s="3" t="s">
        <v>96</v>
      </c>
      <c r="S91" s="3">
        <v>2015</v>
      </c>
      <c r="T91" s="14" t="s">
        <v>101</v>
      </c>
      <c r="U91" s="14">
        <v>0.23799999999999999</v>
      </c>
      <c r="V91" s="14">
        <v>0.92</v>
      </c>
      <c r="W91" s="14">
        <v>0.89300000000000002</v>
      </c>
      <c r="X91" s="14">
        <v>56762.729451598891</v>
      </c>
      <c r="Y91" s="14">
        <v>0</v>
      </c>
      <c r="Z91" s="3">
        <v>0</v>
      </c>
      <c r="AA91" s="3">
        <v>0</v>
      </c>
      <c r="AB91" s="3" t="s">
        <v>207</v>
      </c>
      <c r="AC91" s="7" t="s">
        <v>312</v>
      </c>
      <c r="AD91" s="19">
        <v>0.52579999999999993</v>
      </c>
      <c r="AE91" s="19">
        <v>0.47420000000000007</v>
      </c>
      <c r="AF91" s="10">
        <v>2</v>
      </c>
      <c r="AG91" s="3">
        <f t="shared" si="28"/>
        <v>1</v>
      </c>
      <c r="AH91" s="3">
        <f t="shared" si="29"/>
        <v>2</v>
      </c>
      <c r="AI91" s="4">
        <f t="shared" si="30"/>
        <v>1</v>
      </c>
      <c r="AJ91" s="4">
        <f t="shared" si="31"/>
        <v>2</v>
      </c>
      <c r="AK91" s="4">
        <f t="shared" si="32"/>
        <v>1</v>
      </c>
      <c r="AL91" s="4">
        <f t="shared" si="33"/>
        <v>2</v>
      </c>
      <c r="AM91" s="4">
        <f t="shared" si="34"/>
        <v>1</v>
      </c>
      <c r="AN91" s="4">
        <v>0</v>
      </c>
      <c r="AO91" s="4">
        <v>0</v>
      </c>
      <c r="AP91" s="3" t="s">
        <v>100</v>
      </c>
      <c r="AQ91" s="3" t="s">
        <v>97</v>
      </c>
      <c r="AR91" s="3">
        <v>1</v>
      </c>
      <c r="AS91" s="3" t="s">
        <v>62</v>
      </c>
      <c r="AT91" s="16">
        <f>(0.153+0.097+0.049)/3</f>
        <v>9.9666666666666667E-2</v>
      </c>
      <c r="AU91" s="8">
        <f>3407/2</f>
        <v>1703.5</v>
      </c>
      <c r="AV91" s="16">
        <f>(0.146+0.088+0.054)/3</f>
        <v>9.5999999999999988E-2</v>
      </c>
      <c r="AW91" s="8">
        <f>3407/2</f>
        <v>1703.5</v>
      </c>
      <c r="AX91" s="8">
        <f>AT91*AU91</f>
        <v>169.78216666666665</v>
      </c>
      <c r="AY91" s="8">
        <f t="shared" si="37"/>
        <v>1533.7178333333334</v>
      </c>
      <c r="AZ91" s="8">
        <f>AV91*AW91</f>
        <v>163.53599999999997</v>
      </c>
      <c r="BA91" s="8">
        <f t="shared" si="38"/>
        <v>1539.9639999999999</v>
      </c>
      <c r="BB91" s="3">
        <f t="shared" si="35"/>
        <v>3407</v>
      </c>
    </row>
    <row r="92" spans="1:54" s="1" customFormat="1" x14ac:dyDescent="0.25">
      <c r="A92" s="9" t="str">
        <f t="shared" si="36"/>
        <v>25A</v>
      </c>
      <c r="B92" s="3">
        <v>25</v>
      </c>
      <c r="C92" s="3">
        <v>1</v>
      </c>
      <c r="D92" s="3" t="s">
        <v>65</v>
      </c>
      <c r="E92" s="3">
        <v>1</v>
      </c>
      <c r="F92" s="3">
        <v>0</v>
      </c>
      <c r="G92" s="3">
        <v>0</v>
      </c>
      <c r="H92" s="1" t="s">
        <v>317</v>
      </c>
      <c r="I92" s="1" t="s">
        <v>184</v>
      </c>
      <c r="J92" s="1" t="s">
        <v>229</v>
      </c>
      <c r="K92" s="3">
        <v>1</v>
      </c>
      <c r="L92" s="1" t="s">
        <v>635</v>
      </c>
      <c r="M92" s="1" t="s">
        <v>548</v>
      </c>
      <c r="N92" s="3">
        <v>0</v>
      </c>
      <c r="O92" s="3">
        <v>2</v>
      </c>
      <c r="P92" s="19">
        <f t="shared" si="27"/>
        <v>0</v>
      </c>
      <c r="Q92" s="3">
        <v>2014</v>
      </c>
      <c r="R92" s="3">
        <v>2011</v>
      </c>
      <c r="S92" s="3">
        <v>2011</v>
      </c>
      <c r="T92" s="3" t="s">
        <v>185</v>
      </c>
      <c r="U92" s="3">
        <v>0.44</v>
      </c>
      <c r="V92" s="3">
        <v>0.72499999999999998</v>
      </c>
      <c r="W92" s="3">
        <v>0.67800000000000005</v>
      </c>
      <c r="X92" s="3">
        <v>5826.8323065607783</v>
      </c>
      <c r="Y92" s="3">
        <v>0.09</v>
      </c>
      <c r="Z92" s="3">
        <v>0</v>
      </c>
      <c r="AA92" s="3">
        <v>0</v>
      </c>
      <c r="AB92" s="3" t="s">
        <v>207</v>
      </c>
      <c r="AC92" s="7" t="s">
        <v>61</v>
      </c>
      <c r="AD92" s="3"/>
      <c r="AE92" s="3"/>
      <c r="AF92" s="10">
        <v>2</v>
      </c>
      <c r="AG92" s="3">
        <f t="shared" si="28"/>
        <v>1</v>
      </c>
      <c r="AH92" s="3">
        <f t="shared" si="29"/>
        <v>2</v>
      </c>
      <c r="AI92" s="4">
        <f t="shared" si="30"/>
        <v>1</v>
      </c>
      <c r="AJ92" s="4">
        <f t="shared" si="31"/>
        <v>2</v>
      </c>
      <c r="AK92" s="4">
        <f t="shared" si="32"/>
        <v>1</v>
      </c>
      <c r="AL92" s="4">
        <f t="shared" si="33"/>
        <v>2</v>
      </c>
      <c r="AM92" s="4">
        <f t="shared" si="34"/>
        <v>1</v>
      </c>
      <c r="AN92" s="4">
        <v>0</v>
      </c>
      <c r="AO92" s="4">
        <v>0</v>
      </c>
      <c r="AP92" s="3" t="s">
        <v>61</v>
      </c>
      <c r="AQ92" s="3" t="s">
        <v>97</v>
      </c>
      <c r="AR92" s="3">
        <v>1</v>
      </c>
      <c r="AS92" s="3" t="s">
        <v>62</v>
      </c>
      <c r="AT92" s="16">
        <f>(6.3+16.3)/2/100</f>
        <v>0.113</v>
      </c>
      <c r="AU92" s="3">
        <v>2410</v>
      </c>
      <c r="AV92" s="16">
        <f>(11.3+15.5)/2/100</f>
        <v>0.13400000000000001</v>
      </c>
      <c r="AW92" s="3">
        <v>2410</v>
      </c>
      <c r="AX92" s="8">
        <f>76+196</f>
        <v>272</v>
      </c>
      <c r="AY92" s="8">
        <f t="shared" si="37"/>
        <v>2138</v>
      </c>
      <c r="AZ92" s="8">
        <f>136+187</f>
        <v>323</v>
      </c>
      <c r="BA92" s="8">
        <f t="shared" si="38"/>
        <v>2087</v>
      </c>
      <c r="BB92" s="3">
        <f t="shared" si="35"/>
        <v>4820</v>
      </c>
    </row>
    <row r="93" spans="1:54" x14ac:dyDescent="0.25">
      <c r="A93" s="9" t="str">
        <f t="shared" si="36"/>
        <v>25B</v>
      </c>
      <c r="B93" s="4">
        <v>25</v>
      </c>
      <c r="C93" s="4">
        <v>1</v>
      </c>
      <c r="D93" s="4" t="s">
        <v>66</v>
      </c>
      <c r="E93" s="4">
        <v>0</v>
      </c>
      <c r="F93" s="4">
        <v>1</v>
      </c>
      <c r="G93" s="4">
        <v>0</v>
      </c>
      <c r="H93" s="2" t="s">
        <v>317</v>
      </c>
      <c r="I93" s="2" t="s">
        <v>184</v>
      </c>
      <c r="J93" s="2" t="s">
        <v>229</v>
      </c>
      <c r="K93" s="4">
        <v>1</v>
      </c>
      <c r="L93" s="2" t="s">
        <v>635</v>
      </c>
      <c r="M93" s="1"/>
      <c r="N93" s="3">
        <v>0</v>
      </c>
      <c r="O93" s="3">
        <v>2</v>
      </c>
      <c r="P93" s="19">
        <f t="shared" si="27"/>
        <v>0</v>
      </c>
      <c r="Q93" s="4">
        <v>2014</v>
      </c>
      <c r="R93" s="4">
        <v>2011</v>
      </c>
      <c r="S93" s="4">
        <v>2011</v>
      </c>
      <c r="T93" s="4" t="s">
        <v>185</v>
      </c>
      <c r="U93" s="4">
        <v>0.44</v>
      </c>
      <c r="V93" s="4">
        <v>0.72499999999999998</v>
      </c>
      <c r="W93" s="4">
        <v>0.67800000000000005</v>
      </c>
      <c r="X93" s="4">
        <v>5826.8323065607783</v>
      </c>
      <c r="Y93" s="3">
        <v>0.09</v>
      </c>
      <c r="Z93" s="4">
        <v>0</v>
      </c>
      <c r="AA93" s="4">
        <v>0</v>
      </c>
      <c r="AB93" s="4" t="s">
        <v>207</v>
      </c>
      <c r="AC93" s="17" t="s">
        <v>313</v>
      </c>
      <c r="AD93" s="20">
        <v>0.504</v>
      </c>
      <c r="AE93" s="20">
        <v>0.496</v>
      </c>
      <c r="AF93" s="10">
        <v>2</v>
      </c>
      <c r="AG93" s="4">
        <f t="shared" si="28"/>
        <v>1</v>
      </c>
      <c r="AH93" s="3">
        <f t="shared" si="29"/>
        <v>2</v>
      </c>
      <c r="AI93" s="4">
        <f t="shared" si="30"/>
        <v>1</v>
      </c>
      <c r="AJ93" s="4">
        <f t="shared" si="31"/>
        <v>2</v>
      </c>
      <c r="AK93" s="4">
        <f t="shared" si="32"/>
        <v>1</v>
      </c>
      <c r="AL93" s="4">
        <f t="shared" si="33"/>
        <v>2</v>
      </c>
      <c r="AM93" s="4">
        <f t="shared" si="34"/>
        <v>1</v>
      </c>
      <c r="AN93" s="4">
        <v>0</v>
      </c>
      <c r="AO93" s="4">
        <v>0</v>
      </c>
      <c r="AP93" s="4" t="s">
        <v>100</v>
      </c>
      <c r="AQ93" s="4" t="s">
        <v>97</v>
      </c>
      <c r="AR93" s="4">
        <v>1</v>
      </c>
      <c r="AS93" s="4" t="s">
        <v>313</v>
      </c>
      <c r="AT93" s="11">
        <f>(5.2+16)/2/100</f>
        <v>0.106</v>
      </c>
      <c r="AU93" s="4">
        <f>405*2</f>
        <v>810</v>
      </c>
      <c r="AV93" s="11">
        <f>(9.1+15.8)/2/100</f>
        <v>0.1245</v>
      </c>
      <c r="AW93" s="4">
        <f>405*2</f>
        <v>810</v>
      </c>
      <c r="AX93" s="10">
        <f>21+65</f>
        <v>86</v>
      </c>
      <c r="AY93" s="10">
        <f t="shared" si="37"/>
        <v>724</v>
      </c>
      <c r="AZ93" s="10">
        <f>37+64</f>
        <v>101</v>
      </c>
      <c r="BA93" s="10">
        <f t="shared" si="38"/>
        <v>709</v>
      </c>
      <c r="BB93" s="4">
        <f t="shared" si="35"/>
        <v>1620</v>
      </c>
    </row>
    <row r="94" spans="1:54" x14ac:dyDescent="0.25">
      <c r="A94" s="9" t="str">
        <f t="shared" si="36"/>
        <v>25C</v>
      </c>
      <c r="B94" s="4">
        <v>25</v>
      </c>
      <c r="C94" s="4">
        <v>1</v>
      </c>
      <c r="D94" s="4" t="s">
        <v>67</v>
      </c>
      <c r="E94" s="4">
        <v>0</v>
      </c>
      <c r="F94" s="4">
        <v>1</v>
      </c>
      <c r="G94" s="4">
        <v>0</v>
      </c>
      <c r="H94" s="2" t="s">
        <v>317</v>
      </c>
      <c r="I94" s="2" t="s">
        <v>184</v>
      </c>
      <c r="J94" s="2" t="s">
        <v>229</v>
      </c>
      <c r="K94" s="4">
        <v>1</v>
      </c>
      <c r="L94" s="2" t="s">
        <v>635</v>
      </c>
      <c r="M94" s="1"/>
      <c r="N94" s="3">
        <v>0</v>
      </c>
      <c r="O94" s="3">
        <v>2</v>
      </c>
      <c r="P94" s="19">
        <f t="shared" si="27"/>
        <v>0</v>
      </c>
      <c r="Q94" s="4">
        <v>2014</v>
      </c>
      <c r="R94" s="4">
        <v>2011</v>
      </c>
      <c r="S94" s="4">
        <v>2011</v>
      </c>
      <c r="T94" s="4" t="s">
        <v>185</v>
      </c>
      <c r="U94" s="4">
        <v>0.44</v>
      </c>
      <c r="V94" s="4">
        <v>0.72499999999999998</v>
      </c>
      <c r="W94" s="4">
        <v>0.67800000000000005</v>
      </c>
      <c r="X94" s="4">
        <v>5826.8323065607783</v>
      </c>
      <c r="Y94" s="3">
        <v>0.09</v>
      </c>
      <c r="Z94" s="4">
        <v>0</v>
      </c>
      <c r="AA94" s="4">
        <v>0</v>
      </c>
      <c r="AB94" s="4" t="s">
        <v>207</v>
      </c>
      <c r="AC94" s="17" t="s">
        <v>314</v>
      </c>
      <c r="AD94" s="20">
        <v>0.59899999999999998</v>
      </c>
      <c r="AE94" s="20">
        <v>0.40100000000000002</v>
      </c>
      <c r="AF94" s="10">
        <v>1</v>
      </c>
      <c r="AG94" s="4">
        <f t="shared" si="28"/>
        <v>1</v>
      </c>
      <c r="AH94" s="3">
        <f t="shared" si="29"/>
        <v>2</v>
      </c>
      <c r="AI94" s="4">
        <f t="shared" si="30"/>
        <v>1</v>
      </c>
      <c r="AJ94" s="4">
        <f t="shared" si="31"/>
        <v>2</v>
      </c>
      <c r="AK94" s="4">
        <f t="shared" si="32"/>
        <v>1</v>
      </c>
      <c r="AL94" s="4">
        <f t="shared" si="33"/>
        <v>2</v>
      </c>
      <c r="AM94" s="4">
        <f t="shared" si="34"/>
        <v>1</v>
      </c>
      <c r="AN94" s="4">
        <v>0</v>
      </c>
      <c r="AO94" s="4">
        <v>0</v>
      </c>
      <c r="AP94" s="4" t="s">
        <v>100</v>
      </c>
      <c r="AQ94" s="4" t="s">
        <v>97</v>
      </c>
      <c r="AR94" s="4">
        <v>1</v>
      </c>
      <c r="AS94" s="4" t="s">
        <v>314</v>
      </c>
      <c r="AT94" s="11">
        <f>(3.6+14.3)/2/100</f>
        <v>8.950000000000001E-2</v>
      </c>
      <c r="AU94" s="4">
        <f>414*2</f>
        <v>828</v>
      </c>
      <c r="AV94" s="11">
        <f>(10.1+7.2)/2/100</f>
        <v>8.6500000000000007E-2</v>
      </c>
      <c r="AW94" s="4">
        <f>414*2</f>
        <v>828</v>
      </c>
      <c r="AX94" s="10">
        <f>15+59</f>
        <v>74</v>
      </c>
      <c r="AY94" s="10">
        <f t="shared" si="37"/>
        <v>754</v>
      </c>
      <c r="AZ94" s="10">
        <f>42+30</f>
        <v>72</v>
      </c>
      <c r="BA94" s="10">
        <f t="shared" si="38"/>
        <v>756</v>
      </c>
      <c r="BB94" s="4">
        <f t="shared" si="35"/>
        <v>1656</v>
      </c>
    </row>
    <row r="95" spans="1:54" x14ac:dyDescent="0.25">
      <c r="A95" s="9" t="str">
        <f t="shared" si="36"/>
        <v>25D</v>
      </c>
      <c r="B95" s="4">
        <v>25</v>
      </c>
      <c r="C95" s="4">
        <v>1</v>
      </c>
      <c r="D95" s="4" t="s">
        <v>68</v>
      </c>
      <c r="E95" s="4">
        <v>0</v>
      </c>
      <c r="F95" s="4">
        <v>1</v>
      </c>
      <c r="G95" s="4">
        <v>0</v>
      </c>
      <c r="H95" s="2" t="s">
        <v>317</v>
      </c>
      <c r="I95" s="2" t="s">
        <v>184</v>
      </c>
      <c r="J95" s="2" t="s">
        <v>229</v>
      </c>
      <c r="K95" s="4">
        <v>1</v>
      </c>
      <c r="L95" s="2" t="s">
        <v>635</v>
      </c>
      <c r="M95" s="1"/>
      <c r="N95" s="3">
        <v>0</v>
      </c>
      <c r="O95" s="3">
        <v>2</v>
      </c>
      <c r="P95" s="19">
        <f t="shared" si="27"/>
        <v>0</v>
      </c>
      <c r="Q95" s="4">
        <v>2014</v>
      </c>
      <c r="R95" s="4">
        <v>2011</v>
      </c>
      <c r="S95" s="4">
        <v>2011</v>
      </c>
      <c r="T95" s="4" t="s">
        <v>185</v>
      </c>
      <c r="U95" s="4">
        <v>0.44</v>
      </c>
      <c r="V95" s="4">
        <v>0.72499999999999998</v>
      </c>
      <c r="W95" s="4">
        <v>0.67800000000000005</v>
      </c>
      <c r="X95" s="4">
        <v>5826.8323065607783</v>
      </c>
      <c r="Y95" s="3">
        <v>0.09</v>
      </c>
      <c r="Z95" s="4">
        <v>0</v>
      </c>
      <c r="AA95" s="4">
        <v>0</v>
      </c>
      <c r="AB95" s="4" t="s">
        <v>207</v>
      </c>
      <c r="AC95" s="17" t="s">
        <v>315</v>
      </c>
      <c r="AD95" s="20">
        <v>0.58099999999999996</v>
      </c>
      <c r="AE95" s="20">
        <v>0.41900000000000004</v>
      </c>
      <c r="AF95" s="10">
        <v>2</v>
      </c>
      <c r="AG95" s="4">
        <f t="shared" si="28"/>
        <v>1</v>
      </c>
      <c r="AH95" s="3">
        <f t="shared" si="29"/>
        <v>2</v>
      </c>
      <c r="AI95" s="4">
        <f t="shared" si="30"/>
        <v>1</v>
      </c>
      <c r="AJ95" s="4">
        <f t="shared" si="31"/>
        <v>2</v>
      </c>
      <c r="AK95" s="4">
        <f t="shared" si="32"/>
        <v>1</v>
      </c>
      <c r="AL95" s="4">
        <f t="shared" si="33"/>
        <v>2</v>
      </c>
      <c r="AM95" s="4">
        <f t="shared" si="34"/>
        <v>1</v>
      </c>
      <c r="AN95" s="4">
        <v>0</v>
      </c>
      <c r="AO95" s="4">
        <v>0</v>
      </c>
      <c r="AP95" s="4" t="s">
        <v>316</v>
      </c>
      <c r="AQ95" s="4" t="s">
        <v>97</v>
      </c>
      <c r="AR95" s="4">
        <v>1</v>
      </c>
      <c r="AS95" s="4" t="s">
        <v>315</v>
      </c>
      <c r="AT95" s="11">
        <f>(10.4+18.7)/2/100</f>
        <v>0.14550000000000002</v>
      </c>
      <c r="AU95" s="4">
        <f>386*2</f>
        <v>772</v>
      </c>
      <c r="AV95" s="11">
        <f>(14.7+24.1)/2/100</f>
        <v>0.19399999999999998</v>
      </c>
      <c r="AW95" s="4">
        <f>386*2</f>
        <v>772</v>
      </c>
      <c r="AX95" s="10">
        <f>40+72</f>
        <v>112</v>
      </c>
      <c r="AY95" s="10">
        <f t="shared" si="37"/>
        <v>660</v>
      </c>
      <c r="AZ95" s="10">
        <f>57+93</f>
        <v>150</v>
      </c>
      <c r="BA95" s="10">
        <f t="shared" si="38"/>
        <v>622</v>
      </c>
      <c r="BB95" s="4">
        <f t="shared" si="35"/>
        <v>1544</v>
      </c>
    </row>
    <row r="96" spans="1:54" x14ac:dyDescent="0.25">
      <c r="A96" s="9" t="str">
        <f t="shared" si="36"/>
        <v>26A</v>
      </c>
      <c r="B96" s="3">
        <v>26</v>
      </c>
      <c r="C96" s="3">
        <v>1</v>
      </c>
      <c r="D96" s="3" t="s">
        <v>65</v>
      </c>
      <c r="E96" s="3">
        <v>1</v>
      </c>
      <c r="F96" s="3">
        <v>0</v>
      </c>
      <c r="G96" s="3">
        <v>0</v>
      </c>
      <c r="H96" s="1" t="s">
        <v>331</v>
      </c>
      <c r="I96" s="1" t="s">
        <v>330</v>
      </c>
      <c r="J96" s="1" t="s">
        <v>203</v>
      </c>
      <c r="K96" s="3">
        <v>1</v>
      </c>
      <c r="L96" s="1" t="s">
        <v>329</v>
      </c>
      <c r="M96" s="1" t="s">
        <v>549</v>
      </c>
      <c r="N96" s="3">
        <v>1</v>
      </c>
      <c r="O96" s="3">
        <v>2</v>
      </c>
      <c r="P96" s="19">
        <f t="shared" si="27"/>
        <v>0.33333333333333331</v>
      </c>
      <c r="Q96" s="3">
        <v>2017</v>
      </c>
      <c r="R96" s="3" t="s">
        <v>98</v>
      </c>
      <c r="S96" s="3">
        <v>2014</v>
      </c>
      <c r="T96" s="3" t="s">
        <v>51</v>
      </c>
      <c r="U96" s="3">
        <v>4.5999999999999999E-2</v>
      </c>
      <c r="V96" s="3">
        <v>0.93700000000000006</v>
      </c>
      <c r="W96" s="3">
        <v>0.90900000000000003</v>
      </c>
      <c r="X96" s="3">
        <v>60020.360457657203</v>
      </c>
      <c r="Y96" s="3">
        <v>0.115</v>
      </c>
      <c r="Z96" s="3">
        <v>1</v>
      </c>
      <c r="AA96" s="3">
        <v>0</v>
      </c>
      <c r="AB96" s="3" t="s">
        <v>207</v>
      </c>
      <c r="AC96" s="7" t="s">
        <v>61</v>
      </c>
      <c r="AD96" s="19"/>
      <c r="AE96" s="19"/>
      <c r="AF96" s="10">
        <v>2</v>
      </c>
      <c r="AG96" s="3">
        <f t="shared" si="28"/>
        <v>1</v>
      </c>
      <c r="AH96" s="3">
        <f t="shared" si="29"/>
        <v>2</v>
      </c>
      <c r="AI96" s="4">
        <f t="shared" si="30"/>
        <v>1</v>
      </c>
      <c r="AJ96" s="4">
        <f t="shared" si="31"/>
        <v>2</v>
      </c>
      <c r="AK96" s="4">
        <f t="shared" si="32"/>
        <v>1</v>
      </c>
      <c r="AL96" s="4">
        <f t="shared" si="33"/>
        <v>2</v>
      </c>
      <c r="AM96" s="4">
        <f t="shared" si="34"/>
        <v>1</v>
      </c>
      <c r="AN96" s="4">
        <v>0</v>
      </c>
      <c r="AO96" s="4">
        <v>0</v>
      </c>
      <c r="AP96" s="3" t="s">
        <v>61</v>
      </c>
      <c r="AQ96" s="3" t="s">
        <v>97</v>
      </c>
      <c r="AR96" s="3">
        <v>1</v>
      </c>
      <c r="AS96" s="3" t="s">
        <v>62</v>
      </c>
      <c r="AT96" s="16">
        <f>(0.364+0.392)/2</f>
        <v>0.378</v>
      </c>
      <c r="AU96" s="3">
        <f>2144/2</f>
        <v>1072</v>
      </c>
      <c r="AV96" s="16">
        <f>(0.39+0.416)/2</f>
        <v>0.40300000000000002</v>
      </c>
      <c r="AW96" s="3">
        <f>2144/2</f>
        <v>1072</v>
      </c>
      <c r="AX96" s="8">
        <f>AU96*AT96</f>
        <v>405.21600000000001</v>
      </c>
      <c r="AY96" s="8">
        <f>AU96-AX96</f>
        <v>666.78399999999999</v>
      </c>
      <c r="AZ96" s="8">
        <f t="shared" ref="AZ96:AZ110" si="39">AW96*AV96</f>
        <v>432.01600000000002</v>
      </c>
      <c r="BA96" s="8">
        <f>AW96-AZ96</f>
        <v>639.98399999999992</v>
      </c>
      <c r="BB96" s="8">
        <f>SUM(AX96:BA96)</f>
        <v>2144</v>
      </c>
    </row>
    <row r="97" spans="1:54" x14ac:dyDescent="0.25">
      <c r="A97" s="9" t="str">
        <f t="shared" si="36"/>
        <v>26B</v>
      </c>
      <c r="B97" s="4">
        <v>26</v>
      </c>
      <c r="C97" s="4">
        <v>1</v>
      </c>
      <c r="D97" s="4" t="s">
        <v>66</v>
      </c>
      <c r="E97" s="4">
        <v>0</v>
      </c>
      <c r="F97" s="4">
        <v>1</v>
      </c>
      <c r="G97" s="4">
        <v>0</v>
      </c>
      <c r="H97" s="2" t="s">
        <v>331</v>
      </c>
      <c r="I97" s="2" t="s">
        <v>330</v>
      </c>
      <c r="J97" s="2" t="s">
        <v>203</v>
      </c>
      <c r="K97" s="4">
        <v>1</v>
      </c>
      <c r="L97" s="2" t="s">
        <v>329</v>
      </c>
      <c r="M97" s="1"/>
      <c r="N97" s="4">
        <v>1</v>
      </c>
      <c r="O97" s="4">
        <v>2</v>
      </c>
      <c r="P97" s="20">
        <f t="shared" si="27"/>
        <v>0.33333333333333331</v>
      </c>
      <c r="Q97" s="4">
        <v>2017</v>
      </c>
      <c r="R97" s="4" t="s">
        <v>98</v>
      </c>
      <c r="S97" s="4">
        <v>2014</v>
      </c>
      <c r="T97" s="4" t="s">
        <v>51</v>
      </c>
      <c r="U97" s="4">
        <v>4.5999999999999999E-2</v>
      </c>
      <c r="V97" s="4">
        <v>0.93700000000000006</v>
      </c>
      <c r="W97" s="4">
        <v>0.90900000000000003</v>
      </c>
      <c r="X97" s="4">
        <v>60020.360457657203</v>
      </c>
      <c r="Y97" s="4">
        <v>0.115</v>
      </c>
      <c r="Z97" s="4">
        <v>1</v>
      </c>
      <c r="AA97" s="4">
        <v>0</v>
      </c>
      <c r="AB97" s="4" t="s">
        <v>207</v>
      </c>
      <c r="AC97" s="17" t="s">
        <v>318</v>
      </c>
      <c r="AD97" s="20">
        <v>0.247</v>
      </c>
      <c r="AE97" s="20">
        <v>0.753</v>
      </c>
      <c r="AF97" s="10">
        <v>0</v>
      </c>
      <c r="AG97" s="4">
        <f t="shared" si="28"/>
        <v>0</v>
      </c>
      <c r="AH97" s="3">
        <f t="shared" si="29"/>
        <v>0</v>
      </c>
      <c r="AI97" s="4">
        <f t="shared" si="30"/>
        <v>0</v>
      </c>
      <c r="AJ97" s="4">
        <f t="shared" si="31"/>
        <v>0</v>
      </c>
      <c r="AK97" s="4">
        <f t="shared" si="32"/>
        <v>0</v>
      </c>
      <c r="AL97" s="4">
        <f t="shared" si="33"/>
        <v>0</v>
      </c>
      <c r="AM97" s="4">
        <f t="shared" si="34"/>
        <v>0</v>
      </c>
      <c r="AN97" s="4">
        <v>0</v>
      </c>
      <c r="AO97" s="4">
        <v>0</v>
      </c>
      <c r="AP97" s="4" t="s">
        <v>316</v>
      </c>
      <c r="AQ97" s="4" t="s">
        <v>97</v>
      </c>
      <c r="AR97" s="4">
        <v>1</v>
      </c>
      <c r="AS97" s="4" t="s">
        <v>318</v>
      </c>
      <c r="AT97" s="11">
        <f>(0.055+0.091)/2</f>
        <v>7.2999999999999995E-2</v>
      </c>
      <c r="AU97" s="4">
        <f>138/2</f>
        <v>69</v>
      </c>
      <c r="AV97" s="11">
        <f>(0.111+0.086)/2</f>
        <v>9.8500000000000004E-2</v>
      </c>
      <c r="AW97" s="4">
        <f>138/2</f>
        <v>69</v>
      </c>
      <c r="AX97" s="10">
        <f t="shared" ref="AX96:AX110" si="40">AU97*AT97</f>
        <v>5.0369999999999999</v>
      </c>
      <c r="AY97" s="10">
        <f t="shared" si="37"/>
        <v>63.963000000000001</v>
      </c>
      <c r="AZ97" s="10">
        <f t="shared" si="39"/>
        <v>6.7965</v>
      </c>
      <c r="BA97" s="10">
        <f t="shared" si="38"/>
        <v>62.203499999999998</v>
      </c>
      <c r="BB97" s="4">
        <f t="shared" si="35"/>
        <v>138</v>
      </c>
    </row>
    <row r="98" spans="1:54" x14ac:dyDescent="0.25">
      <c r="A98" s="9" t="str">
        <f t="shared" si="36"/>
        <v>26C</v>
      </c>
      <c r="B98" s="4">
        <v>26</v>
      </c>
      <c r="C98" s="4">
        <v>1</v>
      </c>
      <c r="D98" s="4" t="s">
        <v>67</v>
      </c>
      <c r="E98" s="4">
        <v>0</v>
      </c>
      <c r="F98" s="4">
        <v>1</v>
      </c>
      <c r="G98" s="4">
        <v>0</v>
      </c>
      <c r="H98" s="2" t="s">
        <v>331</v>
      </c>
      <c r="I98" s="2" t="s">
        <v>330</v>
      </c>
      <c r="J98" s="2" t="s">
        <v>203</v>
      </c>
      <c r="K98" s="4">
        <v>1</v>
      </c>
      <c r="L98" s="2" t="s">
        <v>329</v>
      </c>
      <c r="M98" s="1"/>
      <c r="N98" s="4">
        <v>1</v>
      </c>
      <c r="O98" s="4">
        <v>2</v>
      </c>
      <c r="P98" s="20">
        <f t="shared" si="27"/>
        <v>0.33333333333333331</v>
      </c>
      <c r="Q98" s="4">
        <v>2017</v>
      </c>
      <c r="R98" s="4" t="s">
        <v>98</v>
      </c>
      <c r="S98" s="4">
        <v>2014</v>
      </c>
      <c r="T98" s="4" t="s">
        <v>51</v>
      </c>
      <c r="U98" s="4">
        <v>4.5999999999999999E-2</v>
      </c>
      <c r="V98" s="4">
        <v>0.93700000000000006</v>
      </c>
      <c r="W98" s="4">
        <v>0.90900000000000003</v>
      </c>
      <c r="X98" s="4">
        <v>60020.360457657203</v>
      </c>
      <c r="Y98" s="4">
        <v>0.115</v>
      </c>
      <c r="Z98" s="4">
        <v>1</v>
      </c>
      <c r="AA98" s="4">
        <v>0</v>
      </c>
      <c r="AB98" s="4" t="s">
        <v>207</v>
      </c>
      <c r="AC98" s="17" t="s">
        <v>319</v>
      </c>
      <c r="AD98" s="20">
        <v>0.78300000000000003</v>
      </c>
      <c r="AE98" s="20">
        <v>0.21699999999999997</v>
      </c>
      <c r="AF98" s="10">
        <v>1</v>
      </c>
      <c r="AG98" s="4">
        <f t="shared" si="28"/>
        <v>1</v>
      </c>
      <c r="AH98" s="3">
        <f t="shared" si="29"/>
        <v>1</v>
      </c>
      <c r="AI98" s="4">
        <f t="shared" si="30"/>
        <v>1</v>
      </c>
      <c r="AJ98" s="4">
        <f t="shared" si="31"/>
        <v>1</v>
      </c>
      <c r="AK98" s="4">
        <f t="shared" si="32"/>
        <v>1</v>
      </c>
      <c r="AL98" s="4">
        <f t="shared" si="33"/>
        <v>1</v>
      </c>
      <c r="AM98" s="4">
        <f t="shared" si="34"/>
        <v>1</v>
      </c>
      <c r="AN98" s="4">
        <v>0</v>
      </c>
      <c r="AO98" s="4">
        <v>0</v>
      </c>
      <c r="AP98" s="4" t="s">
        <v>328</v>
      </c>
      <c r="AQ98" s="4" t="s">
        <v>97</v>
      </c>
      <c r="AR98" s="4">
        <v>1</v>
      </c>
      <c r="AS98" s="4" t="s">
        <v>319</v>
      </c>
      <c r="AT98" s="11">
        <f>(0.322+0.167)/2</f>
        <v>0.2445</v>
      </c>
      <c r="AU98" s="4">
        <f>104/2</f>
        <v>52</v>
      </c>
      <c r="AV98" s="11">
        <f>(0.292+0.421)/2</f>
        <v>0.35649999999999998</v>
      </c>
      <c r="AW98" s="4">
        <f>104/2</f>
        <v>52</v>
      </c>
      <c r="AX98" s="10">
        <f t="shared" si="40"/>
        <v>12.714</v>
      </c>
      <c r="AY98" s="10">
        <f t="shared" si="37"/>
        <v>39.286000000000001</v>
      </c>
      <c r="AZ98" s="10">
        <f t="shared" si="39"/>
        <v>18.538</v>
      </c>
      <c r="BA98" s="10">
        <f t="shared" si="38"/>
        <v>33.462000000000003</v>
      </c>
      <c r="BB98" s="4">
        <f t="shared" si="35"/>
        <v>104</v>
      </c>
    </row>
    <row r="99" spans="1:54" s="1" customFormat="1" x14ac:dyDescent="0.25">
      <c r="A99" s="9" t="str">
        <f t="shared" si="36"/>
        <v>26D</v>
      </c>
      <c r="B99" s="4">
        <v>26</v>
      </c>
      <c r="C99" s="4">
        <v>1</v>
      </c>
      <c r="D99" s="4" t="s">
        <v>68</v>
      </c>
      <c r="E99" s="4">
        <v>0</v>
      </c>
      <c r="F99" s="4">
        <v>1</v>
      </c>
      <c r="G99" s="4">
        <v>0</v>
      </c>
      <c r="H99" s="2" t="s">
        <v>331</v>
      </c>
      <c r="I99" s="2" t="s">
        <v>330</v>
      </c>
      <c r="J99" s="2" t="s">
        <v>203</v>
      </c>
      <c r="K99" s="4">
        <v>1</v>
      </c>
      <c r="L99" s="2" t="s">
        <v>329</v>
      </c>
      <c r="N99" s="4">
        <v>1</v>
      </c>
      <c r="O99" s="4">
        <v>2</v>
      </c>
      <c r="P99" s="20">
        <f t="shared" si="27"/>
        <v>0.33333333333333331</v>
      </c>
      <c r="Q99" s="4">
        <v>2017</v>
      </c>
      <c r="R99" s="4" t="s">
        <v>98</v>
      </c>
      <c r="S99" s="4">
        <v>2014</v>
      </c>
      <c r="T99" s="4" t="s">
        <v>51</v>
      </c>
      <c r="U99" s="4">
        <v>4.5999999999999999E-2</v>
      </c>
      <c r="V99" s="4">
        <v>0.93700000000000006</v>
      </c>
      <c r="W99" s="4">
        <v>0.90900000000000003</v>
      </c>
      <c r="X99" s="4">
        <v>60020.360457657203</v>
      </c>
      <c r="Y99" s="4">
        <v>0.115</v>
      </c>
      <c r="Z99" s="4">
        <v>1</v>
      </c>
      <c r="AA99" s="4">
        <v>0</v>
      </c>
      <c r="AB99" s="4" t="s">
        <v>207</v>
      </c>
      <c r="AC99" s="17" t="s">
        <v>320</v>
      </c>
      <c r="AD99" s="20">
        <v>0.89600000000000002</v>
      </c>
      <c r="AE99" s="20">
        <v>0.10399999999999998</v>
      </c>
      <c r="AF99" s="10">
        <v>1</v>
      </c>
      <c r="AG99" s="4">
        <f t="shared" si="28"/>
        <v>1</v>
      </c>
      <c r="AH99" s="3">
        <f t="shared" si="29"/>
        <v>1</v>
      </c>
      <c r="AI99" s="4">
        <f t="shared" si="30"/>
        <v>1</v>
      </c>
      <c r="AJ99" s="4">
        <f t="shared" si="31"/>
        <v>1</v>
      </c>
      <c r="AK99" s="4">
        <f t="shared" si="32"/>
        <v>1</v>
      </c>
      <c r="AL99" s="4">
        <f t="shared" si="33"/>
        <v>1</v>
      </c>
      <c r="AM99" s="4">
        <f t="shared" si="34"/>
        <v>1</v>
      </c>
      <c r="AN99" s="4">
        <v>0</v>
      </c>
      <c r="AO99" s="4">
        <v>0</v>
      </c>
      <c r="AP99" s="4" t="s">
        <v>328</v>
      </c>
      <c r="AQ99" s="4" t="s">
        <v>97</v>
      </c>
      <c r="AR99" s="4">
        <v>1</v>
      </c>
      <c r="AS99" s="4" t="s">
        <v>320</v>
      </c>
      <c r="AT99" s="11">
        <f>(0.6+0.61)/2</f>
        <v>0.60499999999999998</v>
      </c>
      <c r="AU99" s="4">
        <f>230/2</f>
        <v>115</v>
      </c>
      <c r="AV99" s="11">
        <f>(0.6+0.541)/2</f>
        <v>0.57050000000000001</v>
      </c>
      <c r="AW99" s="4">
        <f>230/2</f>
        <v>115</v>
      </c>
      <c r="AX99" s="10">
        <f t="shared" si="40"/>
        <v>69.575000000000003</v>
      </c>
      <c r="AY99" s="10">
        <f t="shared" si="37"/>
        <v>45.424999999999997</v>
      </c>
      <c r="AZ99" s="10">
        <f t="shared" si="39"/>
        <v>65.607500000000002</v>
      </c>
      <c r="BA99" s="10">
        <f t="shared" si="38"/>
        <v>49.392499999999998</v>
      </c>
      <c r="BB99" s="4">
        <f t="shared" si="35"/>
        <v>230</v>
      </c>
    </row>
    <row r="100" spans="1:54" x14ac:dyDescent="0.25">
      <c r="A100" s="9" t="str">
        <f t="shared" si="36"/>
        <v>26E</v>
      </c>
      <c r="B100" s="4">
        <v>26</v>
      </c>
      <c r="C100" s="4">
        <v>1</v>
      </c>
      <c r="D100" s="4" t="s">
        <v>102</v>
      </c>
      <c r="E100" s="4">
        <v>0</v>
      </c>
      <c r="F100" s="4">
        <v>1</v>
      </c>
      <c r="G100" s="4">
        <v>0</v>
      </c>
      <c r="H100" s="2" t="s">
        <v>331</v>
      </c>
      <c r="I100" s="2" t="s">
        <v>330</v>
      </c>
      <c r="J100" s="2" t="s">
        <v>203</v>
      </c>
      <c r="K100" s="4">
        <v>1</v>
      </c>
      <c r="L100" s="2" t="s">
        <v>329</v>
      </c>
      <c r="M100" s="1"/>
      <c r="N100" s="4">
        <v>1</v>
      </c>
      <c r="O100" s="4">
        <v>2</v>
      </c>
      <c r="P100" s="20">
        <f t="shared" si="27"/>
        <v>0.33333333333333331</v>
      </c>
      <c r="Q100" s="4">
        <v>2017</v>
      </c>
      <c r="R100" s="4" t="s">
        <v>98</v>
      </c>
      <c r="S100" s="4">
        <v>2014</v>
      </c>
      <c r="T100" s="4" t="s">
        <v>51</v>
      </c>
      <c r="U100" s="4">
        <v>4.5999999999999999E-2</v>
      </c>
      <c r="V100" s="4">
        <v>0.93700000000000006</v>
      </c>
      <c r="W100" s="4">
        <v>0.90900000000000003</v>
      </c>
      <c r="X100" s="4">
        <v>60020.360457657203</v>
      </c>
      <c r="Y100" s="4">
        <v>0.115</v>
      </c>
      <c r="Z100" s="4">
        <v>1</v>
      </c>
      <c r="AA100" s="4">
        <v>0</v>
      </c>
      <c r="AB100" s="4" t="s">
        <v>207</v>
      </c>
      <c r="AC100" s="17" t="s">
        <v>321</v>
      </c>
      <c r="AD100" s="20">
        <v>0.32700000000000001</v>
      </c>
      <c r="AE100" s="20">
        <v>0.67300000000000004</v>
      </c>
      <c r="AF100" s="10">
        <v>2</v>
      </c>
      <c r="AG100" s="4">
        <f t="shared" si="28"/>
        <v>1</v>
      </c>
      <c r="AH100" s="3">
        <f t="shared" si="29"/>
        <v>0</v>
      </c>
      <c r="AI100" s="4">
        <f t="shared" si="30"/>
        <v>0</v>
      </c>
      <c r="AJ100" s="4">
        <f t="shared" si="31"/>
        <v>0</v>
      </c>
      <c r="AK100" s="4">
        <f t="shared" si="32"/>
        <v>0</v>
      </c>
      <c r="AL100" s="4">
        <f t="shared" si="33"/>
        <v>2</v>
      </c>
      <c r="AM100" s="4">
        <f t="shared" si="34"/>
        <v>1</v>
      </c>
      <c r="AN100" s="4">
        <v>0</v>
      </c>
      <c r="AO100" s="4">
        <v>0</v>
      </c>
      <c r="AP100" s="4" t="s">
        <v>316</v>
      </c>
      <c r="AQ100" s="4" t="s">
        <v>97</v>
      </c>
      <c r="AR100" s="4">
        <v>1</v>
      </c>
      <c r="AS100" s="4" t="s">
        <v>321</v>
      </c>
      <c r="AT100" s="11">
        <f>(0.212+0.083)/2</f>
        <v>0.14749999999999999</v>
      </c>
      <c r="AU100" s="4">
        <f>140/2</f>
        <v>70</v>
      </c>
      <c r="AV100" s="11">
        <f>(0.122+0.333)/2</f>
        <v>0.22750000000000001</v>
      </c>
      <c r="AW100" s="4">
        <f>140/2</f>
        <v>70</v>
      </c>
      <c r="AX100" s="10">
        <f t="shared" si="40"/>
        <v>10.324999999999999</v>
      </c>
      <c r="AY100" s="10">
        <f t="shared" si="37"/>
        <v>59.674999999999997</v>
      </c>
      <c r="AZ100" s="10">
        <f t="shared" si="39"/>
        <v>15.925000000000001</v>
      </c>
      <c r="BA100" s="10">
        <f t="shared" si="38"/>
        <v>54.075000000000003</v>
      </c>
      <c r="BB100" s="4">
        <f t="shared" si="35"/>
        <v>140</v>
      </c>
    </row>
    <row r="101" spans="1:54" x14ac:dyDescent="0.25">
      <c r="A101" s="9" t="str">
        <f t="shared" si="36"/>
        <v>26F</v>
      </c>
      <c r="B101" s="4">
        <v>26</v>
      </c>
      <c r="C101" s="4">
        <v>1</v>
      </c>
      <c r="D101" s="4" t="s">
        <v>116</v>
      </c>
      <c r="E101" s="4">
        <v>0</v>
      </c>
      <c r="F101" s="4">
        <v>1</v>
      </c>
      <c r="G101" s="4">
        <v>0</v>
      </c>
      <c r="H101" s="2" t="s">
        <v>331</v>
      </c>
      <c r="I101" s="2" t="s">
        <v>330</v>
      </c>
      <c r="J101" s="2" t="s">
        <v>203</v>
      </c>
      <c r="K101" s="4">
        <v>1</v>
      </c>
      <c r="L101" s="2" t="s">
        <v>329</v>
      </c>
      <c r="M101" s="1"/>
      <c r="N101" s="4">
        <v>1</v>
      </c>
      <c r="O101" s="4">
        <v>2</v>
      </c>
      <c r="P101" s="20">
        <f t="shared" si="27"/>
        <v>0.33333333333333331</v>
      </c>
      <c r="Q101" s="4">
        <v>2017</v>
      </c>
      <c r="R101" s="4" t="s">
        <v>98</v>
      </c>
      <c r="S101" s="4">
        <v>2014</v>
      </c>
      <c r="T101" s="4" t="s">
        <v>51</v>
      </c>
      <c r="U101" s="4">
        <v>4.5999999999999999E-2</v>
      </c>
      <c r="V101" s="4">
        <v>0.93700000000000006</v>
      </c>
      <c r="W101" s="4">
        <v>0.90900000000000003</v>
      </c>
      <c r="X101" s="4">
        <v>60020.360457657203</v>
      </c>
      <c r="Y101" s="4">
        <v>0.115</v>
      </c>
      <c r="Z101" s="4">
        <v>1</v>
      </c>
      <c r="AA101" s="4">
        <v>0</v>
      </c>
      <c r="AB101" s="4" t="s">
        <v>207</v>
      </c>
      <c r="AC101" s="17" t="s">
        <v>237</v>
      </c>
      <c r="AD101" s="20">
        <v>4.4999999999999998E-2</v>
      </c>
      <c r="AE101" s="20">
        <v>0.95499999999999996</v>
      </c>
      <c r="AF101" s="10">
        <v>0</v>
      </c>
      <c r="AG101" s="4">
        <f t="shared" si="28"/>
        <v>0</v>
      </c>
      <c r="AH101" s="3">
        <f t="shared" si="29"/>
        <v>0</v>
      </c>
      <c r="AI101" s="4">
        <f t="shared" si="30"/>
        <v>0</v>
      </c>
      <c r="AJ101" s="4">
        <f t="shared" si="31"/>
        <v>0</v>
      </c>
      <c r="AK101" s="4">
        <f t="shared" si="32"/>
        <v>0</v>
      </c>
      <c r="AL101" s="4">
        <f t="shared" si="33"/>
        <v>0</v>
      </c>
      <c r="AM101" s="4">
        <f t="shared" si="34"/>
        <v>0</v>
      </c>
      <c r="AN101" s="4">
        <v>0</v>
      </c>
      <c r="AO101" s="4">
        <v>1</v>
      </c>
      <c r="AP101" s="4" t="s">
        <v>328</v>
      </c>
      <c r="AQ101" s="4" t="s">
        <v>97</v>
      </c>
      <c r="AR101" s="4">
        <v>1</v>
      </c>
      <c r="AS101" s="4" t="s">
        <v>237</v>
      </c>
      <c r="AT101" s="11">
        <f>(0.65+0.807)/2</f>
        <v>0.72850000000000004</v>
      </c>
      <c r="AU101" s="4">
        <f>230/2</f>
        <v>115</v>
      </c>
      <c r="AV101" s="11">
        <f>(0.579+0.661)/2</f>
        <v>0.62</v>
      </c>
      <c r="AW101" s="4">
        <f>230/2</f>
        <v>115</v>
      </c>
      <c r="AX101" s="10">
        <f t="shared" si="40"/>
        <v>83.777500000000003</v>
      </c>
      <c r="AY101" s="10">
        <f t="shared" si="37"/>
        <v>31.222499999999997</v>
      </c>
      <c r="AZ101" s="10">
        <f t="shared" si="39"/>
        <v>71.3</v>
      </c>
      <c r="BA101" s="10">
        <f t="shared" si="38"/>
        <v>43.7</v>
      </c>
      <c r="BB101" s="4">
        <f t="shared" si="35"/>
        <v>230</v>
      </c>
    </row>
    <row r="102" spans="1:54" x14ac:dyDescent="0.25">
      <c r="A102" s="9" t="str">
        <f t="shared" si="36"/>
        <v>26G</v>
      </c>
      <c r="B102" s="4">
        <v>26</v>
      </c>
      <c r="C102" s="4">
        <v>1</v>
      </c>
      <c r="D102" s="4" t="s">
        <v>117</v>
      </c>
      <c r="E102" s="4">
        <v>0</v>
      </c>
      <c r="F102" s="4">
        <v>1</v>
      </c>
      <c r="G102" s="4">
        <v>0</v>
      </c>
      <c r="H102" s="2" t="s">
        <v>331</v>
      </c>
      <c r="I102" s="2" t="s">
        <v>330</v>
      </c>
      <c r="J102" s="2" t="s">
        <v>203</v>
      </c>
      <c r="K102" s="4">
        <v>1</v>
      </c>
      <c r="L102" s="2" t="s">
        <v>329</v>
      </c>
      <c r="M102" s="1"/>
      <c r="N102" s="4">
        <v>1</v>
      </c>
      <c r="O102" s="4">
        <v>2</v>
      </c>
      <c r="P102" s="20">
        <f t="shared" si="27"/>
        <v>0.33333333333333331</v>
      </c>
      <c r="Q102" s="4">
        <v>2017</v>
      </c>
      <c r="R102" s="4" t="s">
        <v>98</v>
      </c>
      <c r="S102" s="4">
        <v>2014</v>
      </c>
      <c r="T102" s="4" t="s">
        <v>51</v>
      </c>
      <c r="U102" s="4">
        <v>4.5999999999999999E-2</v>
      </c>
      <c r="V102" s="4">
        <v>0.93700000000000006</v>
      </c>
      <c r="W102" s="4">
        <v>0.90900000000000003</v>
      </c>
      <c r="X102" s="4">
        <v>60020.360457657203</v>
      </c>
      <c r="Y102" s="4">
        <v>0.115</v>
      </c>
      <c r="Z102" s="4">
        <v>1</v>
      </c>
      <c r="AA102" s="4">
        <v>0</v>
      </c>
      <c r="AB102" s="4" t="s">
        <v>207</v>
      </c>
      <c r="AC102" s="17" t="s">
        <v>322</v>
      </c>
      <c r="AD102" s="20">
        <v>0.24399999999999999</v>
      </c>
      <c r="AE102" s="20">
        <v>0.75600000000000001</v>
      </c>
      <c r="AF102" s="10">
        <v>0</v>
      </c>
      <c r="AG102" s="4">
        <f t="shared" si="28"/>
        <v>0</v>
      </c>
      <c r="AH102" s="3">
        <f t="shared" si="29"/>
        <v>0</v>
      </c>
      <c r="AI102" s="4">
        <f t="shared" si="30"/>
        <v>0</v>
      </c>
      <c r="AJ102" s="4">
        <f t="shared" si="31"/>
        <v>0</v>
      </c>
      <c r="AK102" s="4">
        <f t="shared" si="32"/>
        <v>0</v>
      </c>
      <c r="AL102" s="4">
        <f t="shared" si="33"/>
        <v>0</v>
      </c>
      <c r="AM102" s="4">
        <f t="shared" si="34"/>
        <v>0</v>
      </c>
      <c r="AN102" s="4">
        <v>0</v>
      </c>
      <c r="AO102" s="4">
        <v>1</v>
      </c>
      <c r="AP102" s="4" t="s">
        <v>328</v>
      </c>
      <c r="AQ102" s="4" t="s">
        <v>97</v>
      </c>
      <c r="AR102" s="4">
        <v>1</v>
      </c>
      <c r="AS102" s="4" t="s">
        <v>322</v>
      </c>
      <c r="AT102" s="11">
        <f>(0.655+0.704)/2</f>
        <v>0.67949999999999999</v>
      </c>
      <c r="AU102" s="4">
        <f>119/2</f>
        <v>59.5</v>
      </c>
      <c r="AV102" s="11">
        <f>(0.857+0.786)/2</f>
        <v>0.82150000000000001</v>
      </c>
      <c r="AW102" s="4">
        <f>119/2</f>
        <v>59.5</v>
      </c>
      <c r="AX102" s="10">
        <f t="shared" si="40"/>
        <v>40.430250000000001</v>
      </c>
      <c r="AY102" s="10">
        <f t="shared" si="37"/>
        <v>19.069749999999999</v>
      </c>
      <c r="AZ102" s="10">
        <f t="shared" si="39"/>
        <v>48.879249999999999</v>
      </c>
      <c r="BA102" s="10">
        <f t="shared" si="38"/>
        <v>10.620750000000001</v>
      </c>
      <c r="BB102" s="4">
        <f t="shared" si="35"/>
        <v>119</v>
      </c>
    </row>
    <row r="103" spans="1:54" s="1" customFormat="1" x14ac:dyDescent="0.25">
      <c r="A103" s="9" t="str">
        <f t="shared" si="36"/>
        <v>26H</v>
      </c>
      <c r="B103" s="4">
        <v>26</v>
      </c>
      <c r="C103" s="4">
        <v>1</v>
      </c>
      <c r="D103" s="4" t="s">
        <v>118</v>
      </c>
      <c r="E103" s="4">
        <v>0</v>
      </c>
      <c r="F103" s="4">
        <v>1</v>
      </c>
      <c r="G103" s="4">
        <v>0</v>
      </c>
      <c r="H103" s="2" t="s">
        <v>331</v>
      </c>
      <c r="I103" s="2" t="s">
        <v>330</v>
      </c>
      <c r="J103" s="2" t="s">
        <v>203</v>
      </c>
      <c r="K103" s="4">
        <v>1</v>
      </c>
      <c r="L103" s="2" t="s">
        <v>329</v>
      </c>
      <c r="N103" s="4">
        <v>1</v>
      </c>
      <c r="O103" s="4">
        <v>2</v>
      </c>
      <c r="P103" s="20">
        <f t="shared" si="27"/>
        <v>0.33333333333333331</v>
      </c>
      <c r="Q103" s="4">
        <v>2017</v>
      </c>
      <c r="R103" s="4" t="s">
        <v>98</v>
      </c>
      <c r="S103" s="4">
        <v>2014</v>
      </c>
      <c r="T103" s="4" t="s">
        <v>51</v>
      </c>
      <c r="U103" s="4">
        <v>4.5999999999999999E-2</v>
      </c>
      <c r="V103" s="4">
        <v>0.93700000000000006</v>
      </c>
      <c r="W103" s="4">
        <v>0.90900000000000003</v>
      </c>
      <c r="X103" s="4">
        <v>60020.360457657203</v>
      </c>
      <c r="Y103" s="4">
        <v>0.115</v>
      </c>
      <c r="Z103" s="4">
        <v>1</v>
      </c>
      <c r="AA103" s="4">
        <v>0</v>
      </c>
      <c r="AB103" s="4" t="s">
        <v>207</v>
      </c>
      <c r="AC103" s="17" t="s">
        <v>238</v>
      </c>
      <c r="AD103" s="20">
        <v>0.42199999999999999</v>
      </c>
      <c r="AE103" s="20">
        <v>0.57800000000000007</v>
      </c>
      <c r="AF103" s="10">
        <v>2</v>
      </c>
      <c r="AG103" s="4">
        <f t="shared" si="28"/>
        <v>1</v>
      </c>
      <c r="AH103" s="3">
        <f t="shared" si="29"/>
        <v>2</v>
      </c>
      <c r="AI103" s="4">
        <f t="shared" si="30"/>
        <v>1</v>
      </c>
      <c r="AJ103" s="4">
        <f t="shared" si="31"/>
        <v>2</v>
      </c>
      <c r="AK103" s="4">
        <f t="shared" si="32"/>
        <v>1</v>
      </c>
      <c r="AL103" s="4">
        <f t="shared" si="33"/>
        <v>2</v>
      </c>
      <c r="AM103" s="4">
        <f t="shared" si="34"/>
        <v>1</v>
      </c>
      <c r="AN103" s="4">
        <v>0</v>
      </c>
      <c r="AO103" s="4">
        <v>1</v>
      </c>
      <c r="AP103" s="4" t="s">
        <v>328</v>
      </c>
      <c r="AQ103" s="4" t="s">
        <v>97</v>
      </c>
      <c r="AR103" s="4">
        <v>1</v>
      </c>
      <c r="AS103" s="4" t="s">
        <v>238</v>
      </c>
      <c r="AT103" s="11">
        <f>(0.518+0.5)/2</f>
        <v>0.50900000000000001</v>
      </c>
      <c r="AU103" s="4">
        <f>85/2</f>
        <v>42.5</v>
      </c>
      <c r="AV103" s="11">
        <f>(0.471+0.579)/2</f>
        <v>0.52499999999999991</v>
      </c>
      <c r="AW103" s="4">
        <f>85/2</f>
        <v>42.5</v>
      </c>
      <c r="AX103" s="10">
        <f t="shared" si="40"/>
        <v>21.6325</v>
      </c>
      <c r="AY103" s="10">
        <f t="shared" si="37"/>
        <v>20.8675</v>
      </c>
      <c r="AZ103" s="10">
        <f t="shared" si="39"/>
        <v>22.312499999999996</v>
      </c>
      <c r="BA103" s="10">
        <f t="shared" si="38"/>
        <v>20.187500000000004</v>
      </c>
      <c r="BB103" s="4">
        <f t="shared" si="35"/>
        <v>85</v>
      </c>
    </row>
    <row r="104" spans="1:54" x14ac:dyDescent="0.25">
      <c r="A104" s="9" t="str">
        <f t="shared" si="36"/>
        <v>26I</v>
      </c>
      <c r="B104" s="4">
        <v>26</v>
      </c>
      <c r="C104" s="4">
        <v>1</v>
      </c>
      <c r="D104" s="4" t="s">
        <v>119</v>
      </c>
      <c r="E104" s="4">
        <v>0</v>
      </c>
      <c r="F104" s="4">
        <v>1</v>
      </c>
      <c r="G104" s="4">
        <v>0</v>
      </c>
      <c r="H104" s="2" t="s">
        <v>331</v>
      </c>
      <c r="I104" s="2" t="s">
        <v>330</v>
      </c>
      <c r="J104" s="2" t="s">
        <v>203</v>
      </c>
      <c r="K104" s="4">
        <v>1</v>
      </c>
      <c r="L104" s="2" t="s">
        <v>329</v>
      </c>
      <c r="M104" s="1"/>
      <c r="N104" s="4">
        <v>1</v>
      </c>
      <c r="O104" s="4">
        <v>2</v>
      </c>
      <c r="P104" s="20">
        <f t="shared" si="27"/>
        <v>0.33333333333333331</v>
      </c>
      <c r="Q104" s="4">
        <v>2017</v>
      </c>
      <c r="R104" s="4" t="s">
        <v>98</v>
      </c>
      <c r="S104" s="4">
        <v>2014</v>
      </c>
      <c r="T104" s="4" t="s">
        <v>51</v>
      </c>
      <c r="U104" s="4">
        <v>4.5999999999999999E-2</v>
      </c>
      <c r="V104" s="4">
        <v>0.93700000000000006</v>
      </c>
      <c r="W104" s="4">
        <v>0.90900000000000003</v>
      </c>
      <c r="X104" s="4">
        <v>60020.360457657203</v>
      </c>
      <c r="Y104" s="4">
        <v>0.115</v>
      </c>
      <c r="Z104" s="4">
        <v>1</v>
      </c>
      <c r="AA104" s="4">
        <v>0</v>
      </c>
      <c r="AB104" s="4" t="s">
        <v>207</v>
      </c>
      <c r="AC104" s="17" t="s">
        <v>323</v>
      </c>
      <c r="AD104" s="20">
        <v>0.78</v>
      </c>
      <c r="AE104" s="20">
        <v>0.21999999999999997</v>
      </c>
      <c r="AF104" s="10">
        <v>1</v>
      </c>
      <c r="AG104" s="4">
        <f t="shared" si="28"/>
        <v>1</v>
      </c>
      <c r="AH104" s="3">
        <f t="shared" si="29"/>
        <v>1</v>
      </c>
      <c r="AI104" s="4">
        <f t="shared" si="30"/>
        <v>1</v>
      </c>
      <c r="AJ104" s="4">
        <f t="shared" si="31"/>
        <v>1</v>
      </c>
      <c r="AK104" s="4">
        <f t="shared" si="32"/>
        <v>1</v>
      </c>
      <c r="AL104" s="4">
        <f t="shared" si="33"/>
        <v>1</v>
      </c>
      <c r="AM104" s="4">
        <f t="shared" si="34"/>
        <v>1</v>
      </c>
      <c r="AN104" s="4">
        <v>0</v>
      </c>
      <c r="AO104" s="4">
        <v>0</v>
      </c>
      <c r="AP104" s="4" t="s">
        <v>316</v>
      </c>
      <c r="AQ104" s="4" t="s">
        <v>97</v>
      </c>
      <c r="AR104" s="4">
        <v>1</v>
      </c>
      <c r="AS104" s="4" t="s">
        <v>323</v>
      </c>
      <c r="AT104" s="11">
        <f>(0.236+0.239)/2</f>
        <v>0.23749999999999999</v>
      </c>
      <c r="AU104" s="4">
        <f>233/2</f>
        <v>116.5</v>
      </c>
      <c r="AV104" s="11">
        <f>(0.423+0.4)/2</f>
        <v>0.41149999999999998</v>
      </c>
      <c r="AW104" s="4">
        <f>233/2</f>
        <v>116.5</v>
      </c>
      <c r="AX104" s="10">
        <f t="shared" si="40"/>
        <v>27.668749999999999</v>
      </c>
      <c r="AY104" s="10">
        <f t="shared" si="37"/>
        <v>88.831249999999997</v>
      </c>
      <c r="AZ104" s="10">
        <f t="shared" si="39"/>
        <v>47.939749999999997</v>
      </c>
      <c r="BA104" s="10">
        <f t="shared" si="38"/>
        <v>68.560249999999996</v>
      </c>
      <c r="BB104" s="4">
        <f t="shared" si="35"/>
        <v>233</v>
      </c>
    </row>
    <row r="105" spans="1:54" x14ac:dyDescent="0.25">
      <c r="A105" s="9" t="str">
        <f t="shared" si="36"/>
        <v>26J</v>
      </c>
      <c r="B105" s="4">
        <v>26</v>
      </c>
      <c r="C105" s="4">
        <v>1</v>
      </c>
      <c r="D105" s="4" t="s">
        <v>169</v>
      </c>
      <c r="E105" s="4">
        <v>0</v>
      </c>
      <c r="F105" s="4">
        <v>1</v>
      </c>
      <c r="G105" s="4">
        <v>0</v>
      </c>
      <c r="H105" s="2" t="s">
        <v>331</v>
      </c>
      <c r="I105" s="2" t="s">
        <v>330</v>
      </c>
      <c r="J105" s="2" t="s">
        <v>203</v>
      </c>
      <c r="K105" s="4">
        <v>1</v>
      </c>
      <c r="L105" s="2" t="s">
        <v>329</v>
      </c>
      <c r="M105" s="1"/>
      <c r="N105" s="4">
        <v>1</v>
      </c>
      <c r="O105" s="4">
        <v>2</v>
      </c>
      <c r="P105" s="20">
        <f t="shared" si="27"/>
        <v>0.33333333333333331</v>
      </c>
      <c r="Q105" s="4">
        <v>2017</v>
      </c>
      <c r="R105" s="4" t="s">
        <v>98</v>
      </c>
      <c r="S105" s="4">
        <v>2014</v>
      </c>
      <c r="T105" s="4" t="s">
        <v>51</v>
      </c>
      <c r="U105" s="4">
        <v>4.5999999999999999E-2</v>
      </c>
      <c r="V105" s="4">
        <v>0.93700000000000006</v>
      </c>
      <c r="W105" s="4">
        <v>0.90900000000000003</v>
      </c>
      <c r="X105" s="4">
        <v>60020.360457657203</v>
      </c>
      <c r="Y105" s="4">
        <v>0.115</v>
      </c>
      <c r="Z105" s="4">
        <v>1</v>
      </c>
      <c r="AA105" s="4">
        <v>0</v>
      </c>
      <c r="AB105" s="4" t="s">
        <v>207</v>
      </c>
      <c r="AC105" s="17" t="s">
        <v>240</v>
      </c>
      <c r="AD105" s="20">
        <v>0.23899999999999999</v>
      </c>
      <c r="AE105" s="20">
        <v>0.76100000000000001</v>
      </c>
      <c r="AF105" s="10">
        <v>0</v>
      </c>
      <c r="AG105" s="4">
        <f t="shared" si="28"/>
        <v>0</v>
      </c>
      <c r="AH105" s="3">
        <f t="shared" si="29"/>
        <v>0</v>
      </c>
      <c r="AI105" s="4">
        <f t="shared" si="30"/>
        <v>0</v>
      </c>
      <c r="AJ105" s="4">
        <f t="shared" si="31"/>
        <v>0</v>
      </c>
      <c r="AK105" s="4">
        <f t="shared" si="32"/>
        <v>0</v>
      </c>
      <c r="AL105" s="4">
        <f t="shared" si="33"/>
        <v>0</v>
      </c>
      <c r="AM105" s="4">
        <f t="shared" si="34"/>
        <v>0</v>
      </c>
      <c r="AN105" s="4">
        <v>0</v>
      </c>
      <c r="AO105" s="4">
        <v>0</v>
      </c>
      <c r="AP105" s="4" t="s">
        <v>316</v>
      </c>
      <c r="AQ105" s="4" t="s">
        <v>97</v>
      </c>
      <c r="AR105" s="4">
        <v>1</v>
      </c>
      <c r="AS105" s="4" t="s">
        <v>240</v>
      </c>
      <c r="AT105" s="11">
        <f>(0.103+0.132)/2</f>
        <v>0.11749999999999999</v>
      </c>
      <c r="AU105" s="4">
        <f>168/2</f>
        <v>84</v>
      </c>
      <c r="AV105" s="11">
        <f>(0.045+0.024)/2</f>
        <v>3.4500000000000003E-2</v>
      </c>
      <c r="AW105" s="4">
        <f>168/2</f>
        <v>84</v>
      </c>
      <c r="AX105" s="10">
        <f t="shared" si="40"/>
        <v>9.8699999999999992</v>
      </c>
      <c r="AY105" s="10">
        <f t="shared" si="37"/>
        <v>74.13</v>
      </c>
      <c r="AZ105" s="10">
        <f t="shared" si="39"/>
        <v>2.8980000000000001</v>
      </c>
      <c r="BA105" s="10">
        <f t="shared" si="38"/>
        <v>81.102000000000004</v>
      </c>
      <c r="BB105" s="4">
        <f t="shared" si="35"/>
        <v>168</v>
      </c>
    </row>
    <row r="106" spans="1:54" x14ac:dyDescent="0.25">
      <c r="A106" s="9" t="str">
        <f t="shared" si="36"/>
        <v>26K</v>
      </c>
      <c r="B106" s="4">
        <v>26</v>
      </c>
      <c r="C106" s="4">
        <v>1</v>
      </c>
      <c r="D106" s="4" t="s">
        <v>188</v>
      </c>
      <c r="E106" s="4">
        <v>0</v>
      </c>
      <c r="F106" s="4">
        <v>1</v>
      </c>
      <c r="G106" s="4">
        <v>0</v>
      </c>
      <c r="H106" s="2" t="s">
        <v>331</v>
      </c>
      <c r="I106" s="2" t="s">
        <v>330</v>
      </c>
      <c r="J106" s="2" t="s">
        <v>203</v>
      </c>
      <c r="K106" s="4">
        <v>1</v>
      </c>
      <c r="L106" s="2" t="s">
        <v>329</v>
      </c>
      <c r="M106" s="1"/>
      <c r="N106" s="4">
        <v>1</v>
      </c>
      <c r="O106" s="4">
        <v>2</v>
      </c>
      <c r="P106" s="20">
        <f t="shared" si="27"/>
        <v>0.33333333333333331</v>
      </c>
      <c r="Q106" s="4">
        <v>2017</v>
      </c>
      <c r="R106" s="4" t="s">
        <v>98</v>
      </c>
      <c r="S106" s="4">
        <v>2014</v>
      </c>
      <c r="T106" s="4" t="s">
        <v>51</v>
      </c>
      <c r="U106" s="4">
        <v>4.5999999999999999E-2</v>
      </c>
      <c r="V106" s="4">
        <v>0.93700000000000006</v>
      </c>
      <c r="W106" s="4">
        <v>0.90900000000000003</v>
      </c>
      <c r="X106" s="4">
        <v>60020.360457657203</v>
      </c>
      <c r="Y106" s="4">
        <v>0.115</v>
      </c>
      <c r="Z106" s="4">
        <v>1</v>
      </c>
      <c r="AA106" s="4">
        <v>0</v>
      </c>
      <c r="AB106" s="4" t="s">
        <v>207</v>
      </c>
      <c r="AC106" s="17" t="s">
        <v>324</v>
      </c>
      <c r="AD106" s="20">
        <v>0.188</v>
      </c>
      <c r="AE106" s="20">
        <v>0.81200000000000006</v>
      </c>
      <c r="AF106" s="10">
        <v>0</v>
      </c>
      <c r="AG106" s="4">
        <f t="shared" si="28"/>
        <v>0</v>
      </c>
      <c r="AH106" s="3">
        <f t="shared" si="29"/>
        <v>0</v>
      </c>
      <c r="AI106" s="4">
        <f t="shared" si="30"/>
        <v>0</v>
      </c>
      <c r="AJ106" s="4">
        <f t="shared" si="31"/>
        <v>0</v>
      </c>
      <c r="AK106" s="4">
        <f t="shared" si="32"/>
        <v>0</v>
      </c>
      <c r="AL106" s="4">
        <f t="shared" si="33"/>
        <v>0</v>
      </c>
      <c r="AM106" s="4">
        <f t="shared" si="34"/>
        <v>0</v>
      </c>
      <c r="AN106" s="4">
        <v>0</v>
      </c>
      <c r="AO106" s="4">
        <v>0</v>
      </c>
      <c r="AP106" s="4" t="s">
        <v>316</v>
      </c>
      <c r="AQ106" s="4" t="s">
        <v>97</v>
      </c>
      <c r="AR106" s="4">
        <v>1</v>
      </c>
      <c r="AS106" s="4" t="s">
        <v>324</v>
      </c>
      <c r="AT106" s="11">
        <f>(0.171+0.192)/2</f>
        <v>0.18149999999999999</v>
      </c>
      <c r="AU106" s="4">
        <f>121/2</f>
        <v>60.5</v>
      </c>
      <c r="AV106" s="11">
        <f>(0.172+0.32)/2</f>
        <v>0.246</v>
      </c>
      <c r="AW106" s="4">
        <f>121/2</f>
        <v>60.5</v>
      </c>
      <c r="AX106" s="10">
        <f t="shared" si="40"/>
        <v>10.98075</v>
      </c>
      <c r="AY106" s="10">
        <f t="shared" si="37"/>
        <v>49.51925</v>
      </c>
      <c r="AZ106" s="10">
        <f t="shared" si="39"/>
        <v>14.882999999999999</v>
      </c>
      <c r="BA106" s="10">
        <f t="shared" si="38"/>
        <v>45.617000000000004</v>
      </c>
      <c r="BB106" s="4">
        <f t="shared" si="35"/>
        <v>121</v>
      </c>
    </row>
    <row r="107" spans="1:54" x14ac:dyDescent="0.25">
      <c r="A107" s="9" t="str">
        <f t="shared" si="36"/>
        <v>26L</v>
      </c>
      <c r="B107" s="4">
        <v>26</v>
      </c>
      <c r="C107" s="4">
        <v>1</v>
      </c>
      <c r="D107" s="4" t="s">
        <v>189</v>
      </c>
      <c r="E107" s="4">
        <v>0</v>
      </c>
      <c r="F107" s="4">
        <v>1</v>
      </c>
      <c r="G107" s="4">
        <v>0</v>
      </c>
      <c r="H107" s="2" t="s">
        <v>331</v>
      </c>
      <c r="I107" s="2" t="s">
        <v>330</v>
      </c>
      <c r="J107" s="2" t="s">
        <v>203</v>
      </c>
      <c r="K107" s="4">
        <v>1</v>
      </c>
      <c r="L107" s="2" t="s">
        <v>329</v>
      </c>
      <c r="M107" s="1"/>
      <c r="N107" s="4">
        <v>1</v>
      </c>
      <c r="O107" s="4">
        <v>2</v>
      </c>
      <c r="P107" s="20">
        <f t="shared" si="27"/>
        <v>0.33333333333333331</v>
      </c>
      <c r="Q107" s="4">
        <v>2017</v>
      </c>
      <c r="R107" s="4" t="s">
        <v>98</v>
      </c>
      <c r="S107" s="4">
        <v>2014</v>
      </c>
      <c r="T107" s="4" t="s">
        <v>51</v>
      </c>
      <c r="U107" s="4">
        <v>4.5999999999999999E-2</v>
      </c>
      <c r="V107" s="4">
        <v>0.93700000000000006</v>
      </c>
      <c r="W107" s="4">
        <v>0.90900000000000003</v>
      </c>
      <c r="X107" s="4">
        <v>60020.360457657203</v>
      </c>
      <c r="Y107" s="4">
        <v>0.115</v>
      </c>
      <c r="Z107" s="4">
        <v>1</v>
      </c>
      <c r="AA107" s="4">
        <v>0</v>
      </c>
      <c r="AB107" s="4" t="s">
        <v>207</v>
      </c>
      <c r="AC107" s="35" t="s">
        <v>325</v>
      </c>
      <c r="AD107" s="20">
        <v>0.40400000000000003</v>
      </c>
      <c r="AE107" s="20">
        <v>0.59599999999999997</v>
      </c>
      <c r="AF107" s="10">
        <v>1.5</v>
      </c>
      <c r="AG107" s="4">
        <f t="shared" si="28"/>
        <v>1</v>
      </c>
      <c r="AH107" s="3">
        <f t="shared" si="29"/>
        <v>2</v>
      </c>
      <c r="AI107" s="4">
        <f t="shared" si="30"/>
        <v>1</v>
      </c>
      <c r="AJ107" s="4">
        <f t="shared" si="31"/>
        <v>2</v>
      </c>
      <c r="AK107" s="4">
        <f t="shared" si="32"/>
        <v>1</v>
      </c>
      <c r="AL107" s="4">
        <f t="shared" si="33"/>
        <v>2</v>
      </c>
      <c r="AM107" s="4">
        <f t="shared" si="34"/>
        <v>1</v>
      </c>
      <c r="AN107" s="4">
        <v>0</v>
      </c>
      <c r="AO107" s="4">
        <v>0</v>
      </c>
      <c r="AP107" s="4" t="s">
        <v>328</v>
      </c>
      <c r="AQ107" s="4" t="s">
        <v>97</v>
      </c>
      <c r="AR107" s="4">
        <v>1</v>
      </c>
      <c r="AS107" s="4" t="s">
        <v>325</v>
      </c>
      <c r="AT107" s="11">
        <f>(0.38+0.431)/2</f>
        <v>0.40549999999999997</v>
      </c>
      <c r="AU107" s="4">
        <f>200/2</f>
        <v>100</v>
      </c>
      <c r="AV107" s="11">
        <f>(0.352+0.4)/2</f>
        <v>0.376</v>
      </c>
      <c r="AW107" s="4">
        <f>200/2</f>
        <v>100</v>
      </c>
      <c r="AX107" s="10">
        <f t="shared" si="40"/>
        <v>40.549999999999997</v>
      </c>
      <c r="AY107" s="10">
        <f t="shared" si="37"/>
        <v>59.45</v>
      </c>
      <c r="AZ107" s="10">
        <f t="shared" si="39"/>
        <v>37.6</v>
      </c>
      <c r="BA107" s="10">
        <f t="shared" si="38"/>
        <v>62.4</v>
      </c>
      <c r="BB107" s="4">
        <f t="shared" si="35"/>
        <v>200</v>
      </c>
    </row>
    <row r="108" spans="1:54" x14ac:dyDescent="0.25">
      <c r="A108" s="9" t="str">
        <f t="shared" si="36"/>
        <v>26M</v>
      </c>
      <c r="B108" s="4">
        <v>26</v>
      </c>
      <c r="C108" s="4">
        <v>1</v>
      </c>
      <c r="D108" s="4" t="s">
        <v>190</v>
      </c>
      <c r="E108" s="4">
        <v>0</v>
      </c>
      <c r="F108" s="4">
        <v>1</v>
      </c>
      <c r="G108" s="4">
        <v>0</v>
      </c>
      <c r="H108" s="2" t="s">
        <v>331</v>
      </c>
      <c r="I108" s="2" t="s">
        <v>330</v>
      </c>
      <c r="J108" s="2" t="s">
        <v>203</v>
      </c>
      <c r="K108" s="4">
        <v>1</v>
      </c>
      <c r="L108" s="2" t="s">
        <v>329</v>
      </c>
      <c r="M108" s="1"/>
      <c r="N108" s="4">
        <v>1</v>
      </c>
      <c r="O108" s="4">
        <v>2</v>
      </c>
      <c r="P108" s="20">
        <f t="shared" si="27"/>
        <v>0.33333333333333331</v>
      </c>
      <c r="Q108" s="4">
        <v>2017</v>
      </c>
      <c r="R108" s="4" t="s">
        <v>98</v>
      </c>
      <c r="S108" s="4">
        <v>2014</v>
      </c>
      <c r="T108" s="4" t="s">
        <v>51</v>
      </c>
      <c r="U108" s="4">
        <v>4.5999999999999999E-2</v>
      </c>
      <c r="V108" s="4">
        <v>0.93700000000000006</v>
      </c>
      <c r="W108" s="4">
        <v>0.90900000000000003</v>
      </c>
      <c r="X108" s="4">
        <v>60020.360457657203</v>
      </c>
      <c r="Y108" s="4">
        <v>0.115</v>
      </c>
      <c r="Z108" s="4">
        <v>1</v>
      </c>
      <c r="AA108" s="4">
        <v>0</v>
      </c>
      <c r="AB108" s="4" t="s">
        <v>207</v>
      </c>
      <c r="AC108" s="17" t="s">
        <v>326</v>
      </c>
      <c r="AD108" s="20">
        <v>0.71299999999999997</v>
      </c>
      <c r="AE108" s="20">
        <v>0.28700000000000003</v>
      </c>
      <c r="AF108" s="10">
        <v>2</v>
      </c>
      <c r="AG108" s="4">
        <f t="shared" si="28"/>
        <v>1</v>
      </c>
      <c r="AH108" s="3">
        <f t="shared" si="29"/>
        <v>1</v>
      </c>
      <c r="AI108" s="4">
        <f t="shared" si="30"/>
        <v>1</v>
      </c>
      <c r="AJ108" s="4">
        <f t="shared" si="31"/>
        <v>1</v>
      </c>
      <c r="AK108" s="4">
        <f t="shared" si="32"/>
        <v>1</v>
      </c>
      <c r="AL108" s="4">
        <f t="shared" si="33"/>
        <v>1</v>
      </c>
      <c r="AM108" s="4">
        <f t="shared" si="34"/>
        <v>1</v>
      </c>
      <c r="AN108" s="4">
        <v>0</v>
      </c>
      <c r="AO108" s="4">
        <v>0</v>
      </c>
      <c r="AP108" s="4" t="s">
        <v>316</v>
      </c>
      <c r="AQ108" s="4" t="s">
        <v>97</v>
      </c>
      <c r="AR108" s="4">
        <v>1</v>
      </c>
      <c r="AS108" s="4" t="s">
        <v>326</v>
      </c>
      <c r="AT108" s="11">
        <f>(0.326+0.4)/2</f>
        <v>0.36299999999999999</v>
      </c>
      <c r="AU108" s="4">
        <f>171/2</f>
        <v>85.5</v>
      </c>
      <c r="AV108" s="11">
        <f>(0.472+0.388)/2</f>
        <v>0.43</v>
      </c>
      <c r="AW108" s="4">
        <f>171/2</f>
        <v>85.5</v>
      </c>
      <c r="AX108" s="10">
        <f t="shared" si="40"/>
        <v>31.0365</v>
      </c>
      <c r="AY108" s="10">
        <f t="shared" si="37"/>
        <v>54.463499999999996</v>
      </c>
      <c r="AZ108" s="10">
        <f t="shared" si="39"/>
        <v>36.765000000000001</v>
      </c>
      <c r="BA108" s="10">
        <f t="shared" si="38"/>
        <v>48.734999999999999</v>
      </c>
      <c r="BB108" s="4">
        <f t="shared" si="35"/>
        <v>171</v>
      </c>
    </row>
    <row r="109" spans="1:54" x14ac:dyDescent="0.25">
      <c r="A109" s="9" t="str">
        <f t="shared" si="36"/>
        <v>26N</v>
      </c>
      <c r="B109" s="4">
        <v>26</v>
      </c>
      <c r="C109" s="4">
        <v>1</v>
      </c>
      <c r="D109" s="4" t="s">
        <v>308</v>
      </c>
      <c r="E109" s="4">
        <v>0</v>
      </c>
      <c r="F109" s="4">
        <v>1</v>
      </c>
      <c r="G109" s="4">
        <v>0</v>
      </c>
      <c r="H109" s="2" t="s">
        <v>331</v>
      </c>
      <c r="I109" s="2" t="s">
        <v>330</v>
      </c>
      <c r="J109" s="2" t="s">
        <v>203</v>
      </c>
      <c r="K109" s="4">
        <v>1</v>
      </c>
      <c r="L109" s="2" t="s">
        <v>329</v>
      </c>
      <c r="M109" s="1"/>
      <c r="N109" s="4">
        <v>1</v>
      </c>
      <c r="O109" s="4">
        <v>2</v>
      </c>
      <c r="P109" s="20">
        <f t="shared" si="27"/>
        <v>0.33333333333333331</v>
      </c>
      <c r="Q109" s="4">
        <v>2017</v>
      </c>
      <c r="R109" s="4" t="s">
        <v>98</v>
      </c>
      <c r="S109" s="4">
        <v>2014</v>
      </c>
      <c r="T109" s="4" t="s">
        <v>51</v>
      </c>
      <c r="U109" s="4">
        <v>4.5999999999999999E-2</v>
      </c>
      <c r="V109" s="4">
        <v>0.93700000000000006</v>
      </c>
      <c r="W109" s="4">
        <v>0.90900000000000003</v>
      </c>
      <c r="X109" s="4">
        <v>60020.360457657203</v>
      </c>
      <c r="Y109" s="4">
        <v>0.115</v>
      </c>
      <c r="Z109" s="4">
        <v>1</v>
      </c>
      <c r="AA109" s="4">
        <v>0</v>
      </c>
      <c r="AB109" s="4" t="s">
        <v>207</v>
      </c>
      <c r="AC109" s="17" t="s">
        <v>243</v>
      </c>
      <c r="AD109" s="20">
        <v>0.113</v>
      </c>
      <c r="AE109" s="20">
        <v>0.88700000000000001</v>
      </c>
      <c r="AF109" s="10">
        <v>0</v>
      </c>
      <c r="AG109" s="4">
        <f t="shared" si="28"/>
        <v>0</v>
      </c>
      <c r="AH109" s="3">
        <f t="shared" si="29"/>
        <v>0</v>
      </c>
      <c r="AI109" s="4">
        <f t="shared" si="30"/>
        <v>0</v>
      </c>
      <c r="AJ109" s="4">
        <f t="shared" si="31"/>
        <v>0</v>
      </c>
      <c r="AK109" s="4">
        <f t="shared" si="32"/>
        <v>0</v>
      </c>
      <c r="AL109" s="4">
        <f t="shared" si="33"/>
        <v>0</v>
      </c>
      <c r="AM109" s="4">
        <f t="shared" si="34"/>
        <v>0</v>
      </c>
      <c r="AN109" s="4">
        <v>0</v>
      </c>
      <c r="AO109" s="4">
        <v>1</v>
      </c>
      <c r="AP109" s="4" t="s">
        <v>328</v>
      </c>
      <c r="AQ109" s="4" t="s">
        <v>97</v>
      </c>
      <c r="AR109" s="4">
        <v>1</v>
      </c>
      <c r="AS109" s="4" t="s">
        <v>243</v>
      </c>
      <c r="AT109" s="11">
        <f>(0.522+0.476)/2</f>
        <v>0.499</v>
      </c>
      <c r="AU109" s="4">
        <f>94/2</f>
        <v>47</v>
      </c>
      <c r="AV109" s="11">
        <f>(0.828+0.619)/2</f>
        <v>0.72350000000000003</v>
      </c>
      <c r="AW109" s="4">
        <f>94/2</f>
        <v>47</v>
      </c>
      <c r="AX109" s="10">
        <f t="shared" si="40"/>
        <v>23.452999999999999</v>
      </c>
      <c r="AY109" s="10">
        <f t="shared" si="37"/>
        <v>23.547000000000001</v>
      </c>
      <c r="AZ109" s="10">
        <f t="shared" si="39"/>
        <v>34.0045</v>
      </c>
      <c r="BA109" s="10">
        <f t="shared" si="38"/>
        <v>12.9955</v>
      </c>
      <c r="BB109" s="4">
        <f t="shared" si="35"/>
        <v>94</v>
      </c>
    </row>
    <row r="110" spans="1:54" x14ac:dyDescent="0.25">
      <c r="A110" s="9" t="str">
        <f t="shared" si="36"/>
        <v>26O</v>
      </c>
      <c r="B110" s="4">
        <v>26</v>
      </c>
      <c r="C110" s="4">
        <v>1</v>
      </c>
      <c r="D110" s="4" t="s">
        <v>332</v>
      </c>
      <c r="E110" s="4">
        <v>0</v>
      </c>
      <c r="F110" s="4">
        <v>1</v>
      </c>
      <c r="G110" s="4">
        <v>0</v>
      </c>
      <c r="H110" s="2" t="s">
        <v>331</v>
      </c>
      <c r="I110" s="2" t="s">
        <v>330</v>
      </c>
      <c r="J110" s="2" t="s">
        <v>203</v>
      </c>
      <c r="K110" s="4">
        <v>1</v>
      </c>
      <c r="L110" s="2" t="s">
        <v>329</v>
      </c>
      <c r="M110" s="1"/>
      <c r="N110" s="4">
        <v>1</v>
      </c>
      <c r="O110" s="4">
        <v>2</v>
      </c>
      <c r="P110" s="20">
        <f t="shared" si="27"/>
        <v>0.33333333333333331</v>
      </c>
      <c r="Q110" s="4">
        <v>2017</v>
      </c>
      <c r="R110" s="4" t="s">
        <v>98</v>
      </c>
      <c r="S110" s="4">
        <v>2014</v>
      </c>
      <c r="T110" s="4" t="s">
        <v>51</v>
      </c>
      <c r="U110" s="4">
        <v>4.5999999999999999E-2</v>
      </c>
      <c r="V110" s="4">
        <v>0.93700000000000006</v>
      </c>
      <c r="W110" s="4">
        <v>0.90900000000000003</v>
      </c>
      <c r="X110" s="4">
        <v>60020.360457657203</v>
      </c>
      <c r="Y110" s="4">
        <v>0.115</v>
      </c>
      <c r="Z110" s="4">
        <v>1</v>
      </c>
      <c r="AA110" s="4">
        <v>0</v>
      </c>
      <c r="AB110" s="4" t="s">
        <v>207</v>
      </c>
      <c r="AC110" s="17" t="s">
        <v>327</v>
      </c>
      <c r="AD110" s="20">
        <v>7.9000000000000001E-2</v>
      </c>
      <c r="AE110" s="20">
        <v>0.92100000000000004</v>
      </c>
      <c r="AF110" s="10">
        <v>0</v>
      </c>
      <c r="AG110" s="4">
        <f t="shared" si="28"/>
        <v>0</v>
      </c>
      <c r="AH110" s="3">
        <f t="shared" si="29"/>
        <v>0</v>
      </c>
      <c r="AI110" s="4">
        <f t="shared" si="30"/>
        <v>0</v>
      </c>
      <c r="AJ110" s="4">
        <f t="shared" si="31"/>
        <v>0</v>
      </c>
      <c r="AK110" s="4">
        <f t="shared" si="32"/>
        <v>0</v>
      </c>
      <c r="AL110" s="4">
        <f t="shared" si="33"/>
        <v>0</v>
      </c>
      <c r="AM110" s="4">
        <f t="shared" si="34"/>
        <v>0</v>
      </c>
      <c r="AN110" s="4">
        <v>0</v>
      </c>
      <c r="AO110" s="4">
        <v>1</v>
      </c>
      <c r="AP110" s="4" t="s">
        <v>316</v>
      </c>
      <c r="AQ110" s="4" t="s">
        <v>97</v>
      </c>
      <c r="AR110" s="4">
        <v>1</v>
      </c>
      <c r="AS110" s="4" t="s">
        <v>327</v>
      </c>
      <c r="AT110" s="11">
        <f>(0.216+0.6)/2</f>
        <v>0.40799999999999997</v>
      </c>
      <c r="AU110" s="4">
        <f>111/2</f>
        <v>55.5</v>
      </c>
      <c r="AV110" s="11">
        <f>(0.111+0.312)/2</f>
        <v>0.21149999999999999</v>
      </c>
      <c r="AW110" s="4">
        <f>111/2</f>
        <v>55.5</v>
      </c>
      <c r="AX110" s="10">
        <f t="shared" si="40"/>
        <v>22.643999999999998</v>
      </c>
      <c r="AY110" s="10">
        <f t="shared" si="37"/>
        <v>32.856000000000002</v>
      </c>
      <c r="AZ110" s="10">
        <f t="shared" si="39"/>
        <v>11.738249999999999</v>
      </c>
      <c r="BA110" s="10">
        <f t="shared" si="38"/>
        <v>43.761749999999999</v>
      </c>
      <c r="BB110" s="4">
        <f t="shared" si="35"/>
        <v>111</v>
      </c>
    </row>
    <row r="111" spans="1:54" x14ac:dyDescent="0.25">
      <c r="A111" s="9" t="str">
        <f t="shared" si="36"/>
        <v>27A</v>
      </c>
      <c r="B111" s="3">
        <v>27</v>
      </c>
      <c r="C111" s="3">
        <v>1</v>
      </c>
      <c r="D111" s="3" t="s">
        <v>65</v>
      </c>
      <c r="E111" s="3">
        <v>1</v>
      </c>
      <c r="F111" s="3">
        <v>1</v>
      </c>
      <c r="G111" s="3">
        <v>0</v>
      </c>
      <c r="H111" s="1" t="s">
        <v>336</v>
      </c>
      <c r="I111" s="1" t="s">
        <v>335</v>
      </c>
      <c r="J111" s="1" t="s">
        <v>229</v>
      </c>
      <c r="K111" s="3">
        <v>1</v>
      </c>
      <c r="L111" s="1" t="s">
        <v>334</v>
      </c>
      <c r="M111" s="1" t="s">
        <v>550</v>
      </c>
      <c r="N111" s="3">
        <v>0</v>
      </c>
      <c r="O111" s="3">
        <v>2</v>
      </c>
      <c r="P111" s="19">
        <f t="shared" si="27"/>
        <v>0</v>
      </c>
      <c r="Q111" s="3">
        <v>2001</v>
      </c>
      <c r="R111" s="3">
        <v>1999</v>
      </c>
      <c r="S111" s="3">
        <v>1999</v>
      </c>
      <c r="T111" s="3" t="s">
        <v>157</v>
      </c>
      <c r="U111" s="3">
        <v>0.16</v>
      </c>
      <c r="V111" s="3">
        <v>0.89600000000000002</v>
      </c>
      <c r="W111" s="3">
        <v>0.89500000000000002</v>
      </c>
      <c r="X111" s="3">
        <v>20698.7127</v>
      </c>
      <c r="Y111" s="3">
        <v>3.5000000000000003E-2</v>
      </c>
      <c r="Z111" s="3">
        <v>0</v>
      </c>
      <c r="AA111" s="3">
        <v>0</v>
      </c>
      <c r="AB111" s="3" t="s">
        <v>207</v>
      </c>
      <c r="AC111" s="7" t="s">
        <v>333</v>
      </c>
      <c r="AD111" s="19">
        <v>0.23658042149384981</v>
      </c>
      <c r="AE111" s="19">
        <v>0.76341957852369025</v>
      </c>
      <c r="AF111" s="10">
        <v>0</v>
      </c>
      <c r="AG111" s="4">
        <f t="shared" si="28"/>
        <v>0</v>
      </c>
      <c r="AH111" s="3">
        <f t="shared" si="29"/>
        <v>0</v>
      </c>
      <c r="AI111" s="4">
        <f t="shared" si="30"/>
        <v>0</v>
      </c>
      <c r="AJ111" s="4">
        <f t="shared" si="31"/>
        <v>0</v>
      </c>
      <c r="AK111" s="4">
        <f t="shared" si="32"/>
        <v>0</v>
      </c>
      <c r="AL111" s="4">
        <f t="shared" si="33"/>
        <v>0</v>
      </c>
      <c r="AM111" s="4">
        <f t="shared" si="34"/>
        <v>0</v>
      </c>
      <c r="AN111" s="4">
        <v>0</v>
      </c>
      <c r="AO111" s="4">
        <v>0</v>
      </c>
      <c r="AP111" s="3" t="s">
        <v>316</v>
      </c>
      <c r="AQ111" s="3" t="s">
        <v>97</v>
      </c>
      <c r="AR111" s="3">
        <v>1</v>
      </c>
      <c r="AS111" s="3" t="s">
        <v>62</v>
      </c>
      <c r="AT111" s="16">
        <v>0.24</v>
      </c>
      <c r="AU111" s="3">
        <f>(152*2+300)/2</f>
        <v>302</v>
      </c>
      <c r="AV111" s="16">
        <v>0.23</v>
      </c>
      <c r="AW111" s="3">
        <f>(152*2+300)/2</f>
        <v>302</v>
      </c>
      <c r="AX111" s="8">
        <f>AT111*AU111</f>
        <v>72.48</v>
      </c>
      <c r="AY111" s="8">
        <f t="shared" si="37"/>
        <v>229.51999999999998</v>
      </c>
      <c r="AZ111" s="8">
        <f>AV111*AW111</f>
        <v>69.460000000000008</v>
      </c>
      <c r="BA111" s="8">
        <f t="shared" si="38"/>
        <v>232.54</v>
      </c>
      <c r="BB111" s="3">
        <f t="shared" si="35"/>
        <v>604</v>
      </c>
    </row>
    <row r="112" spans="1:54" x14ac:dyDescent="0.25">
      <c r="A112" s="9" t="str">
        <f t="shared" si="36"/>
        <v>28A</v>
      </c>
      <c r="B112" s="3">
        <v>28</v>
      </c>
      <c r="C112" s="3">
        <v>1</v>
      </c>
      <c r="D112" s="3" t="s">
        <v>65</v>
      </c>
      <c r="E112" s="3">
        <v>1</v>
      </c>
      <c r="F112" s="3">
        <v>1</v>
      </c>
      <c r="G112" s="3">
        <v>0</v>
      </c>
      <c r="H112" s="1" t="s">
        <v>346</v>
      </c>
      <c r="I112" s="1" t="s">
        <v>27</v>
      </c>
      <c r="J112" s="1" t="s">
        <v>203</v>
      </c>
      <c r="K112" s="3">
        <v>1</v>
      </c>
      <c r="L112" s="1" t="s">
        <v>345</v>
      </c>
      <c r="M112" s="1" t="s">
        <v>552</v>
      </c>
      <c r="N112" s="3">
        <v>1</v>
      </c>
      <c r="O112" s="3">
        <v>2</v>
      </c>
      <c r="P112" s="19">
        <f t="shared" si="27"/>
        <v>0.33333333333333331</v>
      </c>
      <c r="Q112" s="3">
        <v>2019</v>
      </c>
      <c r="R112" s="3">
        <v>2016</v>
      </c>
      <c r="S112" s="3">
        <v>2016</v>
      </c>
      <c r="T112" s="3" t="s">
        <v>125</v>
      </c>
      <c r="U112" s="3">
        <v>0.16900000000000001</v>
      </c>
      <c r="V112" s="3">
        <v>0.73299999999999998</v>
      </c>
      <c r="W112" s="3">
        <v>0.75700000000000001</v>
      </c>
      <c r="X112" s="3">
        <v>8094.3633667465183</v>
      </c>
      <c r="Y112" s="3">
        <v>0.15</v>
      </c>
      <c r="Z112" s="3">
        <v>1</v>
      </c>
      <c r="AA112" s="3">
        <v>0</v>
      </c>
      <c r="AB112" s="3" t="s">
        <v>207</v>
      </c>
      <c r="AC112" s="7" t="s">
        <v>344</v>
      </c>
      <c r="AD112" s="19">
        <v>0.45600000000000002</v>
      </c>
      <c r="AE112" s="19">
        <v>0.54400000000000004</v>
      </c>
      <c r="AF112" s="10">
        <v>2</v>
      </c>
      <c r="AG112" s="4">
        <f t="shared" si="28"/>
        <v>1</v>
      </c>
      <c r="AH112" s="3">
        <f t="shared" si="29"/>
        <v>2</v>
      </c>
      <c r="AI112" s="4">
        <f t="shared" si="30"/>
        <v>1</v>
      </c>
      <c r="AJ112" s="4">
        <f t="shared" si="31"/>
        <v>2</v>
      </c>
      <c r="AK112" s="4">
        <f t="shared" si="32"/>
        <v>1</v>
      </c>
      <c r="AL112" s="4">
        <f t="shared" si="33"/>
        <v>2</v>
      </c>
      <c r="AM112" s="4">
        <f t="shared" si="34"/>
        <v>1</v>
      </c>
      <c r="AN112" s="4">
        <v>0</v>
      </c>
      <c r="AO112" s="4">
        <v>0</v>
      </c>
      <c r="AP112" s="3" t="s">
        <v>100</v>
      </c>
      <c r="AQ112" s="3" t="s">
        <v>97</v>
      </c>
      <c r="AR112" s="3">
        <v>1</v>
      </c>
      <c r="AS112" s="3" t="s">
        <v>62</v>
      </c>
      <c r="AT112" s="16">
        <f>(0.408+0.35)/2</f>
        <v>0.379</v>
      </c>
      <c r="AU112" s="3">
        <v>4982</v>
      </c>
      <c r="AV112" s="16">
        <f>(0.369+0.315)/2</f>
        <v>0.34199999999999997</v>
      </c>
      <c r="AW112" s="3">
        <v>4910</v>
      </c>
      <c r="AX112" s="8">
        <f>AT112*AU112</f>
        <v>1888.1780000000001</v>
      </c>
      <c r="AY112" s="8">
        <f t="shared" si="37"/>
        <v>3093.8220000000001</v>
      </c>
      <c r="AZ112" s="8">
        <f>AV112*AW112</f>
        <v>1679.2199999999998</v>
      </c>
      <c r="BA112" s="8">
        <f t="shared" si="38"/>
        <v>3230.78</v>
      </c>
      <c r="BB112" s="8">
        <f t="shared" si="35"/>
        <v>9892</v>
      </c>
    </row>
    <row r="113" spans="1:54" x14ac:dyDescent="0.25">
      <c r="A113" s="9" t="str">
        <f t="shared" si="36"/>
        <v>29A</v>
      </c>
      <c r="B113" s="3">
        <v>29</v>
      </c>
      <c r="C113" s="3">
        <v>2</v>
      </c>
      <c r="D113" s="3" t="s">
        <v>65</v>
      </c>
      <c r="E113" s="3">
        <v>1</v>
      </c>
      <c r="F113" s="3">
        <v>0</v>
      </c>
      <c r="G113" s="3">
        <v>0</v>
      </c>
      <c r="H113" s="1" t="s">
        <v>114</v>
      </c>
      <c r="I113" s="1" t="s">
        <v>16</v>
      </c>
      <c r="J113" s="1" t="s">
        <v>222</v>
      </c>
      <c r="K113" s="3">
        <v>1</v>
      </c>
      <c r="L113" s="1" t="s">
        <v>115</v>
      </c>
      <c r="M113" s="1" t="s">
        <v>553</v>
      </c>
      <c r="N113" s="3">
        <v>3</v>
      </c>
      <c r="O113" s="3">
        <v>0</v>
      </c>
      <c r="P113" s="19">
        <f t="shared" si="27"/>
        <v>1</v>
      </c>
      <c r="Q113" s="3">
        <v>2016</v>
      </c>
      <c r="R113" s="3">
        <v>2011</v>
      </c>
      <c r="S113" s="3">
        <v>2011</v>
      </c>
      <c r="T113" s="3" t="s">
        <v>636</v>
      </c>
      <c r="U113" s="3">
        <v>7.2999999999999995E-2</v>
      </c>
      <c r="V113" s="3">
        <v>0.91100000000000003</v>
      </c>
      <c r="W113" s="3">
        <v>0.90100000000000002</v>
      </c>
      <c r="X113" s="3">
        <v>51148.931636583256</v>
      </c>
      <c r="Y113" s="3">
        <v>7.1999999999999995E-2</v>
      </c>
      <c r="Z113" s="3">
        <v>0</v>
      </c>
      <c r="AA113" s="3">
        <v>1</v>
      </c>
      <c r="AB113" s="3" t="s">
        <v>649</v>
      </c>
      <c r="AC113" s="7" t="s">
        <v>61</v>
      </c>
      <c r="AD113" s="3"/>
      <c r="AE113" s="3"/>
      <c r="AF113" s="10">
        <v>2</v>
      </c>
      <c r="AG113" s="4">
        <f t="shared" si="28"/>
        <v>1</v>
      </c>
      <c r="AH113" s="3">
        <f t="shared" si="29"/>
        <v>2</v>
      </c>
      <c r="AI113" s="4">
        <f t="shared" si="30"/>
        <v>1</v>
      </c>
      <c r="AJ113" s="4">
        <f t="shared" si="31"/>
        <v>2</v>
      </c>
      <c r="AK113" s="4">
        <f t="shared" si="32"/>
        <v>1</v>
      </c>
      <c r="AL113" s="4">
        <f t="shared" si="33"/>
        <v>2</v>
      </c>
      <c r="AM113" s="4">
        <f t="shared" si="34"/>
        <v>1</v>
      </c>
      <c r="AN113" s="4">
        <v>0</v>
      </c>
      <c r="AO113" s="4">
        <v>0</v>
      </c>
      <c r="AP113" s="3" t="s">
        <v>61</v>
      </c>
      <c r="AQ113" s="3" t="s">
        <v>63</v>
      </c>
      <c r="AR113" s="3">
        <v>1</v>
      </c>
      <c r="AS113" s="3" t="s">
        <v>62</v>
      </c>
      <c r="AT113" s="16">
        <f>AX113/AU113</f>
        <v>0.22728994082840237</v>
      </c>
      <c r="AU113" s="3">
        <f>SUM(AU114:AU115)</f>
        <v>845</v>
      </c>
      <c r="AV113" s="16">
        <f>AZ113/AW113</f>
        <v>0.15482840236686393</v>
      </c>
      <c r="AW113" s="3">
        <f>SUM(AW114:AW115)</f>
        <v>845</v>
      </c>
      <c r="AX113" s="8">
        <f>SUM(AX114:AX115)</f>
        <v>192.06</v>
      </c>
      <c r="AY113" s="8">
        <f>SUM(AY114:AY115)</f>
        <v>652.94000000000005</v>
      </c>
      <c r="AZ113" s="8">
        <f>SUM(AZ114:AZ115)</f>
        <v>130.83000000000001</v>
      </c>
      <c r="BA113" s="8">
        <f>SUM(BA114:BA115)</f>
        <v>714.17000000000007</v>
      </c>
      <c r="BB113" s="8">
        <f t="shared" si="35"/>
        <v>1690</v>
      </c>
    </row>
    <row r="114" spans="1:54" x14ac:dyDescent="0.25">
      <c r="A114" s="9" t="str">
        <f t="shared" si="36"/>
        <v>29B</v>
      </c>
      <c r="B114" s="4">
        <v>29</v>
      </c>
      <c r="C114" s="4">
        <v>2</v>
      </c>
      <c r="D114" s="4" t="s">
        <v>66</v>
      </c>
      <c r="E114" s="4">
        <v>0</v>
      </c>
      <c r="F114" s="4">
        <v>1</v>
      </c>
      <c r="G114" s="4">
        <v>0</v>
      </c>
      <c r="H114" s="2" t="s">
        <v>114</v>
      </c>
      <c r="I114" s="2" t="s">
        <v>16</v>
      </c>
      <c r="J114" s="2" t="s">
        <v>222</v>
      </c>
      <c r="K114" s="4">
        <v>1</v>
      </c>
      <c r="L114" s="2" t="s">
        <v>115</v>
      </c>
      <c r="M114" s="1"/>
      <c r="N114" s="4">
        <v>3</v>
      </c>
      <c r="O114" s="4">
        <v>0</v>
      </c>
      <c r="P114" s="20">
        <f t="shared" si="27"/>
        <v>1</v>
      </c>
      <c r="Q114" s="4">
        <v>2016</v>
      </c>
      <c r="R114" s="4">
        <v>2011</v>
      </c>
      <c r="S114" s="4">
        <v>2011</v>
      </c>
      <c r="T114" s="4" t="s">
        <v>636</v>
      </c>
      <c r="U114" s="4">
        <v>7.2999999999999995E-2</v>
      </c>
      <c r="V114" s="4">
        <v>0.91100000000000003</v>
      </c>
      <c r="W114" s="4">
        <v>0.90100000000000002</v>
      </c>
      <c r="X114" s="4">
        <v>51148.931636583256</v>
      </c>
      <c r="Y114" s="4">
        <v>7.1999999999999995E-2</v>
      </c>
      <c r="Z114" s="4">
        <v>0</v>
      </c>
      <c r="AA114" s="4">
        <v>1</v>
      </c>
      <c r="AB114" s="4" t="s">
        <v>649</v>
      </c>
      <c r="AC114" s="17" t="s">
        <v>349</v>
      </c>
      <c r="AD114" s="20">
        <v>0.72666666666666668</v>
      </c>
      <c r="AE114" s="20">
        <v>0.27333333333333332</v>
      </c>
      <c r="AF114" s="10">
        <v>1</v>
      </c>
      <c r="AG114" s="4">
        <f t="shared" si="28"/>
        <v>1</v>
      </c>
      <c r="AH114" s="3">
        <f t="shared" si="29"/>
        <v>1</v>
      </c>
      <c r="AI114" s="4">
        <f t="shared" si="30"/>
        <v>1</v>
      </c>
      <c r="AJ114" s="4">
        <f t="shared" si="31"/>
        <v>1</v>
      </c>
      <c r="AK114" s="4">
        <f t="shared" si="32"/>
        <v>1</v>
      </c>
      <c r="AL114" s="4">
        <f t="shared" si="33"/>
        <v>1</v>
      </c>
      <c r="AM114" s="4">
        <f t="shared" si="34"/>
        <v>1</v>
      </c>
      <c r="AN114" s="4">
        <v>1</v>
      </c>
      <c r="AO114" s="4">
        <v>0</v>
      </c>
      <c r="AP114" s="4" t="s">
        <v>61</v>
      </c>
      <c r="AQ114" s="4" t="s">
        <v>63</v>
      </c>
      <c r="AR114" s="4">
        <v>1</v>
      </c>
      <c r="AS114" s="4" t="s">
        <v>347</v>
      </c>
      <c r="AT114" s="11">
        <f>(0.26+0.16)/2</f>
        <v>0.21000000000000002</v>
      </c>
      <c r="AU114" s="4">
        <v>358</v>
      </c>
      <c r="AV114" s="11">
        <f>(0.26+0.09)/2</f>
        <v>0.17499999999999999</v>
      </c>
      <c r="AW114" s="4">
        <v>358</v>
      </c>
      <c r="AX114" s="10">
        <f>AU114*AT114</f>
        <v>75.180000000000007</v>
      </c>
      <c r="AY114" s="10">
        <f>AU114-AX114</f>
        <v>282.82</v>
      </c>
      <c r="AZ114" s="10">
        <f>AW114*AV114</f>
        <v>62.65</v>
      </c>
      <c r="BA114" s="10">
        <f>AW114-AZ114</f>
        <v>295.35000000000002</v>
      </c>
      <c r="BB114" s="10">
        <f t="shared" si="35"/>
        <v>716</v>
      </c>
    </row>
    <row r="115" spans="1:54" x14ac:dyDescent="0.25">
      <c r="A115" s="9" t="str">
        <f t="shared" si="36"/>
        <v>29C</v>
      </c>
      <c r="B115" s="4">
        <v>29</v>
      </c>
      <c r="C115" s="4">
        <v>2</v>
      </c>
      <c r="D115" s="4" t="s">
        <v>67</v>
      </c>
      <c r="E115" s="4">
        <v>0</v>
      </c>
      <c r="F115" s="4">
        <v>1</v>
      </c>
      <c r="G115" s="4">
        <v>0</v>
      </c>
      <c r="H115" s="2" t="s">
        <v>114</v>
      </c>
      <c r="I115" s="2" t="s">
        <v>16</v>
      </c>
      <c r="J115" s="2" t="s">
        <v>222</v>
      </c>
      <c r="K115" s="4">
        <v>1</v>
      </c>
      <c r="L115" s="2" t="s">
        <v>115</v>
      </c>
      <c r="M115" s="1"/>
      <c r="N115" s="4">
        <v>3</v>
      </c>
      <c r="O115" s="4">
        <v>0</v>
      </c>
      <c r="P115" s="20">
        <f t="shared" si="27"/>
        <v>1</v>
      </c>
      <c r="Q115" s="4">
        <v>2016</v>
      </c>
      <c r="R115" s="4">
        <v>2011</v>
      </c>
      <c r="S115" s="4">
        <v>2011</v>
      </c>
      <c r="T115" s="4" t="s">
        <v>636</v>
      </c>
      <c r="U115" s="4">
        <v>7.2999999999999995E-2</v>
      </c>
      <c r="V115" s="4">
        <v>0.91100000000000003</v>
      </c>
      <c r="W115" s="4">
        <v>0.90100000000000002</v>
      </c>
      <c r="X115" s="4">
        <v>51148.931636583256</v>
      </c>
      <c r="Y115" s="4">
        <v>7.1999999999999995E-2</v>
      </c>
      <c r="Z115" s="4">
        <v>0</v>
      </c>
      <c r="AA115" s="4">
        <v>1</v>
      </c>
      <c r="AB115" s="4" t="s">
        <v>649</v>
      </c>
      <c r="AC115" s="17" t="s">
        <v>350</v>
      </c>
      <c r="AD115" s="4">
        <v>0.21000000000000002</v>
      </c>
      <c r="AE115" s="4">
        <v>0.79</v>
      </c>
      <c r="AF115" s="10">
        <v>0</v>
      </c>
      <c r="AG115" s="4">
        <f t="shared" si="28"/>
        <v>0</v>
      </c>
      <c r="AH115" s="3">
        <f t="shared" si="29"/>
        <v>0</v>
      </c>
      <c r="AI115" s="4">
        <f t="shared" si="30"/>
        <v>0</v>
      </c>
      <c r="AJ115" s="4">
        <f t="shared" si="31"/>
        <v>0</v>
      </c>
      <c r="AK115" s="4">
        <f t="shared" si="32"/>
        <v>0</v>
      </c>
      <c r="AL115" s="4">
        <f t="shared" si="33"/>
        <v>0</v>
      </c>
      <c r="AM115" s="4">
        <f t="shared" si="34"/>
        <v>0</v>
      </c>
      <c r="AN115" s="4">
        <v>0</v>
      </c>
      <c r="AO115" s="4">
        <v>0</v>
      </c>
      <c r="AP115" s="4" t="s">
        <v>61</v>
      </c>
      <c r="AQ115" s="4" t="s">
        <v>63</v>
      </c>
      <c r="AR115" s="4">
        <v>1</v>
      </c>
      <c r="AS115" s="4" t="s">
        <v>348</v>
      </c>
      <c r="AT115" s="11">
        <f>(0.32+0.16)/2</f>
        <v>0.24</v>
      </c>
      <c r="AU115" s="4">
        <v>487</v>
      </c>
      <c r="AV115" s="11">
        <f>(0.19+0.09)/2</f>
        <v>0.14000000000000001</v>
      </c>
      <c r="AW115" s="4">
        <v>487</v>
      </c>
      <c r="AX115" s="10">
        <f>AU115*AT115</f>
        <v>116.88</v>
      </c>
      <c r="AY115" s="10">
        <f>AU115-AX115</f>
        <v>370.12</v>
      </c>
      <c r="AZ115" s="10">
        <f>AW115*AV115</f>
        <v>68.180000000000007</v>
      </c>
      <c r="BA115" s="10">
        <f>AW115-AZ115</f>
        <v>418.82</v>
      </c>
      <c r="BB115" s="10">
        <f t="shared" si="35"/>
        <v>974</v>
      </c>
    </row>
    <row r="116" spans="1:54" x14ac:dyDescent="0.25">
      <c r="A116" s="9" t="str">
        <f t="shared" si="36"/>
        <v>30A</v>
      </c>
      <c r="B116" s="3">
        <v>30</v>
      </c>
      <c r="C116" s="3">
        <v>1</v>
      </c>
      <c r="D116" s="3" t="s">
        <v>65</v>
      </c>
      <c r="E116" s="3">
        <v>1</v>
      </c>
      <c r="F116" s="3">
        <v>0</v>
      </c>
      <c r="G116" s="3">
        <v>0</v>
      </c>
      <c r="H116" s="13" t="s">
        <v>32</v>
      </c>
      <c r="I116" s="13" t="s">
        <v>33</v>
      </c>
      <c r="J116" s="1" t="s">
        <v>203</v>
      </c>
      <c r="K116" s="3">
        <v>1</v>
      </c>
      <c r="L116" s="13" t="s">
        <v>132</v>
      </c>
      <c r="M116" s="1" t="s">
        <v>554</v>
      </c>
      <c r="N116" s="14">
        <v>0</v>
      </c>
      <c r="O116" s="14">
        <v>1</v>
      </c>
      <c r="P116" s="19">
        <f t="shared" si="27"/>
        <v>0</v>
      </c>
      <c r="Q116" s="14">
        <v>2015</v>
      </c>
      <c r="R116" s="3">
        <v>2013</v>
      </c>
      <c r="S116" s="3">
        <v>2013</v>
      </c>
      <c r="T116" s="3" t="s">
        <v>133</v>
      </c>
      <c r="U116" s="3">
        <v>0.16700000000000001</v>
      </c>
      <c r="V116" s="3">
        <v>0.92400000000000004</v>
      </c>
      <c r="W116" s="3">
        <v>0.91200000000000003</v>
      </c>
      <c r="X116" s="3">
        <v>43449.091717313917</v>
      </c>
      <c r="Y116" s="3">
        <v>4.5999999999999999E-2</v>
      </c>
      <c r="Z116" s="3">
        <v>1</v>
      </c>
      <c r="AA116" s="3">
        <v>1</v>
      </c>
      <c r="AB116" s="3" t="s">
        <v>207</v>
      </c>
      <c r="AC116" s="7" t="s">
        <v>61</v>
      </c>
      <c r="AD116" s="19"/>
      <c r="AE116" s="19"/>
      <c r="AF116" s="10">
        <v>2</v>
      </c>
      <c r="AG116" s="4">
        <f t="shared" si="28"/>
        <v>1</v>
      </c>
      <c r="AH116" s="3">
        <f t="shared" si="29"/>
        <v>2</v>
      </c>
      <c r="AI116" s="4">
        <f t="shared" si="30"/>
        <v>1</v>
      </c>
      <c r="AJ116" s="4">
        <f t="shared" si="31"/>
        <v>2</v>
      </c>
      <c r="AK116" s="4">
        <f t="shared" si="32"/>
        <v>1</v>
      </c>
      <c r="AL116" s="4">
        <f t="shared" si="33"/>
        <v>2</v>
      </c>
      <c r="AM116" s="4">
        <f t="shared" si="34"/>
        <v>1</v>
      </c>
      <c r="AN116" s="4">
        <v>0</v>
      </c>
      <c r="AO116" s="4">
        <v>0</v>
      </c>
      <c r="AP116" s="3" t="s">
        <v>100</v>
      </c>
      <c r="AQ116" s="3" t="s">
        <v>63</v>
      </c>
      <c r="AR116" s="3">
        <v>1</v>
      </c>
      <c r="AS116" s="3" t="s">
        <v>62</v>
      </c>
      <c r="AT116" s="16">
        <f>AX116/AU116</f>
        <v>0.32925045703839123</v>
      </c>
      <c r="AU116" s="3">
        <f>SUM(AU117:AU119)</f>
        <v>5470</v>
      </c>
      <c r="AV116" s="16">
        <f>AZ116/AW116</f>
        <v>0.32267235252309878</v>
      </c>
      <c r="AW116" s="3">
        <f>SUM(AW117:AW119)</f>
        <v>5628</v>
      </c>
      <c r="AX116" s="3">
        <f>SUM(AX117:AX119)</f>
        <v>1801</v>
      </c>
      <c r="AY116" s="3">
        <f>SUM(AY117:AY119)</f>
        <v>3669</v>
      </c>
      <c r="AZ116" s="3">
        <f>SUM(AZ117:AZ119)</f>
        <v>1816</v>
      </c>
      <c r="BA116" s="8">
        <f>SUM(BA117:BA119)</f>
        <v>3812</v>
      </c>
      <c r="BB116" s="3">
        <f t="shared" si="35"/>
        <v>11098</v>
      </c>
    </row>
    <row r="117" spans="1:54" x14ac:dyDescent="0.25">
      <c r="A117" s="9" t="str">
        <f t="shared" si="36"/>
        <v>30B</v>
      </c>
      <c r="B117" s="4">
        <v>30</v>
      </c>
      <c r="C117" s="4">
        <v>1</v>
      </c>
      <c r="D117" s="4" t="s">
        <v>66</v>
      </c>
      <c r="E117" s="4">
        <v>0</v>
      </c>
      <c r="F117" s="4">
        <v>1</v>
      </c>
      <c r="G117" s="4">
        <v>0</v>
      </c>
      <c r="H117" s="15" t="s">
        <v>32</v>
      </c>
      <c r="I117" s="15" t="s">
        <v>33</v>
      </c>
      <c r="J117" s="2" t="s">
        <v>203</v>
      </c>
      <c r="K117" s="4">
        <v>1</v>
      </c>
      <c r="L117" s="15" t="s">
        <v>132</v>
      </c>
      <c r="M117" s="13"/>
      <c r="N117" s="12">
        <v>0</v>
      </c>
      <c r="O117" s="12">
        <v>1</v>
      </c>
      <c r="P117" s="20">
        <f t="shared" si="27"/>
        <v>0</v>
      </c>
      <c r="Q117" s="12">
        <v>2015</v>
      </c>
      <c r="R117" s="12">
        <v>2013</v>
      </c>
      <c r="S117" s="12">
        <v>2013</v>
      </c>
      <c r="T117" s="4" t="s">
        <v>133</v>
      </c>
      <c r="U117" s="4">
        <v>0.16700000000000001</v>
      </c>
      <c r="V117" s="4">
        <v>0.92400000000000004</v>
      </c>
      <c r="W117" s="4">
        <v>0.91200000000000003</v>
      </c>
      <c r="X117" s="4">
        <v>43449.091717313917</v>
      </c>
      <c r="Y117" s="4">
        <v>4.5999999999999999E-2</v>
      </c>
      <c r="Z117" s="12">
        <v>1</v>
      </c>
      <c r="AA117" s="12">
        <v>1</v>
      </c>
      <c r="AB117" s="12" t="s">
        <v>207</v>
      </c>
      <c r="AC117" s="17" t="s">
        <v>352</v>
      </c>
      <c r="AD117" s="20">
        <v>0.59799999999999998</v>
      </c>
      <c r="AE117" s="20">
        <v>0.40200000000000002</v>
      </c>
      <c r="AF117" s="10">
        <v>1</v>
      </c>
      <c r="AG117" s="4">
        <f t="shared" si="28"/>
        <v>1</v>
      </c>
      <c r="AH117" s="3">
        <f t="shared" si="29"/>
        <v>2</v>
      </c>
      <c r="AI117" s="4">
        <f t="shared" si="30"/>
        <v>1</v>
      </c>
      <c r="AJ117" s="4">
        <f t="shared" si="31"/>
        <v>2</v>
      </c>
      <c r="AK117" s="4">
        <f t="shared" si="32"/>
        <v>1</v>
      </c>
      <c r="AL117" s="4">
        <f t="shared" si="33"/>
        <v>2</v>
      </c>
      <c r="AM117" s="4">
        <f t="shared" si="34"/>
        <v>1</v>
      </c>
      <c r="AN117" s="4">
        <v>0</v>
      </c>
      <c r="AO117" s="4">
        <v>0</v>
      </c>
      <c r="AP117" s="12" t="s">
        <v>100</v>
      </c>
      <c r="AQ117" s="12" t="s">
        <v>63</v>
      </c>
      <c r="AR117" s="12">
        <v>1</v>
      </c>
      <c r="AS117" s="4" t="s">
        <v>352</v>
      </c>
      <c r="AT117" s="11">
        <f>AX117/AU117</f>
        <v>0.33024390243902441</v>
      </c>
      <c r="AU117" s="4">
        <f>1025*2</f>
        <v>2050</v>
      </c>
      <c r="AV117" s="11">
        <f>AZ117/AW117</f>
        <v>0.32519964507542148</v>
      </c>
      <c r="AW117" s="4">
        <f>1127*2</f>
        <v>2254</v>
      </c>
      <c r="AX117" s="10">
        <f>633+43+1</f>
        <v>677</v>
      </c>
      <c r="AY117" s="10">
        <f>AU117-AX117</f>
        <v>1373</v>
      </c>
      <c r="AZ117" s="10">
        <f>659+74+0</f>
        <v>733</v>
      </c>
      <c r="BA117" s="10">
        <f>AW117-AZ117</f>
        <v>1521</v>
      </c>
      <c r="BB117" s="10">
        <f t="shared" si="35"/>
        <v>4304</v>
      </c>
    </row>
    <row r="118" spans="1:54" x14ac:dyDescent="0.25">
      <c r="A118" s="9" t="str">
        <f t="shared" si="36"/>
        <v>30C</v>
      </c>
      <c r="B118" s="4">
        <v>30</v>
      </c>
      <c r="C118" s="4">
        <v>1</v>
      </c>
      <c r="D118" s="4" t="s">
        <v>67</v>
      </c>
      <c r="E118" s="4">
        <v>0</v>
      </c>
      <c r="F118" s="4">
        <v>1</v>
      </c>
      <c r="G118" s="4">
        <v>0</v>
      </c>
      <c r="H118" s="15" t="s">
        <v>32</v>
      </c>
      <c r="I118" s="15" t="s">
        <v>33</v>
      </c>
      <c r="J118" s="2" t="s">
        <v>203</v>
      </c>
      <c r="K118" s="4">
        <v>1</v>
      </c>
      <c r="L118" s="15" t="s">
        <v>132</v>
      </c>
      <c r="M118" s="13"/>
      <c r="N118" s="12">
        <v>0</v>
      </c>
      <c r="O118" s="12">
        <v>1</v>
      </c>
      <c r="P118" s="20">
        <f t="shared" si="27"/>
        <v>0</v>
      </c>
      <c r="Q118" s="12">
        <v>2015</v>
      </c>
      <c r="R118" s="4">
        <v>2013</v>
      </c>
      <c r="S118" s="4">
        <v>2013</v>
      </c>
      <c r="T118" s="4" t="s">
        <v>133</v>
      </c>
      <c r="U118" s="4">
        <v>0.16700000000000001</v>
      </c>
      <c r="V118" s="4">
        <v>0.92400000000000004</v>
      </c>
      <c r="W118" s="4">
        <v>0.91200000000000003</v>
      </c>
      <c r="X118" s="4">
        <v>43449.091717313917</v>
      </c>
      <c r="Y118" s="4">
        <v>4.5999999999999999E-2</v>
      </c>
      <c r="Z118" s="4">
        <v>1</v>
      </c>
      <c r="AA118" s="4">
        <v>1</v>
      </c>
      <c r="AB118" s="4" t="s">
        <v>207</v>
      </c>
      <c r="AC118" s="34" t="s">
        <v>353</v>
      </c>
      <c r="AD118" s="40">
        <v>0.30599999999999999</v>
      </c>
      <c r="AE118" s="20">
        <v>0.69399999999999995</v>
      </c>
      <c r="AF118" s="10">
        <v>2</v>
      </c>
      <c r="AG118" s="4">
        <f t="shared" si="28"/>
        <v>1</v>
      </c>
      <c r="AH118" s="3">
        <f t="shared" si="29"/>
        <v>0</v>
      </c>
      <c r="AI118" s="4">
        <f t="shared" si="30"/>
        <v>0</v>
      </c>
      <c r="AJ118" s="4">
        <f t="shared" si="31"/>
        <v>0</v>
      </c>
      <c r="AK118" s="4">
        <f t="shared" si="32"/>
        <v>0</v>
      </c>
      <c r="AL118" s="4">
        <f t="shared" si="33"/>
        <v>2</v>
      </c>
      <c r="AM118" s="4">
        <f t="shared" si="34"/>
        <v>1</v>
      </c>
      <c r="AN118" s="4">
        <v>0</v>
      </c>
      <c r="AO118" s="4">
        <v>1</v>
      </c>
      <c r="AP118" s="4" t="s">
        <v>100</v>
      </c>
      <c r="AQ118" s="4" t="s">
        <v>63</v>
      </c>
      <c r="AR118" s="4">
        <v>1</v>
      </c>
      <c r="AS118" s="4" t="s">
        <v>353</v>
      </c>
      <c r="AT118" s="11">
        <f>AX118/AU118</f>
        <v>0.36209335219236211</v>
      </c>
      <c r="AU118" s="4">
        <f>707*2</f>
        <v>1414</v>
      </c>
      <c r="AV118" s="11">
        <f>AZ118/AW118</f>
        <v>0.31975138121546959</v>
      </c>
      <c r="AW118" s="4">
        <f>724*2</f>
        <v>1448</v>
      </c>
      <c r="AX118" s="10">
        <f>462+49+1</f>
        <v>512</v>
      </c>
      <c r="AY118" s="10">
        <f>AU118-AX118</f>
        <v>902</v>
      </c>
      <c r="AZ118" s="10">
        <f>426+35+2</f>
        <v>463</v>
      </c>
      <c r="BA118" s="10">
        <f>AW118-AZ118</f>
        <v>985</v>
      </c>
      <c r="BB118" s="10">
        <f t="shared" si="35"/>
        <v>2862</v>
      </c>
    </row>
    <row r="119" spans="1:54" x14ac:dyDescent="0.25">
      <c r="A119" s="9" t="str">
        <f t="shared" si="36"/>
        <v>30D</v>
      </c>
      <c r="B119" s="4">
        <v>30</v>
      </c>
      <c r="C119" s="4">
        <v>1</v>
      </c>
      <c r="D119" s="4" t="s">
        <v>68</v>
      </c>
      <c r="E119" s="4">
        <v>0</v>
      </c>
      <c r="F119" s="4">
        <v>1</v>
      </c>
      <c r="G119" s="4">
        <v>0</v>
      </c>
      <c r="H119" s="15" t="s">
        <v>32</v>
      </c>
      <c r="I119" s="15" t="s">
        <v>33</v>
      </c>
      <c r="J119" s="2" t="s">
        <v>203</v>
      </c>
      <c r="K119" s="4">
        <v>1</v>
      </c>
      <c r="L119" s="15" t="s">
        <v>132</v>
      </c>
      <c r="M119" s="13"/>
      <c r="N119" s="12">
        <v>0</v>
      </c>
      <c r="O119" s="12">
        <v>1</v>
      </c>
      <c r="P119" s="20">
        <f t="shared" si="27"/>
        <v>0</v>
      </c>
      <c r="Q119" s="12">
        <v>2015</v>
      </c>
      <c r="R119" s="4">
        <v>2013</v>
      </c>
      <c r="S119" s="4">
        <v>2013</v>
      </c>
      <c r="T119" s="4" t="s">
        <v>133</v>
      </c>
      <c r="U119" s="4">
        <v>0.16700000000000001</v>
      </c>
      <c r="V119" s="4">
        <v>0.92400000000000004</v>
      </c>
      <c r="W119" s="4">
        <v>0.91200000000000003</v>
      </c>
      <c r="X119" s="4">
        <v>43449.091717313917</v>
      </c>
      <c r="Y119" s="4">
        <v>4.5999999999999999E-2</v>
      </c>
      <c r="Z119" s="4">
        <v>1</v>
      </c>
      <c r="AA119" s="4">
        <v>1</v>
      </c>
      <c r="AB119" s="4" t="s">
        <v>207</v>
      </c>
      <c r="AC119" s="17" t="s">
        <v>354</v>
      </c>
      <c r="AD119" s="20">
        <v>0.182</v>
      </c>
      <c r="AE119" s="20">
        <v>0.81800000000000006</v>
      </c>
      <c r="AF119" s="10">
        <v>0</v>
      </c>
      <c r="AG119" s="4">
        <f t="shared" si="28"/>
        <v>0</v>
      </c>
      <c r="AH119" s="3">
        <f t="shared" si="29"/>
        <v>0</v>
      </c>
      <c r="AI119" s="4">
        <f t="shared" si="30"/>
        <v>0</v>
      </c>
      <c r="AJ119" s="4">
        <f t="shared" si="31"/>
        <v>0</v>
      </c>
      <c r="AK119" s="4">
        <f t="shared" si="32"/>
        <v>0</v>
      </c>
      <c r="AL119" s="4">
        <f t="shared" si="33"/>
        <v>0</v>
      </c>
      <c r="AM119" s="4">
        <f t="shared" si="34"/>
        <v>0</v>
      </c>
      <c r="AN119" s="4">
        <v>0</v>
      </c>
      <c r="AO119" s="4">
        <v>1</v>
      </c>
      <c r="AP119" s="4" t="s">
        <v>100</v>
      </c>
      <c r="AQ119" s="4" t="s">
        <v>63</v>
      </c>
      <c r="AR119" s="4">
        <v>1</v>
      </c>
      <c r="AS119" s="4" t="s">
        <v>354</v>
      </c>
      <c r="AT119" s="11">
        <f>AX119/AU119</f>
        <v>0.30508474576271188</v>
      </c>
      <c r="AU119" s="4">
        <f>1003*2</f>
        <v>2006</v>
      </c>
      <c r="AV119" s="11">
        <f>AZ119/AW119</f>
        <v>0.32191069574247144</v>
      </c>
      <c r="AW119" s="4">
        <f>963*2</f>
        <v>1926</v>
      </c>
      <c r="AX119" s="10">
        <f>549+63+0</f>
        <v>612</v>
      </c>
      <c r="AY119" s="10">
        <f>AU119-AX119</f>
        <v>1394</v>
      </c>
      <c r="AZ119" s="10">
        <f>568+48+4</f>
        <v>620</v>
      </c>
      <c r="BA119" s="10">
        <f>AW119-AZ119</f>
        <v>1306</v>
      </c>
      <c r="BB119" s="4">
        <f t="shared" si="35"/>
        <v>3932</v>
      </c>
    </row>
    <row r="120" spans="1:54" s="1" customFormat="1" x14ac:dyDescent="0.25">
      <c r="A120" s="9" t="str">
        <f t="shared" si="36"/>
        <v>31A</v>
      </c>
      <c r="B120" s="3">
        <v>31</v>
      </c>
      <c r="C120" s="3">
        <v>1</v>
      </c>
      <c r="D120" s="3" t="s">
        <v>65</v>
      </c>
      <c r="E120" s="3">
        <v>1</v>
      </c>
      <c r="F120" s="3">
        <v>1</v>
      </c>
      <c r="G120" s="3">
        <v>0</v>
      </c>
      <c r="H120" s="1" t="s">
        <v>356</v>
      </c>
      <c r="I120" s="1" t="s">
        <v>27</v>
      </c>
      <c r="J120" s="1" t="s">
        <v>203</v>
      </c>
      <c r="K120" s="3">
        <v>1</v>
      </c>
      <c r="L120" s="1" t="s">
        <v>355</v>
      </c>
      <c r="M120" s="1" t="s">
        <v>551</v>
      </c>
      <c r="N120" s="3">
        <v>1</v>
      </c>
      <c r="O120" s="3">
        <v>1</v>
      </c>
      <c r="P120" s="19">
        <f t="shared" si="27"/>
        <v>0.5</v>
      </c>
      <c r="Q120" s="3">
        <v>2018</v>
      </c>
      <c r="R120" s="3" t="s">
        <v>339</v>
      </c>
      <c r="S120" s="3">
        <v>2015</v>
      </c>
      <c r="T120" s="3" t="s">
        <v>104</v>
      </c>
      <c r="U120" s="3">
        <v>5.7000000000000002E-2</v>
      </c>
      <c r="V120" s="12">
        <v>0.92400000000000004</v>
      </c>
      <c r="W120" s="3">
        <v>0.89</v>
      </c>
      <c r="X120" s="12">
        <v>41008.296699999999</v>
      </c>
      <c r="Y120" s="3"/>
      <c r="Z120" s="3">
        <v>0</v>
      </c>
      <c r="AA120" s="3">
        <v>0</v>
      </c>
      <c r="AB120" s="3" t="s">
        <v>207</v>
      </c>
      <c r="AC120" s="7" t="s">
        <v>61</v>
      </c>
      <c r="AD120" s="19">
        <v>0.53464500871000997</v>
      </c>
      <c r="AE120" s="19">
        <v>0.46535499128994601</v>
      </c>
      <c r="AF120" s="10">
        <v>2</v>
      </c>
      <c r="AG120" s="4">
        <f t="shared" si="28"/>
        <v>1</v>
      </c>
      <c r="AH120" s="3">
        <f t="shared" si="29"/>
        <v>2</v>
      </c>
      <c r="AI120" s="4">
        <f t="shared" si="30"/>
        <v>1</v>
      </c>
      <c r="AJ120" s="4">
        <f t="shared" si="31"/>
        <v>2</v>
      </c>
      <c r="AK120" s="4">
        <f t="shared" si="32"/>
        <v>1</v>
      </c>
      <c r="AL120" s="4">
        <f t="shared" si="33"/>
        <v>2</v>
      </c>
      <c r="AM120" s="4">
        <f t="shared" si="34"/>
        <v>1</v>
      </c>
      <c r="AN120" s="4">
        <v>0</v>
      </c>
      <c r="AO120" s="4">
        <v>0</v>
      </c>
      <c r="AP120" s="3" t="s">
        <v>61</v>
      </c>
      <c r="AQ120" s="3" t="s">
        <v>97</v>
      </c>
      <c r="AR120" s="3">
        <v>1</v>
      </c>
      <c r="AS120" s="3" t="s">
        <v>62</v>
      </c>
      <c r="AT120" s="16">
        <f>(0.319+0.188)/2</f>
        <v>0.2535</v>
      </c>
      <c r="AU120" s="3">
        <f>144*2</f>
        <v>288</v>
      </c>
      <c r="AV120" s="16">
        <f>(0.139+0.125)/2</f>
        <v>0.13200000000000001</v>
      </c>
      <c r="AW120" s="3">
        <f>144*2</f>
        <v>288</v>
      </c>
      <c r="AX120" s="8">
        <f>AT120*AU120</f>
        <v>73.007999999999996</v>
      </c>
      <c r="AY120" s="8">
        <f>AU120-AX120</f>
        <v>214.99200000000002</v>
      </c>
      <c r="AZ120" s="8">
        <f>AV120*AW120</f>
        <v>38.016000000000005</v>
      </c>
      <c r="BA120" s="8">
        <f>AW120-AZ120</f>
        <v>249.98399999999998</v>
      </c>
      <c r="BB120" s="8">
        <f t="shared" si="35"/>
        <v>576</v>
      </c>
    </row>
    <row r="121" spans="1:54" s="1" customFormat="1" x14ac:dyDescent="0.25">
      <c r="A121" s="9" t="str">
        <f t="shared" si="36"/>
        <v>32A</v>
      </c>
      <c r="B121" s="3">
        <v>32</v>
      </c>
      <c r="C121" s="3">
        <v>1</v>
      </c>
      <c r="D121" s="3" t="s">
        <v>65</v>
      </c>
      <c r="E121" s="3">
        <v>1</v>
      </c>
      <c r="F121" s="3">
        <v>0</v>
      </c>
      <c r="G121" s="3">
        <v>0</v>
      </c>
      <c r="H121" s="1" t="s">
        <v>14</v>
      </c>
      <c r="I121" s="1" t="s">
        <v>6</v>
      </c>
      <c r="J121" s="1" t="s">
        <v>203</v>
      </c>
      <c r="K121" s="3">
        <v>1</v>
      </c>
      <c r="L121" s="1" t="s">
        <v>110</v>
      </c>
      <c r="M121" s="1" t="s">
        <v>555</v>
      </c>
      <c r="N121" s="3">
        <v>2</v>
      </c>
      <c r="O121" s="3">
        <v>1</v>
      </c>
      <c r="P121" s="19">
        <f t="shared" si="27"/>
        <v>0.66666666666666663</v>
      </c>
      <c r="Q121" s="3">
        <v>2019</v>
      </c>
      <c r="R121" s="3" t="s">
        <v>98</v>
      </c>
      <c r="S121" s="3">
        <v>2014</v>
      </c>
      <c r="T121" s="7" t="s">
        <v>111</v>
      </c>
      <c r="U121" s="16">
        <f>(0.081+0.049+0.09)/3</f>
        <v>7.3333333333333334E-2</v>
      </c>
      <c r="V121" s="16">
        <f>(0.938+0.954+0.91)/3</f>
        <v>0.93400000000000005</v>
      </c>
      <c r="W121" s="16">
        <f>(0.933+0.877+0.854)/3</f>
        <v>0.88800000000000001</v>
      </c>
      <c r="X121" s="16">
        <f>(48023.8699845462+88724.9909402638+51786.3771747905)/3</f>
        <v>62845.079366533493</v>
      </c>
      <c r="Y121" s="16"/>
      <c r="Z121" s="3">
        <v>0</v>
      </c>
      <c r="AA121" s="3">
        <v>0</v>
      </c>
      <c r="AB121" s="3" t="s">
        <v>207</v>
      </c>
      <c r="AC121" s="7" t="s">
        <v>61</v>
      </c>
      <c r="AD121" s="3"/>
      <c r="AE121" s="3"/>
      <c r="AF121" s="10">
        <v>2</v>
      </c>
      <c r="AG121" s="4">
        <f t="shared" si="28"/>
        <v>1</v>
      </c>
      <c r="AH121" s="3">
        <f t="shared" si="29"/>
        <v>2</v>
      </c>
      <c r="AI121" s="4">
        <f t="shared" si="30"/>
        <v>1</v>
      </c>
      <c r="AJ121" s="4">
        <f t="shared" si="31"/>
        <v>2</v>
      </c>
      <c r="AK121" s="4">
        <f t="shared" si="32"/>
        <v>1</v>
      </c>
      <c r="AL121" s="4">
        <f t="shared" si="33"/>
        <v>2</v>
      </c>
      <c r="AM121" s="4">
        <f t="shared" si="34"/>
        <v>1</v>
      </c>
      <c r="AN121" s="4">
        <v>0</v>
      </c>
      <c r="AO121" s="4">
        <v>0</v>
      </c>
      <c r="AP121" s="3" t="s">
        <v>61</v>
      </c>
      <c r="AQ121" s="3" t="s">
        <v>97</v>
      </c>
      <c r="AR121" s="3">
        <v>1</v>
      </c>
      <c r="AS121" s="3" t="s">
        <v>62</v>
      </c>
      <c r="AT121" s="16">
        <f>(AT122*AU122+AT123*AU123)/AU121</f>
        <v>0.19524246010399859</v>
      </c>
      <c r="AU121" s="3">
        <f>SUM(AU122:AU123)</f>
        <v>5577</v>
      </c>
      <c r="AV121" s="16">
        <f>(AV122*AW122+AV123*AW123)/AW121</f>
        <v>0.10635546571798188</v>
      </c>
      <c r="AW121" s="3">
        <f>SUM(AW122:AW123)</f>
        <v>3092</v>
      </c>
      <c r="AX121" s="8">
        <f>SUM(AX122:AX123)</f>
        <v>1088.8672000000001</v>
      </c>
      <c r="AY121" s="8">
        <f>SUM(AY122:AY123)</f>
        <v>4488.1327999999994</v>
      </c>
      <c r="AZ121" s="8">
        <f>SUM(AZ122:AZ123)</f>
        <v>328.85109999999997</v>
      </c>
      <c r="BA121" s="8">
        <f>SUM(BA122:BA123)</f>
        <v>2763.1489000000001</v>
      </c>
      <c r="BB121" s="8">
        <f t="shared" si="35"/>
        <v>8669</v>
      </c>
    </row>
    <row r="122" spans="1:54" s="1" customFormat="1" x14ac:dyDescent="0.25">
      <c r="A122" s="9" t="str">
        <f t="shared" si="36"/>
        <v>32B</v>
      </c>
      <c r="B122" s="4">
        <v>32</v>
      </c>
      <c r="C122" s="4">
        <v>1</v>
      </c>
      <c r="D122" s="4" t="s">
        <v>66</v>
      </c>
      <c r="E122" s="4">
        <v>0</v>
      </c>
      <c r="F122" s="4">
        <v>1</v>
      </c>
      <c r="G122" s="4">
        <v>0</v>
      </c>
      <c r="H122" s="2" t="s">
        <v>14</v>
      </c>
      <c r="I122" s="2" t="s">
        <v>6</v>
      </c>
      <c r="J122" s="2" t="s">
        <v>203</v>
      </c>
      <c r="K122" s="4">
        <v>1</v>
      </c>
      <c r="L122" s="2" t="s">
        <v>110</v>
      </c>
      <c r="N122" s="4">
        <v>2</v>
      </c>
      <c r="O122" s="4">
        <v>1</v>
      </c>
      <c r="P122" s="20">
        <f t="shared" si="27"/>
        <v>0.66666666666666663</v>
      </c>
      <c r="Q122" s="4">
        <v>2019</v>
      </c>
      <c r="R122" s="4" t="s">
        <v>98</v>
      </c>
      <c r="S122" s="4">
        <v>2014</v>
      </c>
      <c r="T122" s="17" t="s">
        <v>111</v>
      </c>
      <c r="U122" s="11">
        <f>(0.081+0.049+0.09)/3</f>
        <v>7.3333333333333334E-2</v>
      </c>
      <c r="V122" s="11">
        <f>(0.938+0.954+0.91)/3</f>
        <v>0.93400000000000005</v>
      </c>
      <c r="W122" s="16">
        <f>(0.933+0.877+0.854)/3</f>
        <v>0.88800000000000001</v>
      </c>
      <c r="X122" s="11">
        <f>(48023.8699845462+88724.9909402638+51786.3771747905)/3</f>
        <v>62845.079366533493</v>
      </c>
      <c r="Y122" s="11"/>
      <c r="Z122" s="4">
        <v>0</v>
      </c>
      <c r="AA122" s="4">
        <v>0</v>
      </c>
      <c r="AB122" s="4" t="s">
        <v>207</v>
      </c>
      <c r="AC122" s="17" t="s">
        <v>302</v>
      </c>
      <c r="AD122" s="20">
        <v>0.52892121351943722</v>
      </c>
      <c r="AE122" s="20">
        <v>0.47107878648056278</v>
      </c>
      <c r="AF122" s="10">
        <v>2</v>
      </c>
      <c r="AG122" s="4">
        <f t="shared" si="28"/>
        <v>1</v>
      </c>
      <c r="AH122" s="3">
        <f t="shared" si="29"/>
        <v>2</v>
      </c>
      <c r="AI122" s="4">
        <f t="shared" si="30"/>
        <v>1</v>
      </c>
      <c r="AJ122" s="4">
        <f t="shared" si="31"/>
        <v>2</v>
      </c>
      <c r="AK122" s="4">
        <f t="shared" si="32"/>
        <v>1</v>
      </c>
      <c r="AL122" s="4">
        <f t="shared" si="33"/>
        <v>2</v>
      </c>
      <c r="AM122" s="4">
        <f t="shared" si="34"/>
        <v>1</v>
      </c>
      <c r="AN122" s="4">
        <v>0</v>
      </c>
      <c r="AO122" s="4">
        <v>0</v>
      </c>
      <c r="AP122" s="4" t="s">
        <v>61</v>
      </c>
      <c r="AQ122" s="4" t="s">
        <v>97</v>
      </c>
      <c r="AR122" s="12">
        <v>1</v>
      </c>
      <c r="AS122" s="4" t="s">
        <v>302</v>
      </c>
      <c r="AT122" s="11">
        <f>(0.2358*1887+0.2556*626)/(1887+626)</f>
        <v>0.24073227218463986</v>
      </c>
      <c r="AU122" s="4">
        <f>1887+626</f>
        <v>2513</v>
      </c>
      <c r="AV122" s="11">
        <f>(0.1672*1124+0.0922*358)/(1124+358)</f>
        <v>0.14908259109311739</v>
      </c>
      <c r="AW122" s="4">
        <f>1124+358</f>
        <v>1482</v>
      </c>
      <c r="AX122" s="10">
        <f>AT122*AU122</f>
        <v>604.96019999999999</v>
      </c>
      <c r="AY122" s="10">
        <f>AU122-AX122</f>
        <v>1908.0398</v>
      </c>
      <c r="AZ122" s="10">
        <f>AV122*AW122</f>
        <v>220.94039999999998</v>
      </c>
      <c r="BA122" s="10">
        <f>AW122-AZ122</f>
        <v>1261.0596</v>
      </c>
      <c r="BB122" s="10">
        <f t="shared" si="35"/>
        <v>3995</v>
      </c>
    </row>
    <row r="123" spans="1:54" s="1" customFormat="1" x14ac:dyDescent="0.25">
      <c r="A123" s="9" t="str">
        <f t="shared" si="36"/>
        <v>32C</v>
      </c>
      <c r="B123" s="4">
        <v>32</v>
      </c>
      <c r="C123" s="4">
        <v>1</v>
      </c>
      <c r="D123" s="4" t="s">
        <v>67</v>
      </c>
      <c r="E123" s="4">
        <v>0</v>
      </c>
      <c r="F123" s="4">
        <v>1</v>
      </c>
      <c r="G123" s="4">
        <v>0</v>
      </c>
      <c r="H123" s="2" t="s">
        <v>14</v>
      </c>
      <c r="I123" s="2" t="s">
        <v>6</v>
      </c>
      <c r="J123" s="2" t="s">
        <v>203</v>
      </c>
      <c r="K123" s="4">
        <v>1</v>
      </c>
      <c r="L123" s="2" t="s">
        <v>110</v>
      </c>
      <c r="N123" s="4">
        <v>2</v>
      </c>
      <c r="O123" s="4">
        <v>1</v>
      </c>
      <c r="P123" s="20">
        <f t="shared" si="27"/>
        <v>0.66666666666666663</v>
      </c>
      <c r="Q123" s="4">
        <v>2019</v>
      </c>
      <c r="R123" s="4" t="s">
        <v>98</v>
      </c>
      <c r="S123" s="4">
        <v>2014</v>
      </c>
      <c r="T123" s="17" t="s">
        <v>111</v>
      </c>
      <c r="U123" s="11">
        <f>(0.081+0.049+0.09)/3</f>
        <v>7.3333333333333334E-2</v>
      </c>
      <c r="V123" s="11">
        <f>(0.938+0.954+0.91)/3</f>
        <v>0.93400000000000005</v>
      </c>
      <c r="W123" s="16">
        <f>(0.933+0.877+0.854)/3</f>
        <v>0.88800000000000001</v>
      </c>
      <c r="X123" s="11">
        <f>(48023.8699845462+88724.9909402638+51786.3771747905)/3</f>
        <v>62845.079366533493</v>
      </c>
      <c r="Y123" s="11"/>
      <c r="Z123" s="4">
        <v>0</v>
      </c>
      <c r="AA123" s="4">
        <v>0</v>
      </c>
      <c r="AB123" s="4" t="s">
        <v>207</v>
      </c>
      <c r="AC123" s="17" t="s">
        <v>357</v>
      </c>
      <c r="AD123" s="20">
        <v>0.32950490252624287</v>
      </c>
      <c r="AE123" s="20">
        <v>0.67049509747375713</v>
      </c>
      <c r="AF123" s="10">
        <v>0</v>
      </c>
      <c r="AG123" s="4">
        <f t="shared" si="28"/>
        <v>0</v>
      </c>
      <c r="AH123" s="3">
        <f t="shared" si="29"/>
        <v>0</v>
      </c>
      <c r="AI123" s="4">
        <f t="shared" si="30"/>
        <v>0</v>
      </c>
      <c r="AJ123" s="4">
        <f t="shared" si="31"/>
        <v>0</v>
      </c>
      <c r="AK123" s="4">
        <f t="shared" si="32"/>
        <v>0</v>
      </c>
      <c r="AL123" s="4">
        <f t="shared" si="33"/>
        <v>2</v>
      </c>
      <c r="AM123" s="4">
        <f t="shared" si="34"/>
        <v>1</v>
      </c>
      <c r="AN123" s="4">
        <v>0</v>
      </c>
      <c r="AO123" s="4">
        <v>0</v>
      </c>
      <c r="AP123" s="4" t="s">
        <v>61</v>
      </c>
      <c r="AQ123" s="4" t="s">
        <v>97</v>
      </c>
      <c r="AR123" s="4">
        <v>1</v>
      </c>
      <c r="AS123" s="4" t="s">
        <v>357</v>
      </c>
      <c r="AT123" s="11">
        <f>(0.1645*2358+0.136*706)/(2358+706)</f>
        <v>0.15793309399477809</v>
      </c>
      <c r="AU123" s="4">
        <f>2358+706</f>
        <v>3064</v>
      </c>
      <c r="AV123" s="11">
        <f>(0.0711*1321+0.0484*289)/(1321+289)</f>
        <v>6.7025279503105578E-2</v>
      </c>
      <c r="AW123" s="4">
        <f>1321+289</f>
        <v>1610</v>
      </c>
      <c r="AX123" s="10">
        <f>AT123*AU123</f>
        <v>483.90700000000004</v>
      </c>
      <c r="AY123" s="10">
        <f>AU123-AX123</f>
        <v>2580.0929999999998</v>
      </c>
      <c r="AZ123" s="10">
        <f>AV123*AW123</f>
        <v>107.91069999999998</v>
      </c>
      <c r="BA123" s="10">
        <f>AW123-AZ123</f>
        <v>1502.0893000000001</v>
      </c>
      <c r="BB123" s="10">
        <f t="shared" si="35"/>
        <v>4674</v>
      </c>
    </row>
    <row r="124" spans="1:54" s="1" customFormat="1" x14ac:dyDescent="0.25">
      <c r="A124" s="9" t="str">
        <f t="shared" si="36"/>
        <v>33A</v>
      </c>
      <c r="B124" s="3">
        <v>33</v>
      </c>
      <c r="C124" s="3">
        <v>1</v>
      </c>
      <c r="D124" s="3" t="s">
        <v>65</v>
      </c>
      <c r="E124" s="3">
        <v>1</v>
      </c>
      <c r="F124" s="3">
        <v>0</v>
      </c>
      <c r="G124" s="3">
        <v>0</v>
      </c>
      <c r="H124" s="1" t="s">
        <v>361</v>
      </c>
      <c r="I124" s="1" t="s">
        <v>330</v>
      </c>
      <c r="J124" s="1" t="s">
        <v>203</v>
      </c>
      <c r="K124" s="3">
        <v>1</v>
      </c>
      <c r="L124" s="1" t="s">
        <v>360</v>
      </c>
      <c r="M124" s="1" t="s">
        <v>556</v>
      </c>
      <c r="N124" s="3">
        <v>0</v>
      </c>
      <c r="O124" s="3">
        <v>2</v>
      </c>
      <c r="P124" s="19">
        <f t="shared" si="27"/>
        <v>0</v>
      </c>
      <c r="Q124" s="3">
        <v>2018</v>
      </c>
      <c r="R124" s="3" t="s">
        <v>96</v>
      </c>
      <c r="S124" s="3">
        <v>2016</v>
      </c>
      <c r="T124" s="3" t="s">
        <v>359</v>
      </c>
      <c r="U124" s="16">
        <v>4.2000000000000003E-2</v>
      </c>
      <c r="V124" s="16">
        <v>0.93600000000000005</v>
      </c>
      <c r="W124" s="16">
        <v>0.91700000000000004</v>
      </c>
      <c r="X124" s="16">
        <v>54663.998371919501</v>
      </c>
      <c r="Y124" s="16"/>
      <c r="Z124" s="3">
        <v>0</v>
      </c>
      <c r="AA124" s="3">
        <v>0</v>
      </c>
      <c r="AB124" s="3" t="s">
        <v>207</v>
      </c>
      <c r="AC124" s="7" t="s">
        <v>61</v>
      </c>
      <c r="AD124" s="3"/>
      <c r="AE124" s="3"/>
      <c r="AF124" s="10">
        <v>2</v>
      </c>
      <c r="AG124" s="4">
        <f t="shared" si="28"/>
        <v>1</v>
      </c>
      <c r="AH124" s="3">
        <f t="shared" si="29"/>
        <v>2</v>
      </c>
      <c r="AI124" s="4">
        <f t="shared" si="30"/>
        <v>1</v>
      </c>
      <c r="AJ124" s="4">
        <f t="shared" si="31"/>
        <v>2</v>
      </c>
      <c r="AK124" s="4">
        <f t="shared" si="32"/>
        <v>1</v>
      </c>
      <c r="AL124" s="4">
        <f t="shared" si="33"/>
        <v>2</v>
      </c>
      <c r="AM124" s="4">
        <f t="shared" si="34"/>
        <v>1</v>
      </c>
      <c r="AN124" s="4">
        <v>0</v>
      </c>
      <c r="AO124" s="4">
        <v>0</v>
      </c>
      <c r="AP124" s="3" t="s">
        <v>61</v>
      </c>
      <c r="AQ124" s="3" t="s">
        <v>97</v>
      </c>
      <c r="AR124" s="3">
        <v>1</v>
      </c>
      <c r="AS124" s="3" t="s">
        <v>62</v>
      </c>
      <c r="AT124" s="16">
        <f>(AT125*AU125+AT126*AU126+AT127*AU127)/AU124</f>
        <v>0.27705181347150259</v>
      </c>
      <c r="AU124" s="3">
        <f>SUM(AU125:AU127)</f>
        <v>386</v>
      </c>
      <c r="AV124" s="16">
        <f>(AV125*AW125+AV126*AW126+AV127*AW127)/AW124</f>
        <v>0.27742270531400964</v>
      </c>
      <c r="AW124" s="3">
        <f>SUM(AW125:AW127)</f>
        <v>414</v>
      </c>
      <c r="AX124" s="8">
        <f>SUM(AX125:AX127)</f>
        <v>106.94200000000001</v>
      </c>
      <c r="AY124" s="8">
        <f>SUM(AY125:AY127)</f>
        <v>279.05799999999999</v>
      </c>
      <c r="AZ124" s="8">
        <f>SUM(AZ125:AZ127)</f>
        <v>114.85299999999999</v>
      </c>
      <c r="BA124" s="8">
        <f>SUM(BA125:BA127)</f>
        <v>299.14699999999999</v>
      </c>
      <c r="BB124" s="8">
        <f t="shared" si="35"/>
        <v>800</v>
      </c>
    </row>
    <row r="125" spans="1:54" s="1" customFormat="1" x14ac:dyDescent="0.25">
      <c r="A125" s="9" t="str">
        <f t="shared" si="36"/>
        <v>33B</v>
      </c>
      <c r="B125" s="4">
        <v>33</v>
      </c>
      <c r="C125" s="4">
        <v>1</v>
      </c>
      <c r="D125" s="4" t="s">
        <v>66</v>
      </c>
      <c r="E125" s="4">
        <v>0</v>
      </c>
      <c r="F125" s="4">
        <v>1</v>
      </c>
      <c r="G125" s="4">
        <v>0</v>
      </c>
      <c r="H125" s="2" t="s">
        <v>361</v>
      </c>
      <c r="I125" s="2" t="s">
        <v>330</v>
      </c>
      <c r="J125" s="2" t="s">
        <v>203</v>
      </c>
      <c r="K125" s="4">
        <v>1</v>
      </c>
      <c r="L125" s="2" t="s">
        <v>360</v>
      </c>
      <c r="N125" s="4">
        <v>0</v>
      </c>
      <c r="O125" s="4">
        <v>2</v>
      </c>
      <c r="P125" s="20">
        <f t="shared" si="27"/>
        <v>0</v>
      </c>
      <c r="Q125" s="4">
        <v>2018</v>
      </c>
      <c r="R125" s="4" t="s">
        <v>96</v>
      </c>
      <c r="S125" s="4">
        <v>2016</v>
      </c>
      <c r="T125" s="4" t="s">
        <v>359</v>
      </c>
      <c r="U125" s="4">
        <v>4.2000000000000003E-2</v>
      </c>
      <c r="V125" s="4">
        <v>0.93600000000000005</v>
      </c>
      <c r="W125" s="11">
        <v>0.91700000000000004</v>
      </c>
      <c r="X125" s="11">
        <v>54663.998371919501</v>
      </c>
      <c r="Y125" s="4"/>
      <c r="Z125" s="4">
        <v>0</v>
      </c>
      <c r="AA125" s="4">
        <v>0</v>
      </c>
      <c r="AB125" s="12" t="s">
        <v>207</v>
      </c>
      <c r="AC125" s="17" t="s">
        <v>358</v>
      </c>
      <c r="AD125" s="20">
        <v>0.5</v>
      </c>
      <c r="AE125" s="20">
        <v>0.5</v>
      </c>
      <c r="AF125" s="10">
        <v>2</v>
      </c>
      <c r="AG125" s="4">
        <f t="shared" si="28"/>
        <v>1</v>
      </c>
      <c r="AH125" s="3">
        <f t="shared" si="29"/>
        <v>2</v>
      </c>
      <c r="AI125" s="4">
        <f t="shared" si="30"/>
        <v>1</v>
      </c>
      <c r="AJ125" s="4">
        <f t="shared" si="31"/>
        <v>2</v>
      </c>
      <c r="AK125" s="4">
        <f t="shared" si="32"/>
        <v>1</v>
      </c>
      <c r="AL125" s="4">
        <f t="shared" si="33"/>
        <v>2</v>
      </c>
      <c r="AM125" s="4">
        <f t="shared" si="34"/>
        <v>1</v>
      </c>
      <c r="AN125" s="4">
        <v>0</v>
      </c>
      <c r="AO125" s="4">
        <v>0</v>
      </c>
      <c r="AP125" s="4" t="s">
        <v>61</v>
      </c>
      <c r="AQ125" s="4" t="s">
        <v>97</v>
      </c>
      <c r="AR125" s="4">
        <v>1</v>
      </c>
      <c r="AS125" s="4" t="s">
        <v>358</v>
      </c>
      <c r="AT125" s="11">
        <f>(0.29+0.24)/2</f>
        <v>0.26500000000000001</v>
      </c>
      <c r="AU125" s="4">
        <f>100*2</f>
        <v>200</v>
      </c>
      <c r="AV125" s="11">
        <f>(0.378+0.244)/2</f>
        <v>0.311</v>
      </c>
      <c r="AW125" s="4">
        <f>98*2</f>
        <v>196</v>
      </c>
      <c r="AX125" s="10">
        <f>AT125*AU125</f>
        <v>53</v>
      </c>
      <c r="AY125" s="10">
        <f t="shared" ref="AY125:AY158" si="41">AU125-AX125</f>
        <v>147</v>
      </c>
      <c r="AZ125" s="10">
        <f>AV125*AW125</f>
        <v>60.956000000000003</v>
      </c>
      <c r="BA125" s="10">
        <f t="shared" ref="BA125:BA158" si="42">AW125-AZ125</f>
        <v>135.04399999999998</v>
      </c>
      <c r="BB125" s="10">
        <f t="shared" si="35"/>
        <v>396</v>
      </c>
    </row>
    <row r="126" spans="1:54" s="1" customFormat="1" x14ac:dyDescent="0.25">
      <c r="A126" s="9" t="str">
        <f t="shared" si="36"/>
        <v>33C</v>
      </c>
      <c r="B126" s="4">
        <v>33</v>
      </c>
      <c r="C126" s="4">
        <v>1</v>
      </c>
      <c r="D126" s="4" t="s">
        <v>67</v>
      </c>
      <c r="E126" s="4">
        <v>0</v>
      </c>
      <c r="F126" s="4">
        <v>1</v>
      </c>
      <c r="G126" s="4">
        <v>0</v>
      </c>
      <c r="H126" s="2" t="s">
        <v>361</v>
      </c>
      <c r="I126" s="2" t="s">
        <v>330</v>
      </c>
      <c r="J126" s="2" t="s">
        <v>203</v>
      </c>
      <c r="K126" s="4">
        <v>1</v>
      </c>
      <c r="L126" s="2" t="s">
        <v>360</v>
      </c>
      <c r="N126" s="4">
        <v>0</v>
      </c>
      <c r="O126" s="4">
        <v>2</v>
      </c>
      <c r="P126" s="20">
        <f t="shared" si="27"/>
        <v>0</v>
      </c>
      <c r="Q126" s="4">
        <v>2018</v>
      </c>
      <c r="R126" s="4" t="s">
        <v>96</v>
      </c>
      <c r="S126" s="4">
        <v>2016</v>
      </c>
      <c r="T126" s="4" t="s">
        <v>359</v>
      </c>
      <c r="U126" s="4">
        <v>4.2000000000000003E-2</v>
      </c>
      <c r="V126" s="4">
        <v>0.93600000000000005</v>
      </c>
      <c r="W126" s="11">
        <v>0.91700000000000004</v>
      </c>
      <c r="X126" s="11">
        <v>54663.998371919501</v>
      </c>
      <c r="Y126" s="4"/>
      <c r="Z126" s="4">
        <v>0</v>
      </c>
      <c r="AA126" s="4">
        <v>0</v>
      </c>
      <c r="AB126" s="4" t="s">
        <v>207</v>
      </c>
      <c r="AC126" s="17" t="s">
        <v>220</v>
      </c>
      <c r="AD126" s="20">
        <v>0.8</v>
      </c>
      <c r="AE126" s="20">
        <v>0.2</v>
      </c>
      <c r="AF126" s="10">
        <v>1</v>
      </c>
      <c r="AG126" s="4">
        <f t="shared" si="28"/>
        <v>1</v>
      </c>
      <c r="AH126" s="3">
        <f t="shared" si="29"/>
        <v>1</v>
      </c>
      <c r="AI126" s="4">
        <f t="shared" si="30"/>
        <v>1</v>
      </c>
      <c r="AJ126" s="4">
        <f t="shared" si="31"/>
        <v>1</v>
      </c>
      <c r="AK126" s="4">
        <f t="shared" si="32"/>
        <v>1</v>
      </c>
      <c r="AL126" s="4">
        <f t="shared" si="33"/>
        <v>1</v>
      </c>
      <c r="AM126" s="4">
        <f t="shared" si="34"/>
        <v>1</v>
      </c>
      <c r="AN126" s="4">
        <v>0</v>
      </c>
      <c r="AO126" s="4">
        <v>0</v>
      </c>
      <c r="AP126" s="4" t="s">
        <v>61</v>
      </c>
      <c r="AQ126" s="4" t="s">
        <v>97</v>
      </c>
      <c r="AR126" s="4">
        <v>1</v>
      </c>
      <c r="AS126" s="4" t="s">
        <v>220</v>
      </c>
      <c r="AT126" s="11">
        <f>(0.289+0.21)/2</f>
        <v>0.2495</v>
      </c>
      <c r="AU126" s="4">
        <f>38*2</f>
        <v>76</v>
      </c>
      <c r="AV126" s="11">
        <f>(0.365+0.096)/2</f>
        <v>0.23049999999999998</v>
      </c>
      <c r="AW126" s="4">
        <f>52*2</f>
        <v>104</v>
      </c>
      <c r="AX126" s="10">
        <f>AT126*AU126</f>
        <v>18.962</v>
      </c>
      <c r="AY126" s="10">
        <f t="shared" si="41"/>
        <v>57.037999999999997</v>
      </c>
      <c r="AZ126" s="10">
        <f>AV126*AW126</f>
        <v>23.971999999999998</v>
      </c>
      <c r="BA126" s="10">
        <f t="shared" si="42"/>
        <v>80.028000000000006</v>
      </c>
      <c r="BB126" s="10">
        <f t="shared" si="35"/>
        <v>180</v>
      </c>
    </row>
    <row r="127" spans="1:54" x14ac:dyDescent="0.25">
      <c r="A127" s="9" t="str">
        <f t="shared" si="36"/>
        <v>33D</v>
      </c>
      <c r="B127" s="4">
        <v>33</v>
      </c>
      <c r="C127" s="4">
        <v>1</v>
      </c>
      <c r="D127" s="4" t="s">
        <v>68</v>
      </c>
      <c r="E127" s="4">
        <v>0</v>
      </c>
      <c r="F127" s="4">
        <v>1</v>
      </c>
      <c r="G127" s="4">
        <v>0</v>
      </c>
      <c r="H127" s="2" t="s">
        <v>361</v>
      </c>
      <c r="I127" s="2" t="s">
        <v>330</v>
      </c>
      <c r="J127" s="2" t="s">
        <v>203</v>
      </c>
      <c r="K127" s="4">
        <v>1</v>
      </c>
      <c r="L127" s="2" t="s">
        <v>360</v>
      </c>
      <c r="M127" s="1"/>
      <c r="N127" s="4">
        <v>0</v>
      </c>
      <c r="O127" s="4">
        <v>2</v>
      </c>
      <c r="P127" s="20">
        <f t="shared" si="27"/>
        <v>0</v>
      </c>
      <c r="Q127" s="4">
        <v>2018</v>
      </c>
      <c r="R127" s="4" t="s">
        <v>96</v>
      </c>
      <c r="S127" s="4">
        <v>2016</v>
      </c>
      <c r="T127" s="4" t="s">
        <v>359</v>
      </c>
      <c r="U127" s="4">
        <v>4.2000000000000003E-2</v>
      </c>
      <c r="V127" s="4">
        <v>0.93600000000000005</v>
      </c>
      <c r="W127" s="11">
        <v>0.91700000000000004</v>
      </c>
      <c r="X127" s="11">
        <v>54663.998371919501</v>
      </c>
      <c r="Z127" s="4">
        <v>0</v>
      </c>
      <c r="AA127" s="4">
        <v>0</v>
      </c>
      <c r="AB127" s="4" t="s">
        <v>207</v>
      </c>
      <c r="AC127" s="17" t="s">
        <v>219</v>
      </c>
      <c r="AD127" s="20">
        <v>0.2</v>
      </c>
      <c r="AE127" s="20">
        <v>0.8</v>
      </c>
      <c r="AF127" s="10">
        <v>0</v>
      </c>
      <c r="AG127" s="4">
        <f t="shared" si="28"/>
        <v>0</v>
      </c>
      <c r="AH127" s="3">
        <f t="shared" si="29"/>
        <v>0</v>
      </c>
      <c r="AI127" s="4">
        <f t="shared" si="30"/>
        <v>0</v>
      </c>
      <c r="AJ127" s="4">
        <f t="shared" si="31"/>
        <v>0</v>
      </c>
      <c r="AK127" s="4">
        <f t="shared" si="32"/>
        <v>0</v>
      </c>
      <c r="AL127" s="4">
        <f t="shared" si="33"/>
        <v>0</v>
      </c>
      <c r="AM127" s="4">
        <f t="shared" si="34"/>
        <v>0</v>
      </c>
      <c r="AN127" s="4">
        <v>0</v>
      </c>
      <c r="AO127" s="4">
        <v>0</v>
      </c>
      <c r="AP127" s="4" t="s">
        <v>61</v>
      </c>
      <c r="AQ127" s="4" t="s">
        <v>97</v>
      </c>
      <c r="AR127" s="4">
        <v>1</v>
      </c>
      <c r="AS127" s="4" t="s">
        <v>219</v>
      </c>
      <c r="AT127" s="11">
        <f>(0.345+0.291)/2</f>
        <v>0.31799999999999995</v>
      </c>
      <c r="AU127" s="4">
        <f>55*2</f>
        <v>110</v>
      </c>
      <c r="AV127" s="11">
        <f>(0.333+0.192)/2</f>
        <v>0.26250000000000001</v>
      </c>
      <c r="AW127" s="4">
        <f>57*2</f>
        <v>114</v>
      </c>
      <c r="AX127" s="10">
        <f>AT127*AU127</f>
        <v>34.979999999999997</v>
      </c>
      <c r="AY127" s="10">
        <f t="shared" si="41"/>
        <v>75.02000000000001</v>
      </c>
      <c r="AZ127" s="10">
        <f>AV127*AW127</f>
        <v>29.925000000000001</v>
      </c>
      <c r="BA127" s="10">
        <f t="shared" si="42"/>
        <v>84.075000000000003</v>
      </c>
      <c r="BB127" s="10">
        <f t="shared" si="35"/>
        <v>224</v>
      </c>
    </row>
    <row r="128" spans="1:54" x14ac:dyDescent="0.25">
      <c r="A128" s="9" t="str">
        <f t="shared" si="36"/>
        <v>34A</v>
      </c>
      <c r="B128" s="3">
        <v>34</v>
      </c>
      <c r="C128" s="3">
        <v>1</v>
      </c>
      <c r="D128" s="3" t="s">
        <v>65</v>
      </c>
      <c r="E128" s="3">
        <v>1</v>
      </c>
      <c r="F128" s="3">
        <v>1</v>
      </c>
      <c r="G128" s="3">
        <v>0</v>
      </c>
      <c r="H128" s="1" t="s">
        <v>12</v>
      </c>
      <c r="I128" s="1" t="s">
        <v>13</v>
      </c>
      <c r="J128" s="1" t="s">
        <v>203</v>
      </c>
      <c r="K128" s="3">
        <v>1</v>
      </c>
      <c r="L128" s="1" t="s">
        <v>105</v>
      </c>
      <c r="M128" s="1" t="s">
        <v>557</v>
      </c>
      <c r="N128" s="3">
        <v>1</v>
      </c>
      <c r="O128" s="3">
        <v>2</v>
      </c>
      <c r="P128" s="19">
        <f t="shared" si="27"/>
        <v>0.33333333333333331</v>
      </c>
      <c r="Q128" s="3">
        <v>2018</v>
      </c>
      <c r="R128" s="3" t="s">
        <v>107</v>
      </c>
      <c r="S128" s="3">
        <v>2009</v>
      </c>
      <c r="T128" s="3" t="s">
        <v>106</v>
      </c>
      <c r="U128" s="3">
        <v>0.40600000000000003</v>
      </c>
      <c r="V128" s="3">
        <v>0.75900000000000001</v>
      </c>
      <c r="W128" s="3">
        <v>0.77500000000000002</v>
      </c>
      <c r="X128" s="3">
        <v>2822.6674302335173</v>
      </c>
      <c r="Y128" s="3">
        <v>0.14299999999999999</v>
      </c>
      <c r="Z128" s="3">
        <v>1</v>
      </c>
      <c r="AA128" s="3">
        <v>0</v>
      </c>
      <c r="AB128" s="3" t="s">
        <v>207</v>
      </c>
      <c r="AC128" s="7" t="s">
        <v>61</v>
      </c>
      <c r="AD128" s="19">
        <v>0.55400000000000005</v>
      </c>
      <c r="AE128" s="19">
        <v>0.44599999999999995</v>
      </c>
      <c r="AF128" s="10">
        <v>2</v>
      </c>
      <c r="AG128" s="4">
        <f t="shared" si="28"/>
        <v>1</v>
      </c>
      <c r="AH128" s="3">
        <f t="shared" si="29"/>
        <v>2</v>
      </c>
      <c r="AI128" s="4">
        <f t="shared" si="30"/>
        <v>1</v>
      </c>
      <c r="AJ128" s="4">
        <f t="shared" si="31"/>
        <v>2</v>
      </c>
      <c r="AK128" s="4">
        <f t="shared" si="32"/>
        <v>1</v>
      </c>
      <c r="AL128" s="4">
        <f t="shared" si="33"/>
        <v>2</v>
      </c>
      <c r="AM128" s="4">
        <f t="shared" si="34"/>
        <v>1</v>
      </c>
      <c r="AN128" s="4">
        <v>0</v>
      </c>
      <c r="AO128" s="4">
        <v>0</v>
      </c>
      <c r="AP128" s="3" t="s">
        <v>61</v>
      </c>
      <c r="AQ128" s="3" t="s">
        <v>97</v>
      </c>
      <c r="AR128" s="3">
        <v>1</v>
      </c>
      <c r="AS128" s="14" t="s">
        <v>62</v>
      </c>
      <c r="AT128" s="16">
        <f>(0.1364+0.0764)/2</f>
        <v>0.10639999999999999</v>
      </c>
      <c r="AU128" s="3">
        <f>550+550</f>
        <v>1100</v>
      </c>
      <c r="AV128" s="16">
        <f>(0.1309+0.0491)/2</f>
        <v>0.09</v>
      </c>
      <c r="AW128" s="3">
        <f>550+550</f>
        <v>1100</v>
      </c>
      <c r="AX128" s="8">
        <f>AT128*AU128</f>
        <v>117.03999999999999</v>
      </c>
      <c r="AY128" s="8">
        <f t="shared" si="41"/>
        <v>982.96</v>
      </c>
      <c r="AZ128" s="8">
        <f>AV128*AW128</f>
        <v>99</v>
      </c>
      <c r="BA128" s="8">
        <f t="shared" si="42"/>
        <v>1001</v>
      </c>
      <c r="BB128" s="8">
        <f t="shared" si="35"/>
        <v>2200</v>
      </c>
    </row>
    <row r="129" spans="1:54" x14ac:dyDescent="0.25">
      <c r="A129" s="9" t="str">
        <f t="shared" si="36"/>
        <v>35A</v>
      </c>
      <c r="B129" s="3">
        <v>35</v>
      </c>
      <c r="C129" s="3">
        <v>1</v>
      </c>
      <c r="D129" s="3" t="s">
        <v>65</v>
      </c>
      <c r="E129" s="3">
        <v>1</v>
      </c>
      <c r="F129" s="3">
        <v>1</v>
      </c>
      <c r="G129" s="3">
        <v>0</v>
      </c>
      <c r="H129" s="1" t="s">
        <v>362</v>
      </c>
      <c r="I129" s="1" t="s">
        <v>363</v>
      </c>
      <c r="J129" s="1" t="s">
        <v>203</v>
      </c>
      <c r="K129" s="3">
        <v>1</v>
      </c>
      <c r="L129" s="1" t="s">
        <v>113</v>
      </c>
      <c r="M129" s="1" t="s">
        <v>473</v>
      </c>
      <c r="N129" s="3">
        <v>1</v>
      </c>
      <c r="O129" s="3">
        <v>3</v>
      </c>
      <c r="P129" s="19">
        <f t="shared" si="27"/>
        <v>0.25</v>
      </c>
      <c r="Q129" s="3">
        <v>2019</v>
      </c>
      <c r="R129" s="3">
        <v>2016</v>
      </c>
      <c r="S129" s="3">
        <v>2016</v>
      </c>
      <c r="T129" s="3" t="s">
        <v>101</v>
      </c>
      <c r="U129" s="3">
        <v>0.23599999999999999</v>
      </c>
      <c r="V129" s="14">
        <v>0.92</v>
      </c>
      <c r="W129" s="3">
        <v>0.89600000000000002</v>
      </c>
      <c r="X129" s="3">
        <v>57866.744934109141</v>
      </c>
      <c r="Y129" s="3">
        <v>0</v>
      </c>
      <c r="Z129" s="3">
        <v>1</v>
      </c>
      <c r="AA129" s="3">
        <v>0</v>
      </c>
      <c r="AB129" s="3" t="s">
        <v>207</v>
      </c>
      <c r="AC129" s="7" t="s">
        <v>700</v>
      </c>
      <c r="AD129" s="19">
        <v>0.51600000000000001</v>
      </c>
      <c r="AE129" s="19">
        <v>0.48399999999999999</v>
      </c>
      <c r="AF129" s="10">
        <v>2</v>
      </c>
      <c r="AG129" s="3">
        <f t="shared" si="28"/>
        <v>1</v>
      </c>
      <c r="AH129" s="3">
        <f t="shared" si="29"/>
        <v>2</v>
      </c>
      <c r="AI129" s="4">
        <f t="shared" si="30"/>
        <v>1</v>
      </c>
      <c r="AJ129" s="4">
        <f t="shared" si="31"/>
        <v>2</v>
      </c>
      <c r="AK129" s="4">
        <f t="shared" si="32"/>
        <v>1</v>
      </c>
      <c r="AL129" s="4">
        <f t="shared" si="33"/>
        <v>2</v>
      </c>
      <c r="AM129" s="4">
        <f t="shared" si="34"/>
        <v>1</v>
      </c>
      <c r="AN129" s="4">
        <v>0</v>
      </c>
      <c r="AO129" s="4">
        <v>0</v>
      </c>
      <c r="AP129" s="3" t="s">
        <v>61</v>
      </c>
      <c r="AQ129" s="3" t="s">
        <v>97</v>
      </c>
      <c r="AR129" s="3">
        <v>1</v>
      </c>
      <c r="AS129" s="14" t="s">
        <v>62</v>
      </c>
      <c r="AT129" s="16">
        <f>(0.2551+0.1745)/2</f>
        <v>0.21479999999999999</v>
      </c>
      <c r="AU129" s="3">
        <v>7184</v>
      </c>
      <c r="AV129" s="16">
        <f>(0.2308+0.1697)/2</f>
        <v>0.20024999999999998</v>
      </c>
      <c r="AW129" s="3">
        <v>7184</v>
      </c>
      <c r="AX129" s="8">
        <f>AT129*AU129</f>
        <v>1543.1232</v>
      </c>
      <c r="AY129" s="8">
        <f t="shared" si="41"/>
        <v>5640.8768</v>
      </c>
      <c r="AZ129" s="8">
        <f>AV129*AW129</f>
        <v>1438.5959999999998</v>
      </c>
      <c r="BA129" s="8">
        <f t="shared" si="42"/>
        <v>5745.4040000000005</v>
      </c>
      <c r="BB129" s="8">
        <f t="shared" si="35"/>
        <v>14368</v>
      </c>
    </row>
    <row r="130" spans="1:54" x14ac:dyDescent="0.25">
      <c r="A130" s="9" t="str">
        <f t="shared" si="36"/>
        <v>36A</v>
      </c>
      <c r="B130" s="3">
        <v>36</v>
      </c>
      <c r="C130" s="3">
        <v>1</v>
      </c>
      <c r="D130" s="3" t="s">
        <v>65</v>
      </c>
      <c r="E130" s="3">
        <v>1</v>
      </c>
      <c r="F130" s="3">
        <v>1</v>
      </c>
      <c r="G130" s="3">
        <v>0</v>
      </c>
      <c r="H130" s="1" t="s">
        <v>367</v>
      </c>
      <c r="I130" s="1" t="s">
        <v>364</v>
      </c>
      <c r="J130" s="1" t="s">
        <v>222</v>
      </c>
      <c r="K130" s="3">
        <v>0</v>
      </c>
      <c r="L130" s="1" t="s">
        <v>366</v>
      </c>
      <c r="M130" s="1" t="s">
        <v>558</v>
      </c>
      <c r="N130" s="3">
        <v>1</v>
      </c>
      <c r="O130" s="3">
        <v>0</v>
      </c>
      <c r="P130" s="19">
        <f t="shared" ref="P130:P193" si="43">N130/SUM(N130:O130)</f>
        <v>1</v>
      </c>
      <c r="Q130" s="3">
        <v>2016</v>
      </c>
      <c r="R130" s="3">
        <v>2011</v>
      </c>
      <c r="S130" s="3">
        <v>2011</v>
      </c>
      <c r="T130" s="3" t="s">
        <v>129</v>
      </c>
      <c r="U130" s="3">
        <v>0.105</v>
      </c>
      <c r="V130" s="3">
        <v>0.877</v>
      </c>
      <c r="W130" s="3">
        <v>0.78700000000000003</v>
      </c>
      <c r="X130" s="3">
        <v>43846.46607647981</v>
      </c>
      <c r="Y130" s="3">
        <v>7.9000000000000001E-2</v>
      </c>
      <c r="Z130" s="3">
        <v>1</v>
      </c>
      <c r="AA130" s="3">
        <v>0</v>
      </c>
      <c r="AB130" s="3" t="s">
        <v>207</v>
      </c>
      <c r="AC130" s="7" t="s">
        <v>365</v>
      </c>
      <c r="AD130" s="19">
        <v>0.2820976021833777</v>
      </c>
      <c r="AE130" s="19">
        <v>0.71790239781662235</v>
      </c>
      <c r="AF130" s="10">
        <v>0</v>
      </c>
      <c r="AG130" s="4">
        <f t="shared" ref="AG130:AG193" si="44">IF(AF130=0,0,1)</f>
        <v>0</v>
      </c>
      <c r="AH130" s="3">
        <f t="shared" ref="AH130:AH193" si="45">IF(ISBLANK(AE130),2,IF(AE130&gt;0.6,0,IF(AE130&lt;0.4,1,2)))</f>
        <v>0</v>
      </c>
      <c r="AI130" s="4">
        <f t="shared" ref="AI130:AI193" si="46">IF(AH130=0,0,1)</f>
        <v>0</v>
      </c>
      <c r="AJ130" s="4">
        <f t="shared" ref="AJ130:AJ193" si="47">IF(ISBLANK(AE130),2,IF(AE130&gt;0.65,0,IF(AE130&lt;0.35,1,2)))</f>
        <v>0</v>
      </c>
      <c r="AK130" s="4">
        <f t="shared" ref="AK130:AK193" si="48">IF(AJ130=0,0,1)</f>
        <v>0</v>
      </c>
      <c r="AL130" s="4">
        <f t="shared" ref="AL130:AL193" si="49">IF(ISBLANK(AE130),2,IF(AE130&gt;0.7,0,IF(AE130&lt;0.3,1,2)))</f>
        <v>0</v>
      </c>
      <c r="AM130" s="4">
        <f t="shared" ref="AM130:AM193" si="50">IF(AL130=0,0,1)</f>
        <v>0</v>
      </c>
      <c r="AN130" s="4">
        <v>0</v>
      </c>
      <c r="AO130" s="4">
        <v>0</v>
      </c>
      <c r="AP130" s="3" t="s">
        <v>233</v>
      </c>
      <c r="AQ130" s="3" t="s">
        <v>97</v>
      </c>
      <c r="AR130" s="3">
        <v>1</v>
      </c>
      <c r="AS130" s="14" t="s">
        <v>62</v>
      </c>
      <c r="AT130" s="16">
        <v>8.7999999999999995E-2</v>
      </c>
      <c r="AU130" s="3">
        <f>1250*2</f>
        <v>2500</v>
      </c>
      <c r="AV130" s="16">
        <v>6.8400000000000002E-2</v>
      </c>
      <c r="AW130" s="3">
        <f>1250*2</f>
        <v>2500</v>
      </c>
      <c r="AX130" s="8">
        <v>220</v>
      </c>
      <c r="AY130" s="8">
        <f t="shared" si="41"/>
        <v>2280</v>
      </c>
      <c r="AZ130" s="8">
        <v>171</v>
      </c>
      <c r="BA130" s="8">
        <f t="shared" si="42"/>
        <v>2329</v>
      </c>
      <c r="BB130" s="8">
        <f t="shared" ref="BB130:BB193" si="51">SUM(AX130:BA130)</f>
        <v>5000</v>
      </c>
    </row>
    <row r="131" spans="1:54" s="1" customFormat="1" x14ac:dyDescent="0.25">
      <c r="A131" s="9" t="str">
        <f t="shared" si="36"/>
        <v>37A</v>
      </c>
      <c r="B131" s="3">
        <v>37</v>
      </c>
      <c r="C131" s="3">
        <v>1</v>
      </c>
      <c r="D131" s="3" t="s">
        <v>65</v>
      </c>
      <c r="E131" s="3">
        <v>1</v>
      </c>
      <c r="F131" s="3">
        <v>0</v>
      </c>
      <c r="G131" s="3">
        <v>0</v>
      </c>
      <c r="H131" s="1" t="s">
        <v>605</v>
      </c>
      <c r="I131" s="1" t="s">
        <v>368</v>
      </c>
      <c r="J131" s="1" t="s">
        <v>203</v>
      </c>
      <c r="K131" s="3">
        <v>1</v>
      </c>
      <c r="L131" s="1" t="s">
        <v>369</v>
      </c>
      <c r="M131" s="1" t="s">
        <v>560</v>
      </c>
      <c r="N131" s="3">
        <v>0</v>
      </c>
      <c r="O131" s="3">
        <v>5</v>
      </c>
      <c r="P131" s="19">
        <f t="shared" si="43"/>
        <v>0</v>
      </c>
      <c r="Q131" s="3">
        <v>2014</v>
      </c>
      <c r="R131" s="3">
        <v>2007</v>
      </c>
      <c r="S131" s="3">
        <v>2007</v>
      </c>
      <c r="T131" s="3" t="s">
        <v>51</v>
      </c>
      <c r="U131" s="3">
        <v>5.1999999999999998E-2</v>
      </c>
      <c r="V131" s="3">
        <v>0.91</v>
      </c>
      <c r="W131" s="3">
        <v>0.85399999999999998</v>
      </c>
      <c r="X131" s="3">
        <v>53700.005336306276</v>
      </c>
      <c r="Y131" s="3">
        <v>0.115</v>
      </c>
      <c r="Z131" s="3">
        <v>0</v>
      </c>
      <c r="AA131" s="3">
        <v>0</v>
      </c>
      <c r="AB131" s="3" t="s">
        <v>207</v>
      </c>
      <c r="AC131" s="7" t="s">
        <v>61</v>
      </c>
      <c r="AD131" s="3"/>
      <c r="AE131" s="3"/>
      <c r="AF131" s="10">
        <v>2</v>
      </c>
      <c r="AG131" s="3">
        <f t="shared" si="44"/>
        <v>1</v>
      </c>
      <c r="AH131" s="3">
        <f t="shared" si="45"/>
        <v>2</v>
      </c>
      <c r="AI131" s="4">
        <f t="shared" si="46"/>
        <v>1</v>
      </c>
      <c r="AJ131" s="4">
        <f t="shared" si="47"/>
        <v>2</v>
      </c>
      <c r="AK131" s="4">
        <f t="shared" si="48"/>
        <v>1</v>
      </c>
      <c r="AL131" s="4">
        <f t="shared" si="49"/>
        <v>2</v>
      </c>
      <c r="AM131" s="4">
        <f t="shared" si="50"/>
        <v>1</v>
      </c>
      <c r="AN131" s="4">
        <v>0</v>
      </c>
      <c r="AO131" s="4">
        <v>0</v>
      </c>
      <c r="AP131" s="3" t="s">
        <v>61</v>
      </c>
      <c r="AQ131" s="3" t="s">
        <v>63</v>
      </c>
      <c r="AR131" s="3">
        <v>1</v>
      </c>
      <c r="AS131" s="14" t="s">
        <v>62</v>
      </c>
      <c r="AT131" s="16">
        <v>0.28999999999999998</v>
      </c>
      <c r="AU131" s="3">
        <f>5662/2</f>
        <v>2831</v>
      </c>
      <c r="AV131" s="16">
        <v>0.27</v>
      </c>
      <c r="AW131" s="3">
        <f>5662/2</f>
        <v>2831</v>
      </c>
      <c r="AX131" s="8">
        <f>AT131*AU131</f>
        <v>820.9899999999999</v>
      </c>
      <c r="AY131" s="8">
        <f t="shared" si="41"/>
        <v>2010.0100000000002</v>
      </c>
      <c r="AZ131" s="8">
        <f>AV131*AW131</f>
        <v>764.37</v>
      </c>
      <c r="BA131" s="8">
        <f t="shared" si="42"/>
        <v>2066.63</v>
      </c>
      <c r="BB131" s="8">
        <f t="shared" si="51"/>
        <v>5662</v>
      </c>
    </row>
    <row r="132" spans="1:54" s="1" customFormat="1" x14ac:dyDescent="0.25">
      <c r="A132" s="9" t="str">
        <f t="shared" si="36"/>
        <v>37B</v>
      </c>
      <c r="B132" s="4">
        <v>37</v>
      </c>
      <c r="C132" s="4">
        <v>1</v>
      </c>
      <c r="D132" s="4" t="s">
        <v>66</v>
      </c>
      <c r="E132" s="4">
        <v>0</v>
      </c>
      <c r="F132" s="4">
        <v>1</v>
      </c>
      <c r="G132" s="4">
        <v>0</v>
      </c>
      <c r="H132" s="2" t="s">
        <v>605</v>
      </c>
      <c r="I132" s="2" t="s">
        <v>368</v>
      </c>
      <c r="J132" s="2" t="s">
        <v>203</v>
      </c>
      <c r="K132" s="4">
        <v>2</v>
      </c>
      <c r="L132" s="2" t="s">
        <v>369</v>
      </c>
      <c r="M132" s="2" t="s">
        <v>560</v>
      </c>
      <c r="N132" s="4">
        <v>0</v>
      </c>
      <c r="O132" s="4">
        <v>5</v>
      </c>
      <c r="P132" s="20">
        <f t="shared" si="43"/>
        <v>0</v>
      </c>
      <c r="Q132" s="4">
        <v>2014</v>
      </c>
      <c r="R132" s="4">
        <v>2007</v>
      </c>
      <c r="S132" s="4">
        <v>2007</v>
      </c>
      <c r="T132" s="4" t="s">
        <v>51</v>
      </c>
      <c r="U132" s="4">
        <v>5.1999999999999998E-2</v>
      </c>
      <c r="V132" s="4">
        <v>0.91</v>
      </c>
      <c r="W132" s="4">
        <v>0.85399999999999998</v>
      </c>
      <c r="X132" s="4">
        <v>53700.005336306276</v>
      </c>
      <c r="Y132" s="4">
        <v>0.115</v>
      </c>
      <c r="Z132" s="4">
        <v>0</v>
      </c>
      <c r="AA132" s="4">
        <v>0</v>
      </c>
      <c r="AB132" s="4" t="s">
        <v>207</v>
      </c>
      <c r="AC132" s="17" t="s">
        <v>701</v>
      </c>
      <c r="AD132" s="20">
        <v>0.25574999999999998</v>
      </c>
      <c r="AE132" s="20">
        <v>0.74425000000000008</v>
      </c>
      <c r="AF132" s="10">
        <v>0</v>
      </c>
      <c r="AG132" s="4">
        <f t="shared" si="44"/>
        <v>0</v>
      </c>
      <c r="AH132" s="3">
        <f t="shared" si="45"/>
        <v>0</v>
      </c>
      <c r="AI132" s="4">
        <f t="shared" si="46"/>
        <v>0</v>
      </c>
      <c r="AJ132" s="4">
        <f t="shared" si="47"/>
        <v>0</v>
      </c>
      <c r="AK132" s="4">
        <f t="shared" si="48"/>
        <v>0</v>
      </c>
      <c r="AL132" s="4">
        <f t="shared" si="49"/>
        <v>0</v>
      </c>
      <c r="AM132" s="4">
        <f t="shared" si="50"/>
        <v>0</v>
      </c>
      <c r="AN132" s="4">
        <v>0</v>
      </c>
      <c r="AO132" s="4">
        <v>0</v>
      </c>
      <c r="AP132" s="4" t="s">
        <v>61</v>
      </c>
      <c r="AQ132" s="4" t="s">
        <v>63</v>
      </c>
      <c r="AR132" s="4">
        <v>1</v>
      </c>
      <c r="AS132" s="17" t="s">
        <v>701</v>
      </c>
      <c r="AT132" s="11">
        <f>(0.21+0.24+0.24+0.27)/4</f>
        <v>0.24</v>
      </c>
      <c r="AU132" s="10">
        <f>2664/2</f>
        <v>1332</v>
      </c>
      <c r="AV132" s="11">
        <f>(0.21+0.2+0.23+0.21)/4</f>
        <v>0.21249999999999999</v>
      </c>
      <c r="AW132" s="10">
        <f>2664/2</f>
        <v>1332</v>
      </c>
      <c r="AX132" s="10">
        <f>AT132*AU132</f>
        <v>319.68</v>
      </c>
      <c r="AY132" s="10">
        <f t="shared" si="41"/>
        <v>1012.3199999999999</v>
      </c>
      <c r="AZ132" s="10">
        <f>AV132*AW132</f>
        <v>283.05</v>
      </c>
      <c r="BA132" s="10">
        <f t="shared" si="42"/>
        <v>1048.95</v>
      </c>
      <c r="BB132" s="10">
        <f t="shared" si="51"/>
        <v>2664</v>
      </c>
    </row>
    <row r="133" spans="1:54" x14ac:dyDescent="0.25">
      <c r="A133" s="9" t="str">
        <f t="shared" si="36"/>
        <v>37C</v>
      </c>
      <c r="B133" s="4">
        <v>37</v>
      </c>
      <c r="C133" s="4">
        <v>1</v>
      </c>
      <c r="D133" s="4" t="s">
        <v>67</v>
      </c>
      <c r="E133" s="4">
        <v>0</v>
      </c>
      <c r="F133" s="4">
        <v>1</v>
      </c>
      <c r="G133" s="4">
        <v>0</v>
      </c>
      <c r="H133" s="2" t="s">
        <v>605</v>
      </c>
      <c r="I133" s="2" t="s">
        <v>368</v>
      </c>
      <c r="J133" s="2" t="s">
        <v>203</v>
      </c>
      <c r="K133" s="4">
        <v>3</v>
      </c>
      <c r="L133" s="2" t="s">
        <v>369</v>
      </c>
      <c r="M133" s="2" t="s">
        <v>560</v>
      </c>
      <c r="N133" s="4">
        <v>0</v>
      </c>
      <c r="O133" s="4">
        <v>5</v>
      </c>
      <c r="P133" s="20">
        <f t="shared" si="43"/>
        <v>0</v>
      </c>
      <c r="Q133" s="4">
        <v>2014</v>
      </c>
      <c r="R133" s="4">
        <v>2007</v>
      </c>
      <c r="S133" s="4">
        <v>2007</v>
      </c>
      <c r="T133" s="4" t="s">
        <v>51</v>
      </c>
      <c r="U133" s="4">
        <v>5.1999999999999998E-2</v>
      </c>
      <c r="V133" s="4">
        <v>0.91</v>
      </c>
      <c r="W133" s="4">
        <v>0.85399999999999998</v>
      </c>
      <c r="X133" s="4">
        <v>53700.005336306276</v>
      </c>
      <c r="Y133" s="4">
        <v>0.115</v>
      </c>
      <c r="Z133" s="4">
        <v>0</v>
      </c>
      <c r="AA133" s="4">
        <v>0</v>
      </c>
      <c r="AB133" s="4" t="s">
        <v>207</v>
      </c>
      <c r="AC133" s="17" t="s">
        <v>702</v>
      </c>
      <c r="AD133" s="20">
        <v>0.46500000000000002</v>
      </c>
      <c r="AE133" s="20">
        <v>0.53499999999999992</v>
      </c>
      <c r="AF133" s="10">
        <v>2</v>
      </c>
      <c r="AG133" s="4">
        <f t="shared" si="44"/>
        <v>1</v>
      </c>
      <c r="AH133" s="3">
        <f t="shared" si="45"/>
        <v>2</v>
      </c>
      <c r="AI133" s="4">
        <f t="shared" si="46"/>
        <v>1</v>
      </c>
      <c r="AJ133" s="4">
        <f t="shared" si="47"/>
        <v>2</v>
      </c>
      <c r="AK133" s="4">
        <f t="shared" si="48"/>
        <v>1</v>
      </c>
      <c r="AL133" s="4">
        <f t="shared" si="49"/>
        <v>2</v>
      </c>
      <c r="AM133" s="4">
        <f t="shared" si="50"/>
        <v>1</v>
      </c>
      <c r="AN133" s="4">
        <v>0</v>
      </c>
      <c r="AO133" s="4">
        <v>1</v>
      </c>
      <c r="AP133" s="4" t="s">
        <v>61</v>
      </c>
      <c r="AQ133" s="4" t="s">
        <v>63</v>
      </c>
      <c r="AR133" s="4">
        <v>1</v>
      </c>
      <c r="AS133" s="17" t="s">
        <v>702</v>
      </c>
      <c r="AT133" s="11">
        <f>(0.29+0.26+0.4+0.24)/4</f>
        <v>0.29749999999999999</v>
      </c>
      <c r="AU133" s="10">
        <f>299/2</f>
        <v>149.5</v>
      </c>
      <c r="AV133" s="11">
        <f>(0.29+0.37+0.32+0.4)/4</f>
        <v>0.34499999999999997</v>
      </c>
      <c r="AW133" s="10">
        <f>299/2</f>
        <v>149.5</v>
      </c>
      <c r="AX133" s="10">
        <f>AT133*AU133</f>
        <v>44.47625</v>
      </c>
      <c r="AY133" s="10">
        <f t="shared" si="41"/>
        <v>105.02375000000001</v>
      </c>
      <c r="AZ133" s="10">
        <f>AV133*AW133</f>
        <v>51.577499999999993</v>
      </c>
      <c r="BA133" s="10">
        <f t="shared" si="42"/>
        <v>97.922500000000014</v>
      </c>
      <c r="BB133" s="10">
        <f t="shared" si="51"/>
        <v>299</v>
      </c>
    </row>
    <row r="134" spans="1:54" x14ac:dyDescent="0.25">
      <c r="A134" s="9" t="str">
        <f t="shared" si="36"/>
        <v>37D</v>
      </c>
      <c r="B134" s="4">
        <v>37</v>
      </c>
      <c r="C134" s="4">
        <v>1</v>
      </c>
      <c r="D134" s="4" t="s">
        <v>68</v>
      </c>
      <c r="E134" s="4">
        <v>0</v>
      </c>
      <c r="F134" s="4">
        <v>1</v>
      </c>
      <c r="G134" s="4">
        <v>0</v>
      </c>
      <c r="H134" s="2" t="s">
        <v>605</v>
      </c>
      <c r="I134" s="2" t="s">
        <v>368</v>
      </c>
      <c r="J134" s="2" t="s">
        <v>203</v>
      </c>
      <c r="K134" s="4">
        <v>4</v>
      </c>
      <c r="L134" s="2" t="s">
        <v>369</v>
      </c>
      <c r="M134" s="2" t="s">
        <v>560</v>
      </c>
      <c r="N134" s="4">
        <v>0</v>
      </c>
      <c r="O134" s="4">
        <v>5</v>
      </c>
      <c r="P134" s="20">
        <f t="shared" si="43"/>
        <v>0</v>
      </c>
      <c r="Q134" s="4">
        <v>2014</v>
      </c>
      <c r="R134" s="4">
        <v>2007</v>
      </c>
      <c r="S134" s="4">
        <v>2007</v>
      </c>
      <c r="T134" s="4" t="s">
        <v>51</v>
      </c>
      <c r="U134" s="4">
        <v>5.1999999999999998E-2</v>
      </c>
      <c r="V134" s="4">
        <v>0.91</v>
      </c>
      <c r="W134" s="4">
        <v>0.85399999999999998</v>
      </c>
      <c r="X134" s="4">
        <v>53700.005336306276</v>
      </c>
      <c r="Y134" s="4">
        <v>0.115</v>
      </c>
      <c r="Z134" s="4">
        <v>0</v>
      </c>
      <c r="AA134" s="4">
        <v>0</v>
      </c>
      <c r="AB134" s="4" t="s">
        <v>207</v>
      </c>
      <c r="AC134" s="17" t="s">
        <v>703</v>
      </c>
      <c r="AD134" s="20">
        <v>0.82125000000000004</v>
      </c>
      <c r="AE134" s="20">
        <v>0.17874999999999996</v>
      </c>
      <c r="AF134" s="10">
        <v>1</v>
      </c>
      <c r="AG134" s="4">
        <f t="shared" si="44"/>
        <v>1</v>
      </c>
      <c r="AH134" s="3">
        <f t="shared" si="45"/>
        <v>1</v>
      </c>
      <c r="AI134" s="4">
        <f t="shared" si="46"/>
        <v>1</v>
      </c>
      <c r="AJ134" s="4">
        <f t="shared" si="47"/>
        <v>1</v>
      </c>
      <c r="AK134" s="4">
        <f t="shared" si="48"/>
        <v>1</v>
      </c>
      <c r="AL134" s="4">
        <f t="shared" si="49"/>
        <v>1</v>
      </c>
      <c r="AM134" s="4">
        <f t="shared" si="50"/>
        <v>1</v>
      </c>
      <c r="AN134" s="4">
        <v>0</v>
      </c>
      <c r="AO134" s="4">
        <v>0</v>
      </c>
      <c r="AP134" s="4" t="s">
        <v>61</v>
      </c>
      <c r="AQ134" s="4" t="s">
        <v>63</v>
      </c>
      <c r="AR134" s="4">
        <v>1</v>
      </c>
      <c r="AS134" s="17" t="s">
        <v>703</v>
      </c>
      <c r="AT134" s="11">
        <f>(0.35+0.35+0.33+0.34)/4</f>
        <v>0.34250000000000003</v>
      </c>
      <c r="AU134" s="10">
        <f>2699/2</f>
        <v>1349.5</v>
      </c>
      <c r="AV134" s="11">
        <f>(0.24+0.36+0.31+0.35)/4</f>
        <v>0.31499999999999995</v>
      </c>
      <c r="AW134" s="10">
        <f>2699/2</f>
        <v>1349.5</v>
      </c>
      <c r="AX134" s="10">
        <f>AT134*AU134</f>
        <v>462.20375000000001</v>
      </c>
      <c r="AY134" s="10">
        <f t="shared" si="41"/>
        <v>887.29624999999999</v>
      </c>
      <c r="AZ134" s="10">
        <f>AV134*AW134</f>
        <v>425.09249999999992</v>
      </c>
      <c r="BA134" s="10">
        <f t="shared" si="42"/>
        <v>924.40750000000003</v>
      </c>
      <c r="BB134" s="10">
        <f t="shared" si="51"/>
        <v>2699</v>
      </c>
    </row>
    <row r="135" spans="1:54" s="1" customFormat="1" x14ac:dyDescent="0.25">
      <c r="A135" s="9" t="str">
        <f t="shared" si="36"/>
        <v>38A</v>
      </c>
      <c r="B135" s="3">
        <v>38</v>
      </c>
      <c r="C135" s="3">
        <v>1</v>
      </c>
      <c r="D135" s="3" t="s">
        <v>65</v>
      </c>
      <c r="E135" s="3">
        <v>1</v>
      </c>
      <c r="F135" s="3">
        <v>1</v>
      </c>
      <c r="G135" s="3">
        <v>0</v>
      </c>
      <c r="H135" s="1" t="s">
        <v>374</v>
      </c>
      <c r="I135" s="1" t="s">
        <v>330</v>
      </c>
      <c r="J135" s="1" t="s">
        <v>203</v>
      </c>
      <c r="K135" s="3">
        <v>1</v>
      </c>
      <c r="L135" s="1" t="s">
        <v>373</v>
      </c>
      <c r="M135" s="1" t="s">
        <v>559</v>
      </c>
      <c r="N135" s="3">
        <v>1</v>
      </c>
      <c r="O135" s="3">
        <v>0</v>
      </c>
      <c r="P135" s="19">
        <f t="shared" si="43"/>
        <v>1</v>
      </c>
      <c r="Q135" s="3">
        <v>2020</v>
      </c>
      <c r="R135" s="3" t="s">
        <v>370</v>
      </c>
      <c r="S135" s="3">
        <v>2016</v>
      </c>
      <c r="T135" s="3" t="s">
        <v>371</v>
      </c>
      <c r="U135" s="3">
        <v>7.5999999999999998E-2</v>
      </c>
      <c r="V135" s="3">
        <v>0.93799999999999994</v>
      </c>
      <c r="W135" s="3">
        <v>0.93700000000000006</v>
      </c>
      <c r="X135" s="3">
        <v>42136.120790799105</v>
      </c>
      <c r="Y135" s="3">
        <v>0.08</v>
      </c>
      <c r="Z135" s="3">
        <v>0</v>
      </c>
      <c r="AA135" s="3">
        <v>0</v>
      </c>
      <c r="AB135" s="3" t="s">
        <v>207</v>
      </c>
      <c r="AC135" s="7" t="s">
        <v>372</v>
      </c>
      <c r="AD135" s="19">
        <v>0.30854700854700856</v>
      </c>
      <c r="AE135" s="19">
        <v>0.69145299145299144</v>
      </c>
      <c r="AF135" s="10">
        <v>0</v>
      </c>
      <c r="AG135" s="4">
        <f t="shared" si="44"/>
        <v>0</v>
      </c>
      <c r="AH135" s="3">
        <f t="shared" si="45"/>
        <v>0</v>
      </c>
      <c r="AI135" s="4">
        <f t="shared" si="46"/>
        <v>0</v>
      </c>
      <c r="AJ135" s="4">
        <f t="shared" si="47"/>
        <v>0</v>
      </c>
      <c r="AK135" s="4">
        <f t="shared" si="48"/>
        <v>0</v>
      </c>
      <c r="AL135" s="4">
        <f t="shared" si="49"/>
        <v>2</v>
      </c>
      <c r="AM135" s="4">
        <f t="shared" si="50"/>
        <v>1</v>
      </c>
      <c r="AN135" s="4">
        <v>0</v>
      </c>
      <c r="AO135" s="4">
        <v>0</v>
      </c>
      <c r="AP135" s="3" t="s">
        <v>100</v>
      </c>
      <c r="AQ135" s="3" t="s">
        <v>97</v>
      </c>
      <c r="AR135" s="3">
        <v>1</v>
      </c>
      <c r="AS135" s="3" t="s">
        <v>62</v>
      </c>
      <c r="AT135" s="16">
        <v>0.2888</v>
      </c>
      <c r="AU135" s="3">
        <v>412</v>
      </c>
      <c r="AV135" s="16">
        <v>0.21809999999999999</v>
      </c>
      <c r="AW135" s="3">
        <v>408</v>
      </c>
      <c r="AX135" s="8">
        <v>119</v>
      </c>
      <c r="AY135" s="8">
        <f t="shared" si="41"/>
        <v>293</v>
      </c>
      <c r="AZ135" s="8">
        <v>89</v>
      </c>
      <c r="BA135" s="8">
        <f t="shared" si="42"/>
        <v>319</v>
      </c>
      <c r="BB135" s="8">
        <f t="shared" si="51"/>
        <v>820</v>
      </c>
    </row>
    <row r="136" spans="1:54" x14ac:dyDescent="0.25">
      <c r="A136" s="9" t="str">
        <f t="shared" si="36"/>
        <v>38B</v>
      </c>
      <c r="B136" s="3">
        <v>38</v>
      </c>
      <c r="C136" s="3">
        <v>1</v>
      </c>
      <c r="D136" s="3" t="s">
        <v>66</v>
      </c>
      <c r="E136" s="3">
        <v>1</v>
      </c>
      <c r="F136" s="3">
        <v>1</v>
      </c>
      <c r="G136" s="3">
        <v>1</v>
      </c>
      <c r="H136" s="1" t="s">
        <v>374</v>
      </c>
      <c r="I136" s="1" t="s">
        <v>330</v>
      </c>
      <c r="J136" s="1" t="s">
        <v>203</v>
      </c>
      <c r="K136" s="3">
        <v>1</v>
      </c>
      <c r="L136" s="1" t="s">
        <v>373</v>
      </c>
      <c r="M136" s="1" t="s">
        <v>559</v>
      </c>
      <c r="N136" s="3">
        <v>1</v>
      </c>
      <c r="O136" s="3">
        <v>0</v>
      </c>
      <c r="P136" s="19">
        <f t="shared" si="43"/>
        <v>1</v>
      </c>
      <c r="Q136" s="3">
        <v>2020</v>
      </c>
      <c r="R136" s="3" t="s">
        <v>370</v>
      </c>
      <c r="S136" s="3">
        <v>2016</v>
      </c>
      <c r="T136" s="3" t="s">
        <v>371</v>
      </c>
      <c r="U136" s="3">
        <v>7.5999999999999998E-2</v>
      </c>
      <c r="V136" s="3">
        <v>0.93799999999999994</v>
      </c>
      <c r="W136" s="3">
        <v>0.93700000000000006</v>
      </c>
      <c r="X136" s="3">
        <v>42136.120790799105</v>
      </c>
      <c r="Y136" s="3">
        <v>0.08</v>
      </c>
      <c r="Z136" s="3">
        <v>0</v>
      </c>
      <c r="AA136" s="3">
        <v>0</v>
      </c>
      <c r="AB136" s="3" t="s">
        <v>207</v>
      </c>
      <c r="AC136" s="7" t="s">
        <v>372</v>
      </c>
      <c r="AD136" s="19">
        <v>0.30854700854700856</v>
      </c>
      <c r="AE136" s="19">
        <v>0.69145299145299144</v>
      </c>
      <c r="AF136" s="10">
        <v>0</v>
      </c>
      <c r="AG136" s="4">
        <f t="shared" si="44"/>
        <v>0</v>
      </c>
      <c r="AH136" s="3">
        <f t="shared" si="45"/>
        <v>0</v>
      </c>
      <c r="AI136" s="4">
        <f t="shared" si="46"/>
        <v>0</v>
      </c>
      <c r="AJ136" s="4">
        <f t="shared" si="47"/>
        <v>0</v>
      </c>
      <c r="AK136" s="4">
        <f t="shared" si="48"/>
        <v>0</v>
      </c>
      <c r="AL136" s="4">
        <f t="shared" si="49"/>
        <v>2</v>
      </c>
      <c r="AM136" s="4">
        <f t="shared" si="50"/>
        <v>1</v>
      </c>
      <c r="AN136" s="4">
        <v>0</v>
      </c>
      <c r="AO136" s="4">
        <v>0</v>
      </c>
      <c r="AP136" s="3" t="s">
        <v>100</v>
      </c>
      <c r="AQ136" s="3" t="s">
        <v>63</v>
      </c>
      <c r="AR136" s="3">
        <v>1</v>
      </c>
      <c r="AS136" s="3" t="s">
        <v>62</v>
      </c>
      <c r="AT136" s="16">
        <v>0.1966</v>
      </c>
      <c r="AU136" s="3">
        <v>412</v>
      </c>
      <c r="AV136" s="16">
        <v>0.14460000000000001</v>
      </c>
      <c r="AW136" s="3">
        <v>408</v>
      </c>
      <c r="AX136" s="8">
        <v>81</v>
      </c>
      <c r="AY136" s="8">
        <f t="shared" si="41"/>
        <v>331</v>
      </c>
      <c r="AZ136" s="8">
        <v>59</v>
      </c>
      <c r="BA136" s="8">
        <f t="shared" si="42"/>
        <v>349</v>
      </c>
      <c r="BB136" s="3">
        <f t="shared" si="51"/>
        <v>820</v>
      </c>
    </row>
    <row r="137" spans="1:54" x14ac:dyDescent="0.25">
      <c r="A137" s="9" t="str">
        <f t="shared" si="36"/>
        <v>39A</v>
      </c>
      <c r="B137" s="3">
        <v>39</v>
      </c>
      <c r="C137" s="3">
        <v>1</v>
      </c>
      <c r="D137" s="4" t="s">
        <v>65</v>
      </c>
      <c r="E137" s="3">
        <v>1</v>
      </c>
      <c r="F137" s="3">
        <v>0</v>
      </c>
      <c r="G137" s="3">
        <v>0</v>
      </c>
      <c r="H137" s="1" t="s">
        <v>375</v>
      </c>
      <c r="I137" s="1" t="s">
        <v>376</v>
      </c>
      <c r="J137" s="1" t="s">
        <v>203</v>
      </c>
      <c r="K137" s="3">
        <v>1</v>
      </c>
      <c r="L137" s="1" t="s">
        <v>644</v>
      </c>
      <c r="M137" s="1" t="s">
        <v>561</v>
      </c>
      <c r="N137" s="3">
        <v>1</v>
      </c>
      <c r="O137" s="3">
        <v>1</v>
      </c>
      <c r="P137" s="19">
        <f t="shared" si="43"/>
        <v>0.5</v>
      </c>
      <c r="Q137" s="3">
        <v>2020</v>
      </c>
      <c r="R137" s="3">
        <v>2018</v>
      </c>
      <c r="S137" s="3">
        <v>2018</v>
      </c>
      <c r="T137" s="3" t="s">
        <v>166</v>
      </c>
      <c r="U137" s="3">
        <v>0.32400000000000001</v>
      </c>
      <c r="V137" s="3">
        <v>0.77700000000000002</v>
      </c>
      <c r="W137" s="3">
        <v>0.69399999999999995</v>
      </c>
      <c r="X137" s="3">
        <v>9857.0288292555942</v>
      </c>
      <c r="Y137" s="3">
        <v>7.6999999999999999E-2</v>
      </c>
      <c r="Z137" s="3">
        <v>1</v>
      </c>
      <c r="AA137" s="3">
        <v>0</v>
      </c>
      <c r="AB137" s="3" t="s">
        <v>207</v>
      </c>
      <c r="AC137" s="7" t="s">
        <v>61</v>
      </c>
      <c r="AD137" s="3"/>
      <c r="AE137" s="3"/>
      <c r="AF137" s="10">
        <v>2</v>
      </c>
      <c r="AG137" s="3">
        <f t="shared" si="44"/>
        <v>1</v>
      </c>
      <c r="AH137" s="3">
        <f t="shared" si="45"/>
        <v>2</v>
      </c>
      <c r="AI137" s="4">
        <f t="shared" si="46"/>
        <v>1</v>
      </c>
      <c r="AJ137" s="4">
        <f t="shared" si="47"/>
        <v>2</v>
      </c>
      <c r="AK137" s="4">
        <f t="shared" si="48"/>
        <v>1</v>
      </c>
      <c r="AL137" s="4">
        <f t="shared" si="49"/>
        <v>2</v>
      </c>
      <c r="AM137" s="4">
        <f t="shared" si="50"/>
        <v>1</v>
      </c>
      <c r="AN137" s="4">
        <v>0</v>
      </c>
      <c r="AO137" s="4">
        <v>0</v>
      </c>
      <c r="AP137" s="3" t="s">
        <v>61</v>
      </c>
      <c r="AQ137" s="3" t="s">
        <v>97</v>
      </c>
      <c r="AR137" s="3">
        <v>1</v>
      </c>
      <c r="AS137" s="3" t="s">
        <v>62</v>
      </c>
      <c r="AT137" s="16">
        <v>0.25</v>
      </c>
      <c r="AU137" s="3">
        <f>3202/2</f>
        <v>1601</v>
      </c>
      <c r="AV137" s="16">
        <v>0.21</v>
      </c>
      <c r="AW137" s="3">
        <f>3202/2</f>
        <v>1601</v>
      </c>
      <c r="AX137" s="8">
        <f t="shared" ref="AX137:AX147" si="52">AT137*AU137</f>
        <v>400.25</v>
      </c>
      <c r="AY137" s="8">
        <f t="shared" si="41"/>
        <v>1200.75</v>
      </c>
      <c r="AZ137" s="8">
        <f t="shared" ref="AZ137:AZ147" si="53">AV137*AW137</f>
        <v>336.21</v>
      </c>
      <c r="BA137" s="8">
        <f t="shared" si="42"/>
        <v>1264.79</v>
      </c>
      <c r="BB137" s="3">
        <f t="shared" si="51"/>
        <v>3202</v>
      </c>
    </row>
    <row r="138" spans="1:54" x14ac:dyDescent="0.25">
      <c r="A138" s="9" t="str">
        <f t="shared" si="36"/>
        <v>39B</v>
      </c>
      <c r="B138" s="4">
        <v>39</v>
      </c>
      <c r="C138" s="4">
        <v>1</v>
      </c>
      <c r="D138" s="4" t="s">
        <v>66</v>
      </c>
      <c r="E138" s="4">
        <v>0</v>
      </c>
      <c r="F138" s="4">
        <v>1</v>
      </c>
      <c r="G138" s="4">
        <v>0</v>
      </c>
      <c r="H138" s="2" t="s">
        <v>375</v>
      </c>
      <c r="I138" s="2" t="s">
        <v>376</v>
      </c>
      <c r="J138" s="2" t="s">
        <v>203</v>
      </c>
      <c r="K138" s="4">
        <v>1</v>
      </c>
      <c r="L138" s="2" t="s">
        <v>644</v>
      </c>
      <c r="M138" s="2" t="s">
        <v>561</v>
      </c>
      <c r="N138" s="4">
        <v>1</v>
      </c>
      <c r="O138" s="4">
        <v>1</v>
      </c>
      <c r="P138" s="20">
        <f t="shared" si="43"/>
        <v>0.5</v>
      </c>
      <c r="Q138" s="4">
        <v>2020</v>
      </c>
      <c r="R138" s="4">
        <v>2018</v>
      </c>
      <c r="S138" s="4">
        <v>2018</v>
      </c>
      <c r="T138" s="4" t="s">
        <v>166</v>
      </c>
      <c r="U138" s="4">
        <v>0.32400000000000001</v>
      </c>
      <c r="V138" s="4">
        <v>0.77700000000000002</v>
      </c>
      <c r="W138" s="4">
        <v>0.69399999999999995</v>
      </c>
      <c r="X138" s="4">
        <v>9857.0288292555942</v>
      </c>
      <c r="Y138" s="4">
        <v>7.6999999999999999E-2</v>
      </c>
      <c r="Z138" s="4">
        <v>1</v>
      </c>
      <c r="AA138" s="4">
        <v>0</v>
      </c>
      <c r="AB138" s="4" t="s">
        <v>207</v>
      </c>
      <c r="AC138" s="17" t="s">
        <v>130</v>
      </c>
      <c r="AD138" s="20">
        <v>0.58099999999999996</v>
      </c>
      <c r="AE138" s="20">
        <v>0.41900000000000004</v>
      </c>
      <c r="AF138" s="10">
        <v>2</v>
      </c>
      <c r="AG138" s="4">
        <f t="shared" si="44"/>
        <v>1</v>
      </c>
      <c r="AH138" s="3">
        <f t="shared" si="45"/>
        <v>2</v>
      </c>
      <c r="AI138" s="4">
        <f t="shared" si="46"/>
        <v>1</v>
      </c>
      <c r="AJ138" s="4">
        <f t="shared" si="47"/>
        <v>2</v>
      </c>
      <c r="AK138" s="4">
        <f t="shared" si="48"/>
        <v>1</v>
      </c>
      <c r="AL138" s="4">
        <f t="shared" si="49"/>
        <v>2</v>
      </c>
      <c r="AM138" s="4">
        <f t="shared" si="50"/>
        <v>1</v>
      </c>
      <c r="AN138" s="4">
        <v>0</v>
      </c>
      <c r="AO138" s="4">
        <v>0</v>
      </c>
      <c r="AP138" s="4" t="s">
        <v>61</v>
      </c>
      <c r="AQ138" s="4" t="s">
        <v>97</v>
      </c>
      <c r="AR138" s="4">
        <v>1</v>
      </c>
      <c r="AS138" s="4" t="s">
        <v>130</v>
      </c>
      <c r="AT138" s="11">
        <f>(0.381+0.267)/2</f>
        <v>0.32400000000000001</v>
      </c>
      <c r="AU138" s="10">
        <f>3202*0.29*0.5</f>
        <v>464.28999999999996</v>
      </c>
      <c r="AV138" s="11">
        <f>(0.306+0.289)/2</f>
        <v>0.29749999999999999</v>
      </c>
      <c r="AW138" s="10">
        <f>3202*0.29*0.5</f>
        <v>464.28999999999996</v>
      </c>
      <c r="AX138" s="10">
        <f t="shared" si="52"/>
        <v>150.42995999999999</v>
      </c>
      <c r="AY138" s="10">
        <f t="shared" si="41"/>
        <v>313.86003999999997</v>
      </c>
      <c r="AZ138" s="10">
        <f t="shared" si="53"/>
        <v>138.12627499999999</v>
      </c>
      <c r="BA138" s="10">
        <f t="shared" si="42"/>
        <v>326.163725</v>
      </c>
      <c r="BB138" s="10">
        <f t="shared" si="51"/>
        <v>928.57999999999993</v>
      </c>
    </row>
    <row r="139" spans="1:54" x14ac:dyDescent="0.25">
      <c r="A139" s="9" t="str">
        <f t="shared" si="36"/>
        <v>39C</v>
      </c>
      <c r="B139" s="4">
        <v>39</v>
      </c>
      <c r="C139" s="4">
        <v>1</v>
      </c>
      <c r="D139" s="4" t="s">
        <v>67</v>
      </c>
      <c r="E139" s="4">
        <v>0</v>
      </c>
      <c r="F139" s="4">
        <v>1</v>
      </c>
      <c r="G139" s="4">
        <v>0</v>
      </c>
      <c r="H139" s="2" t="s">
        <v>375</v>
      </c>
      <c r="I139" s="2" t="s">
        <v>376</v>
      </c>
      <c r="J139" s="2" t="s">
        <v>203</v>
      </c>
      <c r="K139" s="4">
        <v>1</v>
      </c>
      <c r="L139" s="2" t="s">
        <v>644</v>
      </c>
      <c r="M139" s="2" t="s">
        <v>561</v>
      </c>
      <c r="N139" s="4">
        <v>1</v>
      </c>
      <c r="O139" s="4">
        <v>1</v>
      </c>
      <c r="P139" s="20">
        <f t="shared" si="43"/>
        <v>0.5</v>
      </c>
      <c r="Q139" s="4">
        <v>2020</v>
      </c>
      <c r="R139" s="4">
        <v>2018</v>
      </c>
      <c r="S139" s="4">
        <v>2018</v>
      </c>
      <c r="T139" s="4" t="s">
        <v>166</v>
      </c>
      <c r="U139" s="4">
        <v>0.32400000000000001</v>
      </c>
      <c r="V139" s="4">
        <v>0.77700000000000002</v>
      </c>
      <c r="W139" s="4">
        <v>0.69399999999999995</v>
      </c>
      <c r="X139" s="4">
        <v>9857.0288292555942</v>
      </c>
      <c r="Y139" s="4">
        <v>7.6999999999999999E-2</v>
      </c>
      <c r="Z139" s="4">
        <v>1</v>
      </c>
      <c r="AA139" s="4">
        <v>0</v>
      </c>
      <c r="AB139" s="4" t="s">
        <v>207</v>
      </c>
      <c r="AC139" s="17" t="s">
        <v>637</v>
      </c>
      <c r="AD139" s="20">
        <v>0.58099999999999996</v>
      </c>
      <c r="AE139" s="20">
        <v>0.41900000000000004</v>
      </c>
      <c r="AF139" s="10">
        <v>2</v>
      </c>
      <c r="AG139" s="4">
        <f t="shared" si="44"/>
        <v>1</v>
      </c>
      <c r="AH139" s="3">
        <f t="shared" si="45"/>
        <v>2</v>
      </c>
      <c r="AI139" s="4">
        <f t="shared" si="46"/>
        <v>1</v>
      </c>
      <c r="AJ139" s="4">
        <f t="shared" si="47"/>
        <v>2</v>
      </c>
      <c r="AK139" s="4">
        <f t="shared" si="48"/>
        <v>1</v>
      </c>
      <c r="AL139" s="4">
        <f t="shared" si="49"/>
        <v>2</v>
      </c>
      <c r="AM139" s="4">
        <f t="shared" si="50"/>
        <v>1</v>
      </c>
      <c r="AN139" s="4">
        <v>0</v>
      </c>
      <c r="AO139" s="4">
        <v>0</v>
      </c>
      <c r="AP139" s="4" t="s">
        <v>61</v>
      </c>
      <c r="AQ139" s="4" t="s">
        <v>97</v>
      </c>
      <c r="AR139" s="4">
        <v>1</v>
      </c>
      <c r="AS139" s="4" t="s">
        <v>637</v>
      </c>
      <c r="AT139" s="11">
        <f>(0.121+0.085)/2</f>
        <v>0.10300000000000001</v>
      </c>
      <c r="AU139" s="10">
        <f>3202*0.05*0.5</f>
        <v>80.050000000000011</v>
      </c>
      <c r="AV139" s="11">
        <f>(0.128+0.086)/2</f>
        <v>0.107</v>
      </c>
      <c r="AW139" s="10">
        <f>3202*0.05*0.5</f>
        <v>80.050000000000011</v>
      </c>
      <c r="AX139" s="10">
        <f t="shared" si="52"/>
        <v>8.2451500000000024</v>
      </c>
      <c r="AY139" s="10">
        <f t="shared" si="41"/>
        <v>71.804850000000016</v>
      </c>
      <c r="AZ139" s="10">
        <f t="shared" si="53"/>
        <v>8.5653500000000005</v>
      </c>
      <c r="BA139" s="10">
        <f t="shared" si="42"/>
        <v>71.484650000000016</v>
      </c>
      <c r="BB139" s="10">
        <f t="shared" si="51"/>
        <v>160.10000000000002</v>
      </c>
    </row>
    <row r="140" spans="1:54" x14ac:dyDescent="0.25">
      <c r="A140" s="9" t="str">
        <f t="shared" si="36"/>
        <v>39D</v>
      </c>
      <c r="B140" s="4">
        <v>39</v>
      </c>
      <c r="C140" s="4">
        <v>1</v>
      </c>
      <c r="D140" s="4" t="s">
        <v>68</v>
      </c>
      <c r="E140" s="4">
        <v>0</v>
      </c>
      <c r="F140" s="4">
        <v>1</v>
      </c>
      <c r="G140" s="4">
        <v>0</v>
      </c>
      <c r="H140" s="2" t="s">
        <v>375</v>
      </c>
      <c r="I140" s="2" t="s">
        <v>376</v>
      </c>
      <c r="J140" s="2" t="s">
        <v>203</v>
      </c>
      <c r="K140" s="4">
        <v>1</v>
      </c>
      <c r="L140" s="2" t="s">
        <v>644</v>
      </c>
      <c r="M140" s="2" t="s">
        <v>561</v>
      </c>
      <c r="N140" s="4">
        <v>1</v>
      </c>
      <c r="O140" s="4">
        <v>1</v>
      </c>
      <c r="P140" s="20">
        <f t="shared" si="43"/>
        <v>0.5</v>
      </c>
      <c r="Q140" s="4">
        <v>2020</v>
      </c>
      <c r="R140" s="4">
        <v>2018</v>
      </c>
      <c r="S140" s="4">
        <v>2018</v>
      </c>
      <c r="T140" s="4" t="s">
        <v>166</v>
      </c>
      <c r="U140" s="4">
        <v>0.32400000000000001</v>
      </c>
      <c r="V140" s="4">
        <v>0.77700000000000002</v>
      </c>
      <c r="W140" s="4">
        <v>0.69399999999999995</v>
      </c>
      <c r="X140" s="4">
        <v>9857.0288292555942</v>
      </c>
      <c r="Y140" s="4">
        <v>7.6999999999999999E-2</v>
      </c>
      <c r="Z140" s="4">
        <v>1</v>
      </c>
      <c r="AA140" s="4">
        <v>0</v>
      </c>
      <c r="AB140" s="4" t="s">
        <v>207</v>
      </c>
      <c r="AC140" s="17" t="s">
        <v>638</v>
      </c>
      <c r="AD140" s="20">
        <v>0.45700000000000002</v>
      </c>
      <c r="AE140" s="20">
        <v>0.54299999999999993</v>
      </c>
      <c r="AF140" s="10">
        <v>1</v>
      </c>
      <c r="AG140" s="4">
        <f t="shared" si="44"/>
        <v>1</v>
      </c>
      <c r="AH140" s="3">
        <f t="shared" si="45"/>
        <v>2</v>
      </c>
      <c r="AI140" s="4">
        <f t="shared" si="46"/>
        <v>1</v>
      </c>
      <c r="AJ140" s="4">
        <f t="shared" si="47"/>
        <v>2</v>
      </c>
      <c r="AK140" s="4">
        <f t="shared" si="48"/>
        <v>1</v>
      </c>
      <c r="AL140" s="4">
        <f t="shared" si="49"/>
        <v>2</v>
      </c>
      <c r="AM140" s="4">
        <f t="shared" si="50"/>
        <v>1</v>
      </c>
      <c r="AN140" s="4">
        <v>0</v>
      </c>
      <c r="AO140" s="4">
        <v>0</v>
      </c>
      <c r="AP140" s="4" t="s">
        <v>61</v>
      </c>
      <c r="AQ140" s="4" t="s">
        <v>97</v>
      </c>
      <c r="AR140" s="4">
        <v>1</v>
      </c>
      <c r="AS140" s="4" t="s">
        <v>638</v>
      </c>
      <c r="AT140" s="11">
        <f>(0.26+0.104)/2</f>
        <v>0.182</v>
      </c>
      <c r="AU140" s="10">
        <f>3202*0.09*0.5</f>
        <v>144.09</v>
      </c>
      <c r="AV140" s="11">
        <f>(0.127+0.162)/2</f>
        <v>0.14450000000000002</v>
      </c>
      <c r="AW140" s="10">
        <f>3202*0.09*0.5</f>
        <v>144.09</v>
      </c>
      <c r="AX140" s="10">
        <f t="shared" si="52"/>
        <v>26.22438</v>
      </c>
      <c r="AY140" s="10">
        <f t="shared" si="41"/>
        <v>117.86562000000001</v>
      </c>
      <c r="AZ140" s="10">
        <f t="shared" si="53"/>
        <v>20.821005000000003</v>
      </c>
      <c r="BA140" s="10">
        <f t="shared" si="42"/>
        <v>123.268995</v>
      </c>
      <c r="BB140" s="10">
        <f t="shared" si="51"/>
        <v>288.18</v>
      </c>
    </row>
    <row r="141" spans="1:54" x14ac:dyDescent="0.25">
      <c r="A141" s="9" t="str">
        <f t="shared" si="36"/>
        <v>39E</v>
      </c>
      <c r="B141" s="4">
        <v>39</v>
      </c>
      <c r="C141" s="4">
        <v>1</v>
      </c>
      <c r="D141" s="4" t="s">
        <v>102</v>
      </c>
      <c r="E141" s="4">
        <v>0</v>
      </c>
      <c r="F141" s="4">
        <v>1</v>
      </c>
      <c r="G141" s="4">
        <v>0</v>
      </c>
      <c r="H141" s="2" t="s">
        <v>375</v>
      </c>
      <c r="I141" s="2" t="s">
        <v>376</v>
      </c>
      <c r="J141" s="2" t="s">
        <v>203</v>
      </c>
      <c r="K141" s="4">
        <v>1</v>
      </c>
      <c r="L141" s="2" t="s">
        <v>644</v>
      </c>
      <c r="M141" s="2" t="s">
        <v>561</v>
      </c>
      <c r="N141" s="4">
        <v>1</v>
      </c>
      <c r="O141" s="4">
        <v>1</v>
      </c>
      <c r="P141" s="20">
        <f t="shared" si="43"/>
        <v>0.5</v>
      </c>
      <c r="Q141" s="4">
        <v>2020</v>
      </c>
      <c r="R141" s="4">
        <v>2018</v>
      </c>
      <c r="S141" s="4">
        <v>2018</v>
      </c>
      <c r="T141" s="4" t="s">
        <v>166</v>
      </c>
      <c r="U141" s="4">
        <v>0.32400000000000001</v>
      </c>
      <c r="V141" s="4">
        <v>0.77700000000000002</v>
      </c>
      <c r="W141" s="4">
        <v>0.69399999999999995</v>
      </c>
      <c r="X141" s="4">
        <v>9857.0288292555942</v>
      </c>
      <c r="Y141" s="4">
        <v>7.6999999999999999E-2</v>
      </c>
      <c r="Z141" s="4">
        <v>1</v>
      </c>
      <c r="AA141" s="4">
        <v>0</v>
      </c>
      <c r="AB141" s="4" t="s">
        <v>207</v>
      </c>
      <c r="AC141" s="17" t="s">
        <v>639</v>
      </c>
      <c r="AD141" s="20">
        <v>0.58099999999999996</v>
      </c>
      <c r="AE141" s="20">
        <v>0.41900000000000004</v>
      </c>
      <c r="AF141" s="10">
        <v>2</v>
      </c>
      <c r="AG141" s="4">
        <f t="shared" si="44"/>
        <v>1</v>
      </c>
      <c r="AH141" s="3">
        <f t="shared" si="45"/>
        <v>2</v>
      </c>
      <c r="AI141" s="4">
        <f t="shared" si="46"/>
        <v>1</v>
      </c>
      <c r="AJ141" s="4">
        <f t="shared" si="47"/>
        <v>2</v>
      </c>
      <c r="AK141" s="4">
        <f t="shared" si="48"/>
        <v>1</v>
      </c>
      <c r="AL141" s="4">
        <f t="shared" si="49"/>
        <v>2</v>
      </c>
      <c r="AM141" s="4">
        <f t="shared" si="50"/>
        <v>1</v>
      </c>
      <c r="AN141" s="4">
        <v>0</v>
      </c>
      <c r="AO141" s="4">
        <v>0</v>
      </c>
      <c r="AP141" s="4" t="s">
        <v>61</v>
      </c>
      <c r="AQ141" s="4" t="s">
        <v>97</v>
      </c>
      <c r="AR141" s="4">
        <v>1</v>
      </c>
      <c r="AS141" s="4" t="s">
        <v>639</v>
      </c>
      <c r="AT141" s="11">
        <f>(0.229+0.077)/2</f>
        <v>0.153</v>
      </c>
      <c r="AU141" s="10">
        <f>3202*0.05*0.5</f>
        <v>80.050000000000011</v>
      </c>
      <c r="AV141" s="11">
        <f>(0.044+0.095)/2</f>
        <v>6.9500000000000006E-2</v>
      </c>
      <c r="AW141" s="10">
        <f>3202*0.05*0.5</f>
        <v>80.050000000000011</v>
      </c>
      <c r="AX141" s="10">
        <f t="shared" si="52"/>
        <v>12.247650000000002</v>
      </c>
      <c r="AY141" s="10">
        <f t="shared" si="41"/>
        <v>67.802350000000004</v>
      </c>
      <c r="AZ141" s="10">
        <f t="shared" si="53"/>
        <v>5.5634750000000013</v>
      </c>
      <c r="BA141" s="10">
        <f t="shared" si="42"/>
        <v>74.486525000000015</v>
      </c>
      <c r="BB141" s="10">
        <f t="shared" si="51"/>
        <v>160.10000000000002</v>
      </c>
    </row>
    <row r="142" spans="1:54" x14ac:dyDescent="0.25">
      <c r="A142" s="9" t="str">
        <f t="shared" si="36"/>
        <v>39F</v>
      </c>
      <c r="B142" s="4">
        <v>39</v>
      </c>
      <c r="C142" s="4">
        <v>1</v>
      </c>
      <c r="D142" s="4" t="s">
        <v>116</v>
      </c>
      <c r="E142" s="4">
        <v>0</v>
      </c>
      <c r="F142" s="4">
        <v>1</v>
      </c>
      <c r="G142" s="4">
        <v>0</v>
      </c>
      <c r="H142" s="2" t="s">
        <v>375</v>
      </c>
      <c r="I142" s="2" t="s">
        <v>376</v>
      </c>
      <c r="J142" s="2" t="s">
        <v>203</v>
      </c>
      <c r="K142" s="4">
        <v>1</v>
      </c>
      <c r="L142" s="2" t="s">
        <v>644</v>
      </c>
      <c r="M142" s="2" t="s">
        <v>561</v>
      </c>
      <c r="N142" s="4">
        <v>1</v>
      </c>
      <c r="O142" s="4">
        <v>1</v>
      </c>
      <c r="P142" s="20">
        <f t="shared" si="43"/>
        <v>0.5</v>
      </c>
      <c r="Q142" s="4">
        <v>2020</v>
      </c>
      <c r="R142" s="4">
        <v>2018</v>
      </c>
      <c r="S142" s="4">
        <v>2018</v>
      </c>
      <c r="T142" s="4" t="s">
        <v>166</v>
      </c>
      <c r="U142" s="4">
        <v>0.32400000000000001</v>
      </c>
      <c r="V142" s="4">
        <v>0.77700000000000002</v>
      </c>
      <c r="W142" s="4">
        <v>0.69399999999999995</v>
      </c>
      <c r="X142" s="4">
        <v>9857.0288292555942</v>
      </c>
      <c r="Y142" s="4">
        <v>7.6999999999999999E-2</v>
      </c>
      <c r="Z142" s="4">
        <v>1</v>
      </c>
      <c r="AA142" s="4">
        <v>0</v>
      </c>
      <c r="AB142" s="4" t="s">
        <v>207</v>
      </c>
      <c r="AC142" s="17" t="s">
        <v>640</v>
      </c>
      <c r="AD142" s="20">
        <v>0.58099999999999996</v>
      </c>
      <c r="AE142" s="20">
        <v>0.41900000000000004</v>
      </c>
      <c r="AF142" s="10">
        <v>2</v>
      </c>
      <c r="AG142" s="4">
        <f t="shared" si="44"/>
        <v>1</v>
      </c>
      <c r="AH142" s="3">
        <f t="shared" si="45"/>
        <v>2</v>
      </c>
      <c r="AI142" s="4">
        <f t="shared" si="46"/>
        <v>1</v>
      </c>
      <c r="AJ142" s="4">
        <f t="shared" si="47"/>
        <v>2</v>
      </c>
      <c r="AK142" s="4">
        <f t="shared" si="48"/>
        <v>1</v>
      </c>
      <c r="AL142" s="4">
        <f t="shared" si="49"/>
        <v>2</v>
      </c>
      <c r="AM142" s="4">
        <f t="shared" si="50"/>
        <v>1</v>
      </c>
      <c r="AN142" s="4">
        <v>0</v>
      </c>
      <c r="AO142" s="4">
        <v>0</v>
      </c>
      <c r="AP142" s="4" t="s">
        <v>61</v>
      </c>
      <c r="AQ142" s="4" t="s">
        <v>97</v>
      </c>
      <c r="AR142" s="4">
        <v>1</v>
      </c>
      <c r="AS142" s="4" t="s">
        <v>640</v>
      </c>
      <c r="AT142" s="11">
        <f>(0.185+0.081)/2</f>
        <v>0.13300000000000001</v>
      </c>
      <c r="AU142" s="10">
        <f>3202*0.1*0.5</f>
        <v>160.10000000000002</v>
      </c>
      <c r="AV142" s="11">
        <f>(0.134+0.122)/2</f>
        <v>0.128</v>
      </c>
      <c r="AW142" s="10">
        <f>3202*0.1*0.5</f>
        <v>160.10000000000002</v>
      </c>
      <c r="AX142" s="10">
        <f t="shared" si="52"/>
        <v>21.293300000000006</v>
      </c>
      <c r="AY142" s="10">
        <f t="shared" si="41"/>
        <v>138.80670000000001</v>
      </c>
      <c r="AZ142" s="10">
        <f t="shared" si="53"/>
        <v>20.492800000000003</v>
      </c>
      <c r="BA142" s="10">
        <f t="shared" si="42"/>
        <v>139.60720000000003</v>
      </c>
      <c r="BB142" s="10">
        <f t="shared" si="51"/>
        <v>320.20000000000005</v>
      </c>
    </row>
    <row r="143" spans="1:54" s="1" customFormat="1" x14ac:dyDescent="0.25">
      <c r="A143" s="9" t="str">
        <f t="shared" si="36"/>
        <v>39G</v>
      </c>
      <c r="B143" s="4">
        <v>39</v>
      </c>
      <c r="C143" s="4">
        <v>1</v>
      </c>
      <c r="D143" s="4" t="s">
        <v>117</v>
      </c>
      <c r="E143" s="4">
        <v>0</v>
      </c>
      <c r="F143" s="4">
        <v>1</v>
      </c>
      <c r="G143" s="4">
        <v>0</v>
      </c>
      <c r="H143" s="2" t="s">
        <v>375</v>
      </c>
      <c r="I143" s="2" t="s">
        <v>376</v>
      </c>
      <c r="J143" s="2" t="s">
        <v>203</v>
      </c>
      <c r="K143" s="4">
        <v>1</v>
      </c>
      <c r="L143" s="2" t="s">
        <v>644</v>
      </c>
      <c r="M143" s="2" t="s">
        <v>561</v>
      </c>
      <c r="N143" s="4">
        <v>1</v>
      </c>
      <c r="O143" s="4">
        <v>1</v>
      </c>
      <c r="P143" s="20">
        <f t="shared" si="43"/>
        <v>0.5</v>
      </c>
      <c r="Q143" s="4">
        <v>2020</v>
      </c>
      <c r="R143" s="4">
        <v>2018</v>
      </c>
      <c r="S143" s="4">
        <v>2018</v>
      </c>
      <c r="T143" s="4" t="s">
        <v>166</v>
      </c>
      <c r="U143" s="4">
        <v>0.32400000000000001</v>
      </c>
      <c r="V143" s="4">
        <v>0.77700000000000002</v>
      </c>
      <c r="W143" s="4">
        <v>0.69399999999999995</v>
      </c>
      <c r="X143" s="4">
        <v>9857.0288292555942</v>
      </c>
      <c r="Y143" s="4">
        <v>7.6999999999999999E-2</v>
      </c>
      <c r="Z143" s="4">
        <v>1</v>
      </c>
      <c r="AA143" s="4">
        <v>0</v>
      </c>
      <c r="AB143" s="4" t="s">
        <v>207</v>
      </c>
      <c r="AC143" s="17" t="s">
        <v>641</v>
      </c>
      <c r="AD143" s="20">
        <v>0.58099999999999996</v>
      </c>
      <c r="AE143" s="20">
        <v>0.41900000000000004</v>
      </c>
      <c r="AF143" s="10">
        <v>1</v>
      </c>
      <c r="AG143" s="4">
        <f t="shared" si="44"/>
        <v>1</v>
      </c>
      <c r="AH143" s="3">
        <f t="shared" si="45"/>
        <v>2</v>
      </c>
      <c r="AI143" s="4">
        <f t="shared" si="46"/>
        <v>1</v>
      </c>
      <c r="AJ143" s="4">
        <f t="shared" si="47"/>
        <v>2</v>
      </c>
      <c r="AK143" s="4">
        <f t="shared" si="48"/>
        <v>1</v>
      </c>
      <c r="AL143" s="4">
        <f t="shared" si="49"/>
        <v>2</v>
      </c>
      <c r="AM143" s="4">
        <f t="shared" si="50"/>
        <v>1</v>
      </c>
      <c r="AN143" s="4">
        <v>0</v>
      </c>
      <c r="AO143" s="4">
        <v>0</v>
      </c>
      <c r="AP143" s="4" t="s">
        <v>61</v>
      </c>
      <c r="AQ143" s="4" t="s">
        <v>97</v>
      </c>
      <c r="AR143" s="4">
        <v>1</v>
      </c>
      <c r="AS143" s="4" t="s">
        <v>641</v>
      </c>
      <c r="AT143" s="11">
        <f>(0.306+0.288)/2</f>
        <v>0.29699999999999999</v>
      </c>
      <c r="AU143" s="10">
        <f>3202*0.16*0.5</f>
        <v>256.16000000000003</v>
      </c>
      <c r="AV143" s="11">
        <f>(0.25+0.271)/2</f>
        <v>0.26050000000000001</v>
      </c>
      <c r="AW143" s="10">
        <f>3202*0.16*0.5</f>
        <v>256.16000000000003</v>
      </c>
      <c r="AX143" s="10">
        <f t="shared" si="52"/>
        <v>76.079520000000002</v>
      </c>
      <c r="AY143" s="10">
        <f t="shared" si="41"/>
        <v>180.08048000000002</v>
      </c>
      <c r="AZ143" s="10">
        <f t="shared" si="53"/>
        <v>66.729680000000002</v>
      </c>
      <c r="BA143" s="10">
        <f t="shared" si="42"/>
        <v>189.43032000000002</v>
      </c>
      <c r="BB143" s="10">
        <f t="shared" si="51"/>
        <v>512.32000000000005</v>
      </c>
    </row>
    <row r="144" spans="1:54" s="1" customFormat="1" x14ac:dyDescent="0.25">
      <c r="A144" s="9" t="str">
        <f t="shared" ref="A144:A207" si="54">B144&amp;D144</f>
        <v>39H</v>
      </c>
      <c r="B144" s="4">
        <v>39</v>
      </c>
      <c r="C144" s="4">
        <v>1</v>
      </c>
      <c r="D144" s="4" t="s">
        <v>118</v>
      </c>
      <c r="E144" s="4">
        <v>0</v>
      </c>
      <c r="F144" s="4">
        <v>1</v>
      </c>
      <c r="G144" s="4">
        <v>0</v>
      </c>
      <c r="H144" s="2" t="s">
        <v>375</v>
      </c>
      <c r="I144" s="2" t="s">
        <v>376</v>
      </c>
      <c r="J144" s="2" t="s">
        <v>203</v>
      </c>
      <c r="K144" s="4">
        <v>1</v>
      </c>
      <c r="L144" s="2" t="s">
        <v>644</v>
      </c>
      <c r="M144" s="2" t="s">
        <v>561</v>
      </c>
      <c r="N144" s="4">
        <v>1</v>
      </c>
      <c r="O144" s="4">
        <v>1</v>
      </c>
      <c r="P144" s="20">
        <f t="shared" si="43"/>
        <v>0.5</v>
      </c>
      <c r="Q144" s="4">
        <v>2020</v>
      </c>
      <c r="R144" s="4">
        <v>2018</v>
      </c>
      <c r="S144" s="4">
        <v>2018</v>
      </c>
      <c r="T144" s="4" t="s">
        <v>166</v>
      </c>
      <c r="U144" s="4">
        <v>0.32400000000000001</v>
      </c>
      <c r="V144" s="4">
        <v>0.77700000000000002</v>
      </c>
      <c r="W144" s="4">
        <v>0.69399999999999995</v>
      </c>
      <c r="X144" s="4">
        <v>9857.0288292555942</v>
      </c>
      <c r="Y144" s="4">
        <v>7.6999999999999999E-2</v>
      </c>
      <c r="Z144" s="4">
        <v>1</v>
      </c>
      <c r="AA144" s="4">
        <v>0</v>
      </c>
      <c r="AB144" s="4" t="s">
        <v>207</v>
      </c>
      <c r="AC144" s="17" t="s">
        <v>642</v>
      </c>
      <c r="AD144" s="20">
        <v>0.36399999999999999</v>
      </c>
      <c r="AE144" s="20">
        <v>0.63600000000000001</v>
      </c>
      <c r="AF144" s="10">
        <v>0</v>
      </c>
      <c r="AG144" s="4">
        <f t="shared" si="44"/>
        <v>0</v>
      </c>
      <c r="AH144" s="3">
        <f t="shared" si="45"/>
        <v>0</v>
      </c>
      <c r="AI144" s="4">
        <f t="shared" si="46"/>
        <v>0</v>
      </c>
      <c r="AJ144" s="4">
        <f t="shared" si="47"/>
        <v>2</v>
      </c>
      <c r="AK144" s="4">
        <f t="shared" si="48"/>
        <v>1</v>
      </c>
      <c r="AL144" s="4">
        <f t="shared" si="49"/>
        <v>2</v>
      </c>
      <c r="AM144" s="4">
        <f t="shared" si="50"/>
        <v>1</v>
      </c>
      <c r="AN144" s="4">
        <v>0</v>
      </c>
      <c r="AO144" s="4">
        <v>0</v>
      </c>
      <c r="AP144" s="4" t="s">
        <v>61</v>
      </c>
      <c r="AQ144" s="4" t="s">
        <v>97</v>
      </c>
      <c r="AR144" s="4">
        <v>1</v>
      </c>
      <c r="AS144" s="4" t="s">
        <v>642</v>
      </c>
      <c r="AT144" s="11">
        <f>(0.5+0.259)/2</f>
        <v>0.3795</v>
      </c>
      <c r="AU144" s="10">
        <f>3202*0.06*0.5</f>
        <v>96.06</v>
      </c>
      <c r="AV144" s="11">
        <f>(0.262+0.25)/2</f>
        <v>0.25600000000000001</v>
      </c>
      <c r="AW144" s="10">
        <f>3202*0.06*0.5</f>
        <v>96.06</v>
      </c>
      <c r="AX144" s="10">
        <f t="shared" si="52"/>
        <v>36.454770000000003</v>
      </c>
      <c r="AY144" s="10">
        <f t="shared" si="41"/>
        <v>59.605229999999999</v>
      </c>
      <c r="AZ144" s="10">
        <f t="shared" si="53"/>
        <v>24.591360000000002</v>
      </c>
      <c r="BA144" s="10">
        <f t="shared" si="42"/>
        <v>71.468639999999994</v>
      </c>
      <c r="BB144" s="10">
        <f t="shared" si="51"/>
        <v>192.12</v>
      </c>
    </row>
    <row r="145" spans="1:54" s="1" customFormat="1" x14ac:dyDescent="0.25">
      <c r="A145" s="9" t="str">
        <f t="shared" si="54"/>
        <v>39I</v>
      </c>
      <c r="B145" s="4">
        <v>39</v>
      </c>
      <c r="C145" s="4">
        <v>1</v>
      </c>
      <c r="D145" s="4" t="s">
        <v>119</v>
      </c>
      <c r="E145" s="4">
        <v>0</v>
      </c>
      <c r="F145" s="4">
        <v>1</v>
      </c>
      <c r="G145" s="4">
        <v>0</v>
      </c>
      <c r="H145" s="2" t="s">
        <v>375</v>
      </c>
      <c r="I145" s="2" t="s">
        <v>376</v>
      </c>
      <c r="J145" s="2" t="s">
        <v>203</v>
      </c>
      <c r="K145" s="4">
        <v>1</v>
      </c>
      <c r="L145" s="2" t="s">
        <v>644</v>
      </c>
      <c r="M145" s="2" t="s">
        <v>561</v>
      </c>
      <c r="N145" s="4">
        <v>1</v>
      </c>
      <c r="O145" s="4">
        <v>1</v>
      </c>
      <c r="P145" s="20">
        <f t="shared" si="43"/>
        <v>0.5</v>
      </c>
      <c r="Q145" s="4">
        <v>2020</v>
      </c>
      <c r="R145" s="4">
        <v>2018</v>
      </c>
      <c r="S145" s="4">
        <v>2018</v>
      </c>
      <c r="T145" s="4" t="s">
        <v>166</v>
      </c>
      <c r="U145" s="4">
        <v>0.32400000000000001</v>
      </c>
      <c r="V145" s="4">
        <v>0.77700000000000002</v>
      </c>
      <c r="W145" s="4">
        <v>0.69399999999999995</v>
      </c>
      <c r="X145" s="4">
        <v>9857.0288292555942</v>
      </c>
      <c r="Y145" s="4">
        <v>7.6999999999999999E-2</v>
      </c>
      <c r="Z145" s="4">
        <v>1</v>
      </c>
      <c r="AA145" s="4">
        <v>0</v>
      </c>
      <c r="AB145" s="4" t="s">
        <v>207</v>
      </c>
      <c r="AC145" s="17" t="s">
        <v>643</v>
      </c>
      <c r="AD145" s="20">
        <v>0.45700000000000002</v>
      </c>
      <c r="AE145" s="20">
        <v>0.54299999999999993</v>
      </c>
      <c r="AF145" s="10">
        <v>2</v>
      </c>
      <c r="AG145" s="4">
        <f t="shared" si="44"/>
        <v>1</v>
      </c>
      <c r="AH145" s="3">
        <f t="shared" si="45"/>
        <v>2</v>
      </c>
      <c r="AI145" s="4">
        <f t="shared" si="46"/>
        <v>1</v>
      </c>
      <c r="AJ145" s="4">
        <f t="shared" si="47"/>
        <v>2</v>
      </c>
      <c r="AK145" s="4">
        <f t="shared" si="48"/>
        <v>1</v>
      </c>
      <c r="AL145" s="4">
        <f t="shared" si="49"/>
        <v>2</v>
      </c>
      <c r="AM145" s="4">
        <f t="shared" si="50"/>
        <v>1</v>
      </c>
      <c r="AN145" s="4">
        <v>0</v>
      </c>
      <c r="AO145" s="4">
        <v>0</v>
      </c>
      <c r="AP145" s="4" t="s">
        <v>61</v>
      </c>
      <c r="AQ145" s="4" t="s">
        <v>97</v>
      </c>
      <c r="AR145" s="4">
        <v>1</v>
      </c>
      <c r="AS145" s="4" t="s">
        <v>643</v>
      </c>
      <c r="AT145" s="11">
        <f>(0.226+0.236)/2</f>
        <v>0.23099999999999998</v>
      </c>
      <c r="AU145" s="10">
        <f>3202*0.2*0.5</f>
        <v>320.20000000000005</v>
      </c>
      <c r="AV145" s="11">
        <f>(0.196+0.172)/2</f>
        <v>0.184</v>
      </c>
      <c r="AW145" s="10">
        <f>3202*0.2*0.5</f>
        <v>320.20000000000005</v>
      </c>
      <c r="AX145" s="10">
        <f t="shared" si="52"/>
        <v>73.966200000000001</v>
      </c>
      <c r="AY145" s="10">
        <f t="shared" si="41"/>
        <v>246.23380000000003</v>
      </c>
      <c r="AZ145" s="10">
        <f t="shared" si="53"/>
        <v>58.916800000000009</v>
      </c>
      <c r="BA145" s="10">
        <f t="shared" si="42"/>
        <v>261.28320000000002</v>
      </c>
      <c r="BB145" s="10">
        <f t="shared" si="51"/>
        <v>640.40000000000009</v>
      </c>
    </row>
    <row r="146" spans="1:54" s="1" customFormat="1" x14ac:dyDescent="0.25">
      <c r="A146" s="9" t="str">
        <f t="shared" si="54"/>
        <v>40A</v>
      </c>
      <c r="B146" s="3">
        <v>40</v>
      </c>
      <c r="C146" s="3">
        <v>1</v>
      </c>
      <c r="D146" s="3" t="s">
        <v>65</v>
      </c>
      <c r="E146" s="3">
        <v>1</v>
      </c>
      <c r="F146" s="3">
        <v>1</v>
      </c>
      <c r="G146" s="3">
        <v>0</v>
      </c>
      <c r="H146" s="1" t="s">
        <v>378</v>
      </c>
      <c r="I146" s="1" t="s">
        <v>6</v>
      </c>
      <c r="J146" s="1" t="s">
        <v>203</v>
      </c>
      <c r="K146" s="3">
        <v>1</v>
      </c>
      <c r="L146" s="1" t="s">
        <v>377</v>
      </c>
      <c r="M146" s="1" t="s">
        <v>562</v>
      </c>
      <c r="N146" s="3">
        <v>0</v>
      </c>
      <c r="O146" s="3">
        <v>3</v>
      </c>
      <c r="P146" s="19">
        <f t="shared" si="43"/>
        <v>0</v>
      </c>
      <c r="Q146" s="3">
        <v>2020</v>
      </c>
      <c r="R146" s="3">
        <v>2019</v>
      </c>
      <c r="S146" s="3">
        <v>2019</v>
      </c>
      <c r="T146" s="3" t="s">
        <v>51</v>
      </c>
      <c r="U146" s="3">
        <v>3.9E-2</v>
      </c>
      <c r="V146" s="3">
        <v>0.94699999999999995</v>
      </c>
      <c r="W146" s="3">
        <v>0.91800000000000004</v>
      </c>
      <c r="X146" s="3">
        <v>51939.429744529123</v>
      </c>
      <c r="Y146" s="3">
        <v>0.115</v>
      </c>
      <c r="Z146" s="3">
        <v>0</v>
      </c>
      <c r="AA146" s="3">
        <v>0</v>
      </c>
      <c r="AB146" s="3" t="s">
        <v>207</v>
      </c>
      <c r="AC146" s="7" t="s">
        <v>722</v>
      </c>
      <c r="AD146" s="20">
        <v>0.54352428057553948</v>
      </c>
      <c r="AE146" s="20">
        <v>0.45647571942446052</v>
      </c>
      <c r="AF146" s="10">
        <v>2</v>
      </c>
      <c r="AG146" s="3">
        <f t="shared" si="44"/>
        <v>1</v>
      </c>
      <c r="AH146" s="3">
        <f t="shared" si="45"/>
        <v>2</v>
      </c>
      <c r="AI146" s="4">
        <f t="shared" si="46"/>
        <v>1</v>
      </c>
      <c r="AJ146" s="4">
        <f t="shared" si="47"/>
        <v>2</v>
      </c>
      <c r="AK146" s="4">
        <f t="shared" si="48"/>
        <v>1</v>
      </c>
      <c r="AL146" s="4">
        <f t="shared" si="49"/>
        <v>2</v>
      </c>
      <c r="AM146" s="4">
        <f t="shared" si="50"/>
        <v>1</v>
      </c>
      <c r="AN146" s="4">
        <v>0</v>
      </c>
      <c r="AO146" s="4">
        <v>0</v>
      </c>
      <c r="AP146" s="3" t="s">
        <v>61</v>
      </c>
      <c r="AQ146" s="3" t="s">
        <v>97</v>
      </c>
      <c r="AR146" s="3">
        <v>1</v>
      </c>
      <c r="AS146" s="3" t="s">
        <v>62</v>
      </c>
      <c r="AT146" s="16">
        <v>0.40339999999999998</v>
      </c>
      <c r="AU146" s="8">
        <f>(639+432)/2</f>
        <v>535.5</v>
      </c>
      <c r="AV146" s="16">
        <f>0.3873</f>
        <v>0.38729999999999998</v>
      </c>
      <c r="AW146" s="8">
        <f>(639+432)/2</f>
        <v>535.5</v>
      </c>
      <c r="AX146" s="8">
        <f t="shared" si="52"/>
        <v>216.02069999999998</v>
      </c>
      <c r="AY146" s="8">
        <f t="shared" si="41"/>
        <v>319.47930000000002</v>
      </c>
      <c r="AZ146" s="8">
        <f t="shared" si="53"/>
        <v>207.39914999999999</v>
      </c>
      <c r="BA146" s="8">
        <f t="shared" si="42"/>
        <v>328.10085000000004</v>
      </c>
      <c r="BB146" s="8">
        <f t="shared" si="51"/>
        <v>1071</v>
      </c>
    </row>
    <row r="147" spans="1:54" s="1" customFormat="1" x14ac:dyDescent="0.25">
      <c r="A147" s="9" t="str">
        <f t="shared" si="54"/>
        <v>41A</v>
      </c>
      <c r="B147" s="3">
        <v>41</v>
      </c>
      <c r="C147" s="3">
        <v>1</v>
      </c>
      <c r="D147" s="3" t="s">
        <v>65</v>
      </c>
      <c r="E147" s="3">
        <v>1</v>
      </c>
      <c r="F147" s="3">
        <v>1</v>
      </c>
      <c r="G147" s="3">
        <v>0</v>
      </c>
      <c r="H147" s="1" t="s">
        <v>382</v>
      </c>
      <c r="I147" s="1" t="s">
        <v>383</v>
      </c>
      <c r="J147" s="1" t="s">
        <v>203</v>
      </c>
      <c r="K147" s="3">
        <v>1</v>
      </c>
      <c r="L147" s="1" t="s">
        <v>381</v>
      </c>
      <c r="M147" s="1" t="s">
        <v>563</v>
      </c>
      <c r="N147" s="3">
        <v>1</v>
      </c>
      <c r="O147" s="3">
        <v>4</v>
      </c>
      <c r="P147" s="19">
        <f t="shared" si="43"/>
        <v>0.2</v>
      </c>
      <c r="Q147" s="3">
        <v>2020</v>
      </c>
      <c r="R147" s="3" t="s">
        <v>136</v>
      </c>
      <c r="S147" s="3">
        <v>2009</v>
      </c>
      <c r="T147" s="3" t="s">
        <v>129</v>
      </c>
      <c r="U147" s="3">
        <v>0.107</v>
      </c>
      <c r="V147" s="3">
        <v>0.877</v>
      </c>
      <c r="W147" s="3">
        <v>0.77800000000000002</v>
      </c>
      <c r="X147" s="3">
        <v>41737.763551813739</v>
      </c>
      <c r="Y147" s="3">
        <v>7.9000000000000001E-2</v>
      </c>
      <c r="Z147" s="3">
        <v>1</v>
      </c>
      <c r="AA147" s="3">
        <v>0</v>
      </c>
      <c r="AB147" s="3" t="s">
        <v>207</v>
      </c>
      <c r="AC147" s="7" t="s">
        <v>379</v>
      </c>
      <c r="AD147" s="19">
        <v>0.71291306558210477</v>
      </c>
      <c r="AE147" s="19">
        <v>0.28708693441789523</v>
      </c>
      <c r="AF147" s="10">
        <v>1</v>
      </c>
      <c r="AG147" s="3">
        <f t="shared" si="44"/>
        <v>1</v>
      </c>
      <c r="AH147" s="3">
        <f t="shared" si="45"/>
        <v>1</v>
      </c>
      <c r="AI147" s="4">
        <f t="shared" si="46"/>
        <v>1</v>
      </c>
      <c r="AJ147" s="4">
        <f t="shared" si="47"/>
        <v>1</v>
      </c>
      <c r="AK147" s="4">
        <f t="shared" si="48"/>
        <v>1</v>
      </c>
      <c r="AL147" s="4">
        <f t="shared" si="49"/>
        <v>1</v>
      </c>
      <c r="AM147" s="4">
        <f t="shared" si="50"/>
        <v>1</v>
      </c>
      <c r="AN147" s="4">
        <v>0</v>
      </c>
      <c r="AO147" s="4">
        <v>0</v>
      </c>
      <c r="AP147" s="3" t="s">
        <v>380</v>
      </c>
      <c r="AQ147" s="3" t="s">
        <v>97</v>
      </c>
      <c r="AR147" s="3">
        <v>1</v>
      </c>
      <c r="AS147" s="3" t="s">
        <v>62</v>
      </c>
      <c r="AT147" s="16">
        <f>(0.225+0.221+0.179+0.195+0.137+0.15)/6</f>
        <v>0.1845</v>
      </c>
      <c r="AU147" s="3">
        <f>6*307</f>
        <v>1842</v>
      </c>
      <c r="AV147" s="16">
        <f>(0.169+0.199+0.186+0.186+0.192+0.173)/6</f>
        <v>0.18416666666666667</v>
      </c>
      <c r="AW147" s="3">
        <f>6*307</f>
        <v>1842</v>
      </c>
      <c r="AX147" s="8">
        <f t="shared" si="52"/>
        <v>339.84899999999999</v>
      </c>
      <c r="AY147" s="8">
        <f t="shared" si="41"/>
        <v>1502.1510000000001</v>
      </c>
      <c r="AZ147" s="8">
        <f t="shared" si="53"/>
        <v>339.23500000000001</v>
      </c>
      <c r="BA147" s="8">
        <f t="shared" si="42"/>
        <v>1502.7649999999999</v>
      </c>
      <c r="BB147" s="8">
        <f t="shared" si="51"/>
        <v>3684</v>
      </c>
    </row>
    <row r="148" spans="1:54" s="1" customFormat="1" x14ac:dyDescent="0.25">
      <c r="A148" s="9" t="str">
        <f t="shared" si="54"/>
        <v>42A</v>
      </c>
      <c r="B148" s="3">
        <v>42</v>
      </c>
      <c r="C148" s="3">
        <v>1</v>
      </c>
      <c r="D148" s="3" t="s">
        <v>65</v>
      </c>
      <c r="E148" s="3">
        <v>1</v>
      </c>
      <c r="F148" s="3">
        <v>1</v>
      </c>
      <c r="G148" s="3">
        <v>0</v>
      </c>
      <c r="H148" s="1" t="s">
        <v>386</v>
      </c>
      <c r="I148" s="1" t="s">
        <v>387</v>
      </c>
      <c r="J148" s="1" t="s">
        <v>203</v>
      </c>
      <c r="K148" s="3">
        <v>1</v>
      </c>
      <c r="L148" s="1" t="s">
        <v>385</v>
      </c>
      <c r="M148" s="1" t="s">
        <v>564</v>
      </c>
      <c r="N148" s="3">
        <v>3</v>
      </c>
      <c r="O148" s="3">
        <v>0</v>
      </c>
      <c r="P148" s="19">
        <f t="shared" si="43"/>
        <v>1</v>
      </c>
      <c r="Q148" s="3">
        <v>2020</v>
      </c>
      <c r="R148" s="3">
        <v>2014</v>
      </c>
      <c r="S148" s="3">
        <v>2014</v>
      </c>
      <c r="T148" s="3" t="s">
        <v>384</v>
      </c>
      <c r="U148" s="3">
        <v>0.41699999999999998</v>
      </c>
      <c r="V148" s="3">
        <v>0.71299999999999997</v>
      </c>
      <c r="W148" s="3">
        <v>0.68100000000000005</v>
      </c>
      <c r="X148" s="3">
        <v>4991.5655187282409</v>
      </c>
      <c r="Y148" s="3"/>
      <c r="Z148" s="3">
        <v>1</v>
      </c>
      <c r="AA148" s="3">
        <v>0</v>
      </c>
      <c r="AB148" s="3" t="s">
        <v>207</v>
      </c>
      <c r="AC148" s="7" t="s">
        <v>692</v>
      </c>
      <c r="AD148" s="19">
        <v>0.34360000000000002</v>
      </c>
      <c r="AE148" s="19">
        <v>0.65639999999999998</v>
      </c>
      <c r="AF148" s="10">
        <v>0</v>
      </c>
      <c r="AG148" s="3">
        <f t="shared" si="44"/>
        <v>0</v>
      </c>
      <c r="AH148" s="3">
        <f t="shared" si="45"/>
        <v>0</v>
      </c>
      <c r="AI148" s="4">
        <f t="shared" si="46"/>
        <v>0</v>
      </c>
      <c r="AJ148" s="4">
        <f t="shared" si="47"/>
        <v>0</v>
      </c>
      <c r="AK148" s="4">
        <f t="shared" si="48"/>
        <v>0</v>
      </c>
      <c r="AL148" s="4">
        <f t="shared" si="49"/>
        <v>2</v>
      </c>
      <c r="AM148" s="4">
        <f t="shared" si="50"/>
        <v>1</v>
      </c>
      <c r="AN148" s="4">
        <v>0</v>
      </c>
      <c r="AO148" s="4">
        <v>0</v>
      </c>
      <c r="AP148" s="3" t="s">
        <v>61</v>
      </c>
      <c r="AQ148" s="3" t="s">
        <v>97</v>
      </c>
      <c r="AR148" s="3">
        <v>1</v>
      </c>
      <c r="AS148" s="3" t="s">
        <v>62</v>
      </c>
      <c r="AT148" s="16">
        <v>6.3E-2</v>
      </c>
      <c r="AU148" s="3">
        <f>1080/2</f>
        <v>540</v>
      </c>
      <c r="AV148" s="16">
        <v>3.3300000000000003E-2</v>
      </c>
      <c r="AW148" s="3">
        <f>1080/2</f>
        <v>540</v>
      </c>
      <c r="AX148" s="8">
        <v>34</v>
      </c>
      <c r="AY148" s="8">
        <f t="shared" si="41"/>
        <v>506</v>
      </c>
      <c r="AZ148" s="8">
        <v>18</v>
      </c>
      <c r="BA148" s="8">
        <f t="shared" si="42"/>
        <v>522</v>
      </c>
      <c r="BB148" s="8">
        <f t="shared" si="51"/>
        <v>1080</v>
      </c>
    </row>
    <row r="149" spans="1:54" s="1" customFormat="1" x14ac:dyDescent="0.25">
      <c r="A149" s="9" t="str">
        <f t="shared" si="54"/>
        <v>43A</v>
      </c>
      <c r="B149" s="3">
        <v>43</v>
      </c>
      <c r="C149" s="3">
        <v>1</v>
      </c>
      <c r="D149" s="3" t="s">
        <v>65</v>
      </c>
      <c r="E149" s="3">
        <v>1</v>
      </c>
      <c r="F149" s="3">
        <v>1</v>
      </c>
      <c r="G149" s="3">
        <v>0</v>
      </c>
      <c r="H149" s="1" t="s">
        <v>390</v>
      </c>
      <c r="I149" s="1" t="s">
        <v>389</v>
      </c>
      <c r="J149" s="1" t="s">
        <v>203</v>
      </c>
      <c r="K149" s="3">
        <v>1</v>
      </c>
      <c r="L149" s="1" t="s">
        <v>388</v>
      </c>
      <c r="M149" s="1" t="s">
        <v>565</v>
      </c>
      <c r="N149" s="3">
        <v>0</v>
      </c>
      <c r="O149" s="3">
        <v>3</v>
      </c>
      <c r="P149" s="19">
        <f t="shared" si="43"/>
        <v>0</v>
      </c>
      <c r="Q149" s="3">
        <v>2021</v>
      </c>
      <c r="R149" s="3" t="s">
        <v>128</v>
      </c>
      <c r="S149" s="3">
        <v>2012</v>
      </c>
      <c r="T149" s="3" t="s">
        <v>142</v>
      </c>
      <c r="U149" s="3">
        <v>0.11600000000000001</v>
      </c>
      <c r="V149" s="3">
        <v>0.88200000000000001</v>
      </c>
      <c r="W149" s="3">
        <v>0.78700000000000003</v>
      </c>
      <c r="X149" s="3">
        <v>35051.521269770259</v>
      </c>
      <c r="Y149" s="3">
        <v>6.0999999999999999E-2</v>
      </c>
      <c r="Z149" s="3">
        <v>1</v>
      </c>
      <c r="AA149" s="3">
        <v>0</v>
      </c>
      <c r="AB149" s="3" t="s">
        <v>207</v>
      </c>
      <c r="AC149" s="7" t="s">
        <v>686</v>
      </c>
      <c r="AD149" s="19">
        <v>0.53444992000000002</v>
      </c>
      <c r="AE149" s="19">
        <v>0.46555007999999998</v>
      </c>
      <c r="AF149" s="10">
        <v>2</v>
      </c>
      <c r="AG149" s="4">
        <f t="shared" si="44"/>
        <v>1</v>
      </c>
      <c r="AH149" s="3">
        <f t="shared" si="45"/>
        <v>2</v>
      </c>
      <c r="AI149" s="4">
        <f t="shared" si="46"/>
        <v>1</v>
      </c>
      <c r="AJ149" s="4">
        <f t="shared" si="47"/>
        <v>2</v>
      </c>
      <c r="AK149" s="4">
        <f t="shared" si="48"/>
        <v>1</v>
      </c>
      <c r="AL149" s="4">
        <f t="shared" si="49"/>
        <v>2</v>
      </c>
      <c r="AM149" s="4">
        <f t="shared" si="50"/>
        <v>1</v>
      </c>
      <c r="AN149" s="4">
        <v>0</v>
      </c>
      <c r="AO149" s="4">
        <v>0</v>
      </c>
      <c r="AP149" s="3" t="s">
        <v>61</v>
      </c>
      <c r="AQ149" s="3" t="s">
        <v>97</v>
      </c>
      <c r="AR149" s="3">
        <v>1</v>
      </c>
      <c r="AS149" s="3" t="s">
        <v>62</v>
      </c>
      <c r="AT149" s="16">
        <f>AX149/AU149</f>
        <v>0.2708677685950413</v>
      </c>
      <c r="AU149" s="3">
        <v>4840</v>
      </c>
      <c r="AV149" s="16">
        <f>AZ149/AW149</f>
        <v>0.28925619834710742</v>
      </c>
      <c r="AW149" s="3">
        <v>4840</v>
      </c>
      <c r="AX149" s="8">
        <v>1311</v>
      </c>
      <c r="AY149" s="8">
        <f t="shared" si="41"/>
        <v>3529</v>
      </c>
      <c r="AZ149" s="8">
        <v>1400</v>
      </c>
      <c r="BA149" s="8">
        <f t="shared" si="42"/>
        <v>3440</v>
      </c>
      <c r="BB149" s="3">
        <f t="shared" si="51"/>
        <v>9680</v>
      </c>
    </row>
    <row r="150" spans="1:54" s="1" customFormat="1" x14ac:dyDescent="0.25">
      <c r="A150" s="9" t="str">
        <f t="shared" si="54"/>
        <v>44A</v>
      </c>
      <c r="B150" s="3">
        <v>44</v>
      </c>
      <c r="C150" s="3">
        <v>2</v>
      </c>
      <c r="D150" s="3" t="s">
        <v>65</v>
      </c>
      <c r="E150" s="3">
        <v>1</v>
      </c>
      <c r="F150" s="3">
        <v>1</v>
      </c>
      <c r="G150" s="3">
        <v>0</v>
      </c>
      <c r="H150" s="1" t="s">
        <v>138</v>
      </c>
      <c r="I150" s="1" t="s">
        <v>23</v>
      </c>
      <c r="J150" s="1" t="s">
        <v>203</v>
      </c>
      <c r="K150" s="3">
        <v>1</v>
      </c>
      <c r="L150" s="1" t="s">
        <v>139</v>
      </c>
      <c r="M150" s="1" t="s">
        <v>566</v>
      </c>
      <c r="N150" s="3">
        <v>0</v>
      </c>
      <c r="O150" s="3">
        <v>2</v>
      </c>
      <c r="P150" s="19">
        <f t="shared" si="43"/>
        <v>0</v>
      </c>
      <c r="Q150" s="3">
        <v>2018</v>
      </c>
      <c r="R150" s="3">
        <v>2018</v>
      </c>
      <c r="S150" s="3">
        <v>2018</v>
      </c>
      <c r="T150" s="3" t="s">
        <v>60</v>
      </c>
      <c r="U150" s="3">
        <v>0.10199999999999999</v>
      </c>
      <c r="V150" s="3">
        <v>0.91900000000000004</v>
      </c>
      <c r="W150" s="3">
        <v>0.88100000000000001</v>
      </c>
      <c r="X150" s="3">
        <v>42406.845426360647</v>
      </c>
      <c r="Y150" s="3"/>
      <c r="Z150" s="3">
        <v>0</v>
      </c>
      <c r="AA150" s="3">
        <v>0</v>
      </c>
      <c r="AB150" s="3" t="s">
        <v>207</v>
      </c>
      <c r="AC150" s="7" t="s">
        <v>391</v>
      </c>
      <c r="AD150" s="19">
        <v>0.41319999999999996</v>
      </c>
      <c r="AE150" s="19">
        <v>0.58679999999999999</v>
      </c>
      <c r="AF150" s="10">
        <v>2</v>
      </c>
      <c r="AG150" s="4">
        <f t="shared" si="44"/>
        <v>1</v>
      </c>
      <c r="AH150" s="3">
        <f t="shared" si="45"/>
        <v>2</v>
      </c>
      <c r="AI150" s="4">
        <f t="shared" si="46"/>
        <v>1</v>
      </c>
      <c r="AJ150" s="4">
        <f t="shared" si="47"/>
        <v>2</v>
      </c>
      <c r="AK150" s="4">
        <f t="shared" si="48"/>
        <v>1</v>
      </c>
      <c r="AL150" s="4">
        <f t="shared" si="49"/>
        <v>2</v>
      </c>
      <c r="AM150" s="4">
        <f t="shared" si="50"/>
        <v>1</v>
      </c>
      <c r="AN150" s="4">
        <v>0</v>
      </c>
      <c r="AO150" s="4">
        <v>0</v>
      </c>
      <c r="AP150" s="3" t="s">
        <v>100</v>
      </c>
      <c r="AQ150" s="3" t="s">
        <v>97</v>
      </c>
      <c r="AR150" s="3">
        <v>1</v>
      </c>
      <c r="AS150" s="3" t="s">
        <v>62</v>
      </c>
      <c r="AT150" s="16">
        <f>AX150/AU150</f>
        <v>0.28333333333333333</v>
      </c>
      <c r="AU150" s="3">
        <f>60*3</f>
        <v>180</v>
      </c>
      <c r="AV150" s="16">
        <f>AZ150/AW150</f>
        <v>0.42777777777777776</v>
      </c>
      <c r="AW150" s="3">
        <f>60*3</f>
        <v>180</v>
      </c>
      <c r="AX150" s="8">
        <f>21+19+11</f>
        <v>51</v>
      </c>
      <c r="AY150" s="8">
        <f t="shared" si="41"/>
        <v>129</v>
      </c>
      <c r="AZ150" s="8">
        <f>15+25+37</f>
        <v>77</v>
      </c>
      <c r="BA150" s="8">
        <f t="shared" si="42"/>
        <v>103</v>
      </c>
      <c r="BB150" s="8">
        <f t="shared" si="51"/>
        <v>360</v>
      </c>
    </row>
    <row r="151" spans="1:54" s="1" customFormat="1" x14ac:dyDescent="0.25">
      <c r="A151" s="9" t="str">
        <f t="shared" si="54"/>
        <v>45A</v>
      </c>
      <c r="B151" s="3">
        <v>45</v>
      </c>
      <c r="C151" s="3">
        <v>1</v>
      </c>
      <c r="D151" s="3" t="s">
        <v>65</v>
      </c>
      <c r="E151" s="3">
        <v>1</v>
      </c>
      <c r="F151" s="3">
        <v>1</v>
      </c>
      <c r="G151" s="3">
        <v>0</v>
      </c>
      <c r="H151" s="1" t="s">
        <v>394</v>
      </c>
      <c r="I151" s="1" t="s">
        <v>393</v>
      </c>
      <c r="J151" s="1" t="s">
        <v>203</v>
      </c>
      <c r="K151" s="3">
        <v>1</v>
      </c>
      <c r="L151" s="1" t="s">
        <v>392</v>
      </c>
      <c r="M151" s="1" t="s">
        <v>567</v>
      </c>
      <c r="N151" s="3">
        <v>1</v>
      </c>
      <c r="O151" s="3">
        <v>0</v>
      </c>
      <c r="P151" s="19">
        <f t="shared" si="43"/>
        <v>1</v>
      </c>
      <c r="Q151" s="3">
        <v>2018</v>
      </c>
      <c r="R151" s="14">
        <v>2014</v>
      </c>
      <c r="S151" s="25">
        <v>2014</v>
      </c>
      <c r="T151" s="3" t="s">
        <v>101</v>
      </c>
      <c r="U151" s="3">
        <v>0.23499999999999999</v>
      </c>
      <c r="V151" s="14">
        <v>0.92</v>
      </c>
      <c r="W151" s="3">
        <v>0.89200000000000002</v>
      </c>
      <c r="X151" s="3">
        <v>55123.84978690464</v>
      </c>
      <c r="Y151" s="3">
        <v>0</v>
      </c>
      <c r="Z151" s="3">
        <v>0</v>
      </c>
      <c r="AA151" s="3">
        <v>0</v>
      </c>
      <c r="AB151" s="3" t="s">
        <v>207</v>
      </c>
      <c r="AC151" s="7" t="s">
        <v>696</v>
      </c>
      <c r="AD151" s="19">
        <v>0.2545</v>
      </c>
      <c r="AE151" s="19">
        <v>0.74550000000000005</v>
      </c>
      <c r="AF151" s="10">
        <v>0</v>
      </c>
      <c r="AG151" s="3">
        <f t="shared" si="44"/>
        <v>0</v>
      </c>
      <c r="AH151" s="3">
        <f t="shared" si="45"/>
        <v>0</v>
      </c>
      <c r="AI151" s="4">
        <f t="shared" si="46"/>
        <v>0</v>
      </c>
      <c r="AJ151" s="4">
        <f t="shared" si="47"/>
        <v>0</v>
      </c>
      <c r="AK151" s="4">
        <f t="shared" si="48"/>
        <v>0</v>
      </c>
      <c r="AL151" s="4">
        <f t="shared" si="49"/>
        <v>0</v>
      </c>
      <c r="AM151" s="4">
        <f t="shared" si="50"/>
        <v>0</v>
      </c>
      <c r="AN151" s="4">
        <v>0</v>
      </c>
      <c r="AO151" s="4">
        <v>0</v>
      </c>
      <c r="AP151" s="3" t="s">
        <v>100</v>
      </c>
      <c r="AQ151" s="3" t="s">
        <v>97</v>
      </c>
      <c r="AR151" s="3">
        <v>1</v>
      </c>
      <c r="AS151" s="3" t="s">
        <v>62</v>
      </c>
      <c r="AT151" s="16">
        <f>(((0.1327+0.1636)/2)*324+((0.0672+0.0519)/2)*191)/(324+191)</f>
        <v>0.11529058252427185</v>
      </c>
      <c r="AU151" s="3">
        <f>(191+324)*2</f>
        <v>1030</v>
      </c>
      <c r="AV151" s="16">
        <f>(((0.1667+0.1523)/2)*343+((0.0357+0.0264)/2)*190)/(343+190)</f>
        <v>0.11371106941838649</v>
      </c>
      <c r="AW151" s="3">
        <f>(190+343)*2</f>
        <v>1066</v>
      </c>
      <c r="AX151" s="8">
        <f t="shared" ref="AX151:AX156" si="55">AT151*AU151</f>
        <v>118.74930000000001</v>
      </c>
      <c r="AY151" s="8">
        <f t="shared" si="41"/>
        <v>911.25070000000005</v>
      </c>
      <c r="AZ151" s="8">
        <f t="shared" ref="AZ151:AZ156" si="56">AV151*AW151</f>
        <v>121.21599999999999</v>
      </c>
      <c r="BA151" s="8">
        <f t="shared" si="42"/>
        <v>944.78399999999999</v>
      </c>
      <c r="BB151" s="3">
        <f t="shared" si="51"/>
        <v>2096</v>
      </c>
    </row>
    <row r="152" spans="1:54" s="1" customFormat="1" x14ac:dyDescent="0.25">
      <c r="A152" s="9" t="str">
        <f t="shared" si="54"/>
        <v>46A</v>
      </c>
      <c r="B152" s="3">
        <v>46</v>
      </c>
      <c r="C152" s="3">
        <v>1</v>
      </c>
      <c r="D152" s="3" t="s">
        <v>65</v>
      </c>
      <c r="E152" s="3">
        <v>1</v>
      </c>
      <c r="F152" s="3">
        <v>0</v>
      </c>
      <c r="G152" s="3">
        <v>0</v>
      </c>
      <c r="H152" s="1" t="s">
        <v>402</v>
      </c>
      <c r="I152" s="1" t="s">
        <v>403</v>
      </c>
      <c r="J152" s="1" t="s">
        <v>203</v>
      </c>
      <c r="K152" s="3">
        <v>1</v>
      </c>
      <c r="L152" s="1" t="s">
        <v>401</v>
      </c>
      <c r="M152" s="1" t="s">
        <v>568</v>
      </c>
      <c r="N152" s="3">
        <v>1</v>
      </c>
      <c r="O152" s="3">
        <v>2</v>
      </c>
      <c r="P152" s="19">
        <f t="shared" si="43"/>
        <v>0.33333333333333331</v>
      </c>
      <c r="Q152" s="3">
        <v>2019</v>
      </c>
      <c r="R152" s="3" t="s">
        <v>96</v>
      </c>
      <c r="S152" s="3">
        <v>2016</v>
      </c>
      <c r="T152" s="3" t="s">
        <v>399</v>
      </c>
      <c r="U152" s="3">
        <v>0.53900000000000003</v>
      </c>
      <c r="V152" s="3">
        <v>0.53400000000000003</v>
      </c>
      <c r="W152" s="3">
        <v>0.38</v>
      </c>
      <c r="X152" s="3">
        <v>1468.8214207751519</v>
      </c>
      <c r="Y152" s="3">
        <v>0.17799999999999999</v>
      </c>
      <c r="Z152" s="3">
        <v>1</v>
      </c>
      <c r="AA152" s="3">
        <v>0</v>
      </c>
      <c r="AB152" s="3" t="s">
        <v>207</v>
      </c>
      <c r="AC152" s="7" t="s">
        <v>61</v>
      </c>
      <c r="AD152" s="3"/>
      <c r="AE152" s="3"/>
      <c r="AF152" s="10">
        <v>2</v>
      </c>
      <c r="AG152" s="3">
        <f t="shared" si="44"/>
        <v>1</v>
      </c>
      <c r="AH152" s="3">
        <f t="shared" si="45"/>
        <v>2</v>
      </c>
      <c r="AI152" s="4">
        <f t="shared" si="46"/>
        <v>1</v>
      </c>
      <c r="AJ152" s="4">
        <f t="shared" si="47"/>
        <v>2</v>
      </c>
      <c r="AK152" s="4">
        <f t="shared" si="48"/>
        <v>1</v>
      </c>
      <c r="AL152" s="4">
        <f t="shared" si="49"/>
        <v>2</v>
      </c>
      <c r="AM152" s="4">
        <f t="shared" si="50"/>
        <v>1</v>
      </c>
      <c r="AN152" s="4">
        <v>0</v>
      </c>
      <c r="AO152" s="4">
        <v>0</v>
      </c>
      <c r="AP152" s="3" t="s">
        <v>100</v>
      </c>
      <c r="AQ152" s="3" t="s">
        <v>97</v>
      </c>
      <c r="AR152" s="3">
        <v>1</v>
      </c>
      <c r="AS152" s="3" t="s">
        <v>62</v>
      </c>
      <c r="AT152" s="16">
        <v>0.129</v>
      </c>
      <c r="AU152" s="3">
        <f>SUM(AU153:AU156)</f>
        <v>608</v>
      </c>
      <c r="AV152" s="16">
        <v>0.111</v>
      </c>
      <c r="AW152" s="3">
        <f>SUM(AW153:AW156)</f>
        <v>608</v>
      </c>
      <c r="AX152" s="8">
        <f t="shared" si="55"/>
        <v>78.432000000000002</v>
      </c>
      <c r="AY152" s="8">
        <f t="shared" si="41"/>
        <v>529.56799999999998</v>
      </c>
      <c r="AZ152" s="8">
        <f t="shared" si="56"/>
        <v>67.488</v>
      </c>
      <c r="BA152" s="8">
        <f t="shared" si="42"/>
        <v>540.51199999999994</v>
      </c>
      <c r="BB152" s="3">
        <f t="shared" si="51"/>
        <v>1216</v>
      </c>
    </row>
    <row r="153" spans="1:54" s="1" customFormat="1" x14ac:dyDescent="0.25">
      <c r="A153" s="9" t="str">
        <f t="shared" si="54"/>
        <v>46B</v>
      </c>
      <c r="B153" s="4">
        <v>46</v>
      </c>
      <c r="C153" s="4">
        <v>1</v>
      </c>
      <c r="D153" s="4" t="s">
        <v>66</v>
      </c>
      <c r="E153" s="4">
        <v>0</v>
      </c>
      <c r="F153" s="4">
        <v>1</v>
      </c>
      <c r="G153" s="4">
        <v>0</v>
      </c>
      <c r="H153" s="2" t="s">
        <v>402</v>
      </c>
      <c r="I153" s="2" t="s">
        <v>403</v>
      </c>
      <c r="J153" s="2" t="s">
        <v>203</v>
      </c>
      <c r="K153" s="4">
        <v>1</v>
      </c>
      <c r="L153" s="2" t="s">
        <v>401</v>
      </c>
      <c r="M153" s="22"/>
      <c r="N153" s="4">
        <v>1</v>
      </c>
      <c r="O153" s="4">
        <v>2</v>
      </c>
      <c r="P153" s="20">
        <f t="shared" si="43"/>
        <v>0.33333333333333331</v>
      </c>
      <c r="Q153" s="4">
        <v>2019</v>
      </c>
      <c r="R153" s="4" t="s">
        <v>96</v>
      </c>
      <c r="S153" s="4">
        <v>2016</v>
      </c>
      <c r="T153" s="4" t="s">
        <v>399</v>
      </c>
      <c r="U153" s="4">
        <v>0.53900000000000003</v>
      </c>
      <c r="V153" s="4">
        <v>0.53400000000000003</v>
      </c>
      <c r="W153" s="4">
        <v>0.38</v>
      </c>
      <c r="X153" s="4">
        <v>1468.8214207751519</v>
      </c>
      <c r="Y153" s="4">
        <v>0.17799999999999999</v>
      </c>
      <c r="Z153" s="4">
        <v>1</v>
      </c>
      <c r="AA153" s="4">
        <v>0</v>
      </c>
      <c r="AB153" s="4" t="s">
        <v>207</v>
      </c>
      <c r="AC153" s="17" t="s">
        <v>395</v>
      </c>
      <c r="AD153" s="20">
        <v>0.96399999999999997</v>
      </c>
      <c r="AE153" s="20">
        <v>3.5999999999999997E-2</v>
      </c>
      <c r="AF153" s="10">
        <v>2</v>
      </c>
      <c r="AG153" s="4">
        <f t="shared" si="44"/>
        <v>1</v>
      </c>
      <c r="AH153" s="3">
        <f t="shared" si="45"/>
        <v>1</v>
      </c>
      <c r="AI153" s="4">
        <f t="shared" si="46"/>
        <v>1</v>
      </c>
      <c r="AJ153" s="4">
        <f t="shared" si="47"/>
        <v>1</v>
      </c>
      <c r="AK153" s="4">
        <f t="shared" si="48"/>
        <v>1</v>
      </c>
      <c r="AL153" s="4">
        <f t="shared" si="49"/>
        <v>1</v>
      </c>
      <c r="AM153" s="4">
        <f t="shared" si="50"/>
        <v>1</v>
      </c>
      <c r="AN153" s="4">
        <v>0</v>
      </c>
      <c r="AO153" s="4">
        <v>0</v>
      </c>
      <c r="AP153" s="4" t="s">
        <v>100</v>
      </c>
      <c r="AQ153" s="4" t="s">
        <v>97</v>
      </c>
      <c r="AR153" s="4">
        <v>1</v>
      </c>
      <c r="AS153" s="4" t="s">
        <v>395</v>
      </c>
      <c r="AT153" s="11">
        <v>0.13900000000000001</v>
      </c>
      <c r="AU153" s="4">
        <f>340/2</f>
        <v>170</v>
      </c>
      <c r="AV153" s="11">
        <v>0.10199999999999999</v>
      </c>
      <c r="AW153" s="4">
        <f>340/2</f>
        <v>170</v>
      </c>
      <c r="AX153" s="10">
        <f t="shared" si="55"/>
        <v>23.630000000000003</v>
      </c>
      <c r="AY153" s="10">
        <f t="shared" si="41"/>
        <v>146.37</v>
      </c>
      <c r="AZ153" s="10">
        <f t="shared" si="56"/>
        <v>17.34</v>
      </c>
      <c r="BA153" s="10">
        <f t="shared" si="42"/>
        <v>152.66</v>
      </c>
      <c r="BB153" s="10">
        <f t="shared" si="51"/>
        <v>340</v>
      </c>
    </row>
    <row r="154" spans="1:54" s="1" customFormat="1" x14ac:dyDescent="0.25">
      <c r="A154" s="9" t="str">
        <f t="shared" si="54"/>
        <v>46C</v>
      </c>
      <c r="B154" s="4">
        <v>46</v>
      </c>
      <c r="C154" s="4">
        <v>1</v>
      </c>
      <c r="D154" s="4" t="s">
        <v>67</v>
      </c>
      <c r="E154" s="4">
        <v>0</v>
      </c>
      <c r="F154" s="4">
        <v>1</v>
      </c>
      <c r="G154" s="4">
        <v>0</v>
      </c>
      <c r="H154" s="2" t="s">
        <v>402</v>
      </c>
      <c r="I154" s="2" t="s">
        <v>403</v>
      </c>
      <c r="J154" s="2" t="s">
        <v>203</v>
      </c>
      <c r="K154" s="4">
        <v>1</v>
      </c>
      <c r="L154" s="2" t="s">
        <v>401</v>
      </c>
      <c r="N154" s="4">
        <v>1</v>
      </c>
      <c r="O154" s="4">
        <v>2</v>
      </c>
      <c r="P154" s="20">
        <f t="shared" si="43"/>
        <v>0.33333333333333331</v>
      </c>
      <c r="Q154" s="4">
        <v>2019</v>
      </c>
      <c r="R154" s="4" t="s">
        <v>96</v>
      </c>
      <c r="S154" s="4">
        <v>2016</v>
      </c>
      <c r="T154" s="4" t="s">
        <v>399</v>
      </c>
      <c r="U154" s="4">
        <v>0.53900000000000003</v>
      </c>
      <c r="V154" s="4">
        <v>0.53400000000000003</v>
      </c>
      <c r="W154" s="4">
        <v>0.38</v>
      </c>
      <c r="X154" s="4">
        <v>1468.8214207751519</v>
      </c>
      <c r="Y154" s="4">
        <v>0.17799999999999999</v>
      </c>
      <c r="Z154" s="4">
        <v>1</v>
      </c>
      <c r="AA154" s="4">
        <v>0</v>
      </c>
      <c r="AB154" s="4" t="s">
        <v>207</v>
      </c>
      <c r="AC154" s="17" t="s">
        <v>396</v>
      </c>
      <c r="AD154" s="20">
        <v>0.66799999999999993</v>
      </c>
      <c r="AE154" s="20">
        <v>0.33200000000000002</v>
      </c>
      <c r="AF154" s="10">
        <v>2</v>
      </c>
      <c r="AG154" s="4">
        <f t="shared" si="44"/>
        <v>1</v>
      </c>
      <c r="AH154" s="3">
        <f t="shared" si="45"/>
        <v>1</v>
      </c>
      <c r="AI154" s="4">
        <f t="shared" si="46"/>
        <v>1</v>
      </c>
      <c r="AJ154" s="4">
        <f t="shared" si="47"/>
        <v>1</v>
      </c>
      <c r="AK154" s="4">
        <f t="shared" si="48"/>
        <v>1</v>
      </c>
      <c r="AL154" s="4">
        <f t="shared" si="49"/>
        <v>2</v>
      </c>
      <c r="AM154" s="4">
        <f t="shared" si="50"/>
        <v>1</v>
      </c>
      <c r="AN154" s="4">
        <v>0</v>
      </c>
      <c r="AO154" s="4">
        <v>0</v>
      </c>
      <c r="AP154" s="4" t="s">
        <v>100</v>
      </c>
      <c r="AQ154" s="4" t="s">
        <v>97</v>
      </c>
      <c r="AR154" s="4">
        <v>1</v>
      </c>
      <c r="AS154" s="4" t="s">
        <v>396</v>
      </c>
      <c r="AT154" s="11">
        <v>9.4E-2</v>
      </c>
      <c r="AU154" s="4">
        <f>292/2</f>
        <v>146</v>
      </c>
      <c r="AV154" s="11">
        <v>9.2999999999999999E-2</v>
      </c>
      <c r="AW154" s="4">
        <f>292/2</f>
        <v>146</v>
      </c>
      <c r="AX154" s="10">
        <f t="shared" si="55"/>
        <v>13.724</v>
      </c>
      <c r="AY154" s="10">
        <f t="shared" si="41"/>
        <v>132.27600000000001</v>
      </c>
      <c r="AZ154" s="10">
        <f t="shared" si="56"/>
        <v>13.577999999999999</v>
      </c>
      <c r="BA154" s="10">
        <f t="shared" si="42"/>
        <v>132.422</v>
      </c>
      <c r="BB154" s="4">
        <f t="shared" si="51"/>
        <v>292</v>
      </c>
    </row>
    <row r="155" spans="1:54" s="1" customFormat="1" x14ac:dyDescent="0.25">
      <c r="A155" s="9" t="str">
        <f t="shared" si="54"/>
        <v>46D</v>
      </c>
      <c r="B155" s="4">
        <v>46</v>
      </c>
      <c r="C155" s="4">
        <v>1</v>
      </c>
      <c r="D155" s="4" t="s">
        <v>68</v>
      </c>
      <c r="E155" s="4">
        <v>0</v>
      </c>
      <c r="F155" s="4">
        <v>1</v>
      </c>
      <c r="G155" s="4">
        <v>0</v>
      </c>
      <c r="H155" s="2" t="s">
        <v>402</v>
      </c>
      <c r="I155" s="2" t="s">
        <v>403</v>
      </c>
      <c r="J155" s="2" t="s">
        <v>203</v>
      </c>
      <c r="K155" s="4">
        <v>1</v>
      </c>
      <c r="L155" s="2" t="s">
        <v>401</v>
      </c>
      <c r="N155" s="4">
        <v>1</v>
      </c>
      <c r="O155" s="4">
        <v>2</v>
      </c>
      <c r="P155" s="20">
        <f t="shared" si="43"/>
        <v>0.33333333333333331</v>
      </c>
      <c r="Q155" s="4">
        <v>2019</v>
      </c>
      <c r="R155" s="4" t="s">
        <v>96</v>
      </c>
      <c r="S155" s="4">
        <v>2016</v>
      </c>
      <c r="T155" s="4" t="s">
        <v>399</v>
      </c>
      <c r="U155" s="4">
        <v>0.53900000000000003</v>
      </c>
      <c r="V155" s="4">
        <v>0.53400000000000003</v>
      </c>
      <c r="W155" s="4">
        <v>0.38</v>
      </c>
      <c r="X155" s="4">
        <v>1468.8214207751519</v>
      </c>
      <c r="Y155" s="4">
        <v>0.17799999999999999</v>
      </c>
      <c r="Z155" s="4">
        <v>1</v>
      </c>
      <c r="AA155" s="4">
        <v>0</v>
      </c>
      <c r="AB155" s="4" t="s">
        <v>207</v>
      </c>
      <c r="AC155" s="17" t="s">
        <v>400</v>
      </c>
      <c r="AD155" s="20">
        <v>0.66799999999999993</v>
      </c>
      <c r="AE155" s="20">
        <v>0.33200000000000002</v>
      </c>
      <c r="AF155" s="10">
        <v>2</v>
      </c>
      <c r="AG155" s="4">
        <f t="shared" si="44"/>
        <v>1</v>
      </c>
      <c r="AH155" s="3">
        <f t="shared" si="45"/>
        <v>1</v>
      </c>
      <c r="AI155" s="4">
        <f t="shared" si="46"/>
        <v>1</v>
      </c>
      <c r="AJ155" s="4">
        <f t="shared" si="47"/>
        <v>1</v>
      </c>
      <c r="AK155" s="4">
        <f t="shared" si="48"/>
        <v>1</v>
      </c>
      <c r="AL155" s="4">
        <f t="shared" si="49"/>
        <v>2</v>
      </c>
      <c r="AM155" s="4">
        <f t="shared" si="50"/>
        <v>1</v>
      </c>
      <c r="AN155" s="4">
        <v>0</v>
      </c>
      <c r="AO155" s="4">
        <v>0</v>
      </c>
      <c r="AP155" s="4" t="s">
        <v>100</v>
      </c>
      <c r="AQ155" s="4" t="s">
        <v>97</v>
      </c>
      <c r="AR155" s="4">
        <v>1</v>
      </c>
      <c r="AS155" s="4" t="s">
        <v>397</v>
      </c>
      <c r="AT155" s="11">
        <v>0.13600000000000001</v>
      </c>
      <c r="AU155" s="4">
        <f>316/2</f>
        <v>158</v>
      </c>
      <c r="AV155" s="11">
        <v>0.113</v>
      </c>
      <c r="AW155" s="4">
        <f>316/2</f>
        <v>158</v>
      </c>
      <c r="AX155" s="10">
        <f t="shared" si="55"/>
        <v>21.488000000000003</v>
      </c>
      <c r="AY155" s="10">
        <f t="shared" si="41"/>
        <v>136.512</v>
      </c>
      <c r="AZ155" s="10">
        <f t="shared" si="56"/>
        <v>17.853999999999999</v>
      </c>
      <c r="BA155" s="10">
        <f t="shared" si="42"/>
        <v>140.14600000000002</v>
      </c>
      <c r="BB155" s="4">
        <f t="shared" si="51"/>
        <v>316</v>
      </c>
    </row>
    <row r="156" spans="1:54" s="1" customFormat="1" x14ac:dyDescent="0.25">
      <c r="A156" s="9" t="str">
        <f t="shared" si="54"/>
        <v>46E</v>
      </c>
      <c r="B156" s="4">
        <v>46</v>
      </c>
      <c r="C156" s="4">
        <v>1</v>
      </c>
      <c r="D156" s="4" t="s">
        <v>102</v>
      </c>
      <c r="E156" s="4">
        <v>0</v>
      </c>
      <c r="F156" s="4">
        <v>1</v>
      </c>
      <c r="G156" s="4">
        <v>0</v>
      </c>
      <c r="H156" s="2" t="s">
        <v>402</v>
      </c>
      <c r="I156" s="2" t="s">
        <v>403</v>
      </c>
      <c r="J156" s="2" t="s">
        <v>203</v>
      </c>
      <c r="K156" s="4">
        <v>1</v>
      </c>
      <c r="L156" s="2" t="s">
        <v>401</v>
      </c>
      <c r="N156" s="4">
        <v>1</v>
      </c>
      <c r="O156" s="4">
        <v>2</v>
      </c>
      <c r="P156" s="20">
        <f t="shared" si="43"/>
        <v>0.33333333333333331</v>
      </c>
      <c r="Q156" s="4">
        <v>2019</v>
      </c>
      <c r="R156" s="4" t="s">
        <v>96</v>
      </c>
      <c r="S156" s="4">
        <v>2016</v>
      </c>
      <c r="T156" s="4" t="s">
        <v>399</v>
      </c>
      <c r="U156" s="4">
        <v>0.53900000000000003</v>
      </c>
      <c r="V156" s="4">
        <v>0.53400000000000003</v>
      </c>
      <c r="W156" s="4">
        <v>0.38</v>
      </c>
      <c r="X156" s="4">
        <v>1468.8214207751519</v>
      </c>
      <c r="Y156" s="3">
        <v>0.17799999999999999</v>
      </c>
      <c r="Z156" s="4">
        <v>1</v>
      </c>
      <c r="AA156" s="4">
        <v>0</v>
      </c>
      <c r="AB156" s="4" t="s">
        <v>207</v>
      </c>
      <c r="AC156" s="17" t="s">
        <v>398</v>
      </c>
      <c r="AD156" s="20">
        <v>0.97699999999999998</v>
      </c>
      <c r="AE156" s="20">
        <v>2.3E-2</v>
      </c>
      <c r="AF156" s="10">
        <v>0</v>
      </c>
      <c r="AG156" s="4">
        <f t="shared" si="44"/>
        <v>0</v>
      </c>
      <c r="AH156" s="3">
        <f t="shared" si="45"/>
        <v>1</v>
      </c>
      <c r="AI156" s="4">
        <f t="shared" si="46"/>
        <v>1</v>
      </c>
      <c r="AJ156" s="4">
        <f t="shared" si="47"/>
        <v>1</v>
      </c>
      <c r="AK156" s="4">
        <f t="shared" si="48"/>
        <v>1</v>
      </c>
      <c r="AL156" s="4">
        <f t="shared" si="49"/>
        <v>1</v>
      </c>
      <c r="AM156" s="4">
        <f t="shared" si="50"/>
        <v>1</v>
      </c>
      <c r="AN156" s="4">
        <v>0</v>
      </c>
      <c r="AO156" s="4">
        <v>0</v>
      </c>
      <c r="AP156" s="4" t="s">
        <v>100</v>
      </c>
      <c r="AQ156" s="4" t="s">
        <v>97</v>
      </c>
      <c r="AR156" s="4">
        <v>1</v>
      </c>
      <c r="AS156" s="4" t="s">
        <v>398</v>
      </c>
      <c r="AT156" s="11">
        <v>0.14599999999999999</v>
      </c>
      <c r="AU156" s="4">
        <f>268/2</f>
        <v>134</v>
      </c>
      <c r="AV156" s="11">
        <v>0.13100000000000001</v>
      </c>
      <c r="AW156" s="4">
        <f>268/2</f>
        <v>134</v>
      </c>
      <c r="AX156" s="10">
        <f t="shared" si="55"/>
        <v>19.564</v>
      </c>
      <c r="AY156" s="10">
        <f t="shared" si="41"/>
        <v>114.43600000000001</v>
      </c>
      <c r="AZ156" s="10">
        <f t="shared" si="56"/>
        <v>17.554000000000002</v>
      </c>
      <c r="BA156" s="10">
        <f t="shared" si="42"/>
        <v>116.446</v>
      </c>
      <c r="BB156" s="4">
        <f t="shared" si="51"/>
        <v>268</v>
      </c>
    </row>
    <row r="157" spans="1:54" s="1" customFormat="1" x14ac:dyDescent="0.25">
      <c r="A157" s="9" t="str">
        <f t="shared" si="54"/>
        <v>47A</v>
      </c>
      <c r="B157" s="3">
        <v>47</v>
      </c>
      <c r="C157" s="3">
        <v>1</v>
      </c>
      <c r="D157" s="3" t="s">
        <v>65</v>
      </c>
      <c r="E157" s="3">
        <v>1</v>
      </c>
      <c r="F157" s="3">
        <v>1</v>
      </c>
      <c r="G157" s="3">
        <v>0</v>
      </c>
      <c r="H157" s="1" t="s">
        <v>408</v>
      </c>
      <c r="I157" s="1" t="s">
        <v>407</v>
      </c>
      <c r="J157" s="1" t="s">
        <v>203</v>
      </c>
      <c r="K157" s="3">
        <v>1</v>
      </c>
      <c r="L157" s="1" t="s">
        <v>406</v>
      </c>
      <c r="M157" s="1" t="s">
        <v>569</v>
      </c>
      <c r="N157" s="3">
        <v>0</v>
      </c>
      <c r="O157" s="3">
        <v>1</v>
      </c>
      <c r="P157" s="19">
        <f t="shared" si="43"/>
        <v>0</v>
      </c>
      <c r="Q157" s="3">
        <v>2020</v>
      </c>
      <c r="R157" s="3" t="s">
        <v>339</v>
      </c>
      <c r="S157" s="3">
        <v>2015</v>
      </c>
      <c r="T157" s="3" t="s">
        <v>404</v>
      </c>
      <c r="U157" s="3">
        <v>0.439</v>
      </c>
      <c r="V157" s="3">
        <v>0.753</v>
      </c>
      <c r="W157" s="3">
        <v>0.67700000000000005</v>
      </c>
      <c r="X157" s="3">
        <v>8783.2259838781702</v>
      </c>
      <c r="Y157" s="3">
        <v>7.1999999999999995E-2</v>
      </c>
      <c r="Z157" s="3">
        <v>0</v>
      </c>
      <c r="AA157" s="3">
        <v>0</v>
      </c>
      <c r="AB157" s="3" t="s">
        <v>207</v>
      </c>
      <c r="AC157" s="7" t="s">
        <v>405</v>
      </c>
      <c r="AD157" s="19">
        <v>0.43695141780165486</v>
      </c>
      <c r="AE157" s="19">
        <v>0.56304858219834519</v>
      </c>
      <c r="AF157" s="10">
        <v>2</v>
      </c>
      <c r="AG157" s="4">
        <f t="shared" si="44"/>
        <v>1</v>
      </c>
      <c r="AH157" s="3">
        <f t="shared" si="45"/>
        <v>2</v>
      </c>
      <c r="AI157" s="4">
        <f t="shared" si="46"/>
        <v>1</v>
      </c>
      <c r="AJ157" s="4">
        <f t="shared" si="47"/>
        <v>2</v>
      </c>
      <c r="AK157" s="4">
        <f t="shared" si="48"/>
        <v>1</v>
      </c>
      <c r="AL157" s="4">
        <f t="shared" si="49"/>
        <v>2</v>
      </c>
      <c r="AM157" s="4">
        <f t="shared" si="50"/>
        <v>1</v>
      </c>
      <c r="AN157" s="4">
        <v>0</v>
      </c>
      <c r="AO157" s="4">
        <v>0</v>
      </c>
      <c r="AP157" s="3" t="s">
        <v>100</v>
      </c>
      <c r="AQ157" s="3" t="s">
        <v>63</v>
      </c>
      <c r="AR157" s="3">
        <v>1</v>
      </c>
      <c r="AS157" s="3" t="s">
        <v>62</v>
      </c>
      <c r="AT157" s="16">
        <f>AX157/AU157</f>
        <v>0.14354066985645933</v>
      </c>
      <c r="AU157" s="3">
        <v>418</v>
      </c>
      <c r="AV157" s="16">
        <f>AZ157/AW157</f>
        <v>6.965174129353234E-2</v>
      </c>
      <c r="AW157" s="3">
        <v>402</v>
      </c>
      <c r="AX157" s="8">
        <v>60</v>
      </c>
      <c r="AY157" s="8">
        <f t="shared" si="41"/>
        <v>358</v>
      </c>
      <c r="AZ157" s="8">
        <v>28</v>
      </c>
      <c r="BA157" s="8">
        <f t="shared" si="42"/>
        <v>374</v>
      </c>
      <c r="BB157" s="8">
        <f t="shared" si="51"/>
        <v>820</v>
      </c>
    </row>
    <row r="158" spans="1:54" x14ac:dyDescent="0.25">
      <c r="A158" s="9" t="str">
        <f t="shared" si="54"/>
        <v>48A</v>
      </c>
      <c r="B158" s="3">
        <v>48</v>
      </c>
      <c r="C158" s="3">
        <v>1</v>
      </c>
      <c r="D158" s="3" t="s">
        <v>65</v>
      </c>
      <c r="E158" s="3">
        <v>1</v>
      </c>
      <c r="F158" s="3">
        <v>1</v>
      </c>
      <c r="G158" s="3">
        <v>0</v>
      </c>
      <c r="H158" s="1" t="s">
        <v>411</v>
      </c>
      <c r="I158" s="1" t="s">
        <v>410</v>
      </c>
      <c r="J158" s="1" t="s">
        <v>203</v>
      </c>
      <c r="K158" s="3">
        <v>1</v>
      </c>
      <c r="L158" s="1" t="s">
        <v>409</v>
      </c>
      <c r="M158" s="1" t="s">
        <v>570</v>
      </c>
      <c r="N158" s="3">
        <v>1</v>
      </c>
      <c r="O158" s="3">
        <v>2</v>
      </c>
      <c r="P158" s="19">
        <f t="shared" si="43"/>
        <v>0.33333333333333331</v>
      </c>
      <c r="Q158" s="3">
        <v>2020</v>
      </c>
      <c r="R158" s="3" t="s">
        <v>112</v>
      </c>
      <c r="S158" s="3">
        <v>2014</v>
      </c>
      <c r="T158" s="3" t="s">
        <v>142</v>
      </c>
      <c r="U158" s="3">
        <v>8.6999999999999994E-2</v>
      </c>
      <c r="V158" s="3">
        <v>0.88200000000000001</v>
      </c>
      <c r="W158" s="3">
        <v>0.78600000000000003</v>
      </c>
      <c r="X158" s="3">
        <v>35565.721377149624</v>
      </c>
      <c r="Y158" s="3">
        <v>6.0999999999999999E-2</v>
      </c>
      <c r="Z158" s="3">
        <v>1</v>
      </c>
      <c r="AA158" s="3">
        <v>0</v>
      </c>
      <c r="AB158" s="3" t="s">
        <v>207</v>
      </c>
      <c r="AC158" s="7" t="s">
        <v>61</v>
      </c>
      <c r="AD158" s="19">
        <v>0.58099999999999996</v>
      </c>
      <c r="AE158" s="19">
        <v>0.41900000000000004</v>
      </c>
      <c r="AF158" s="10">
        <v>2</v>
      </c>
      <c r="AG158" s="4">
        <f t="shared" si="44"/>
        <v>1</v>
      </c>
      <c r="AH158" s="3">
        <f t="shared" si="45"/>
        <v>2</v>
      </c>
      <c r="AI158" s="4">
        <f t="shared" si="46"/>
        <v>1</v>
      </c>
      <c r="AJ158" s="4">
        <f t="shared" si="47"/>
        <v>2</v>
      </c>
      <c r="AK158" s="4">
        <f t="shared" si="48"/>
        <v>1</v>
      </c>
      <c r="AL158" s="4">
        <f t="shared" si="49"/>
        <v>2</v>
      </c>
      <c r="AM158" s="4">
        <f t="shared" si="50"/>
        <v>1</v>
      </c>
      <c r="AN158" s="4">
        <v>0</v>
      </c>
      <c r="AO158" s="4">
        <v>0</v>
      </c>
      <c r="AP158" s="3" t="s">
        <v>61</v>
      </c>
      <c r="AQ158" s="3" t="s">
        <v>97</v>
      </c>
      <c r="AR158" s="3">
        <v>1</v>
      </c>
      <c r="AS158" s="3" t="s">
        <v>62</v>
      </c>
      <c r="AT158" s="16">
        <v>0.23</v>
      </c>
      <c r="AU158" s="3">
        <f>5038/2</f>
        <v>2519</v>
      </c>
      <c r="AV158" s="16">
        <v>0.38</v>
      </c>
      <c r="AW158" s="3">
        <f>5038/2</f>
        <v>2519</v>
      </c>
      <c r="AX158" s="8">
        <f>AT158*AU158</f>
        <v>579.37</v>
      </c>
      <c r="AY158" s="8">
        <f t="shared" si="41"/>
        <v>1939.63</v>
      </c>
      <c r="AZ158" s="8">
        <f>AV158*AW158</f>
        <v>957.22</v>
      </c>
      <c r="BA158" s="8">
        <f t="shared" si="42"/>
        <v>1561.78</v>
      </c>
      <c r="BB158" s="8">
        <f t="shared" si="51"/>
        <v>5038</v>
      </c>
    </row>
    <row r="159" spans="1:54" x14ac:dyDescent="0.25">
      <c r="A159" s="9" t="str">
        <f t="shared" si="54"/>
        <v>49A</v>
      </c>
      <c r="B159" s="3">
        <v>49</v>
      </c>
      <c r="C159" s="3">
        <v>1</v>
      </c>
      <c r="D159" s="3" t="s">
        <v>65</v>
      </c>
      <c r="E159" s="3">
        <v>1</v>
      </c>
      <c r="F159" s="3">
        <v>0</v>
      </c>
      <c r="G159" s="3">
        <v>0</v>
      </c>
      <c r="H159" s="1" t="s">
        <v>414</v>
      </c>
      <c r="I159" s="1" t="s">
        <v>413</v>
      </c>
      <c r="J159" s="1" t="s">
        <v>203</v>
      </c>
      <c r="K159" s="3">
        <v>1</v>
      </c>
      <c r="L159" s="1" t="s">
        <v>412</v>
      </c>
      <c r="M159" s="1" t="s">
        <v>571</v>
      </c>
      <c r="N159" s="3">
        <v>0</v>
      </c>
      <c r="O159" s="3">
        <v>1</v>
      </c>
      <c r="P159" s="19">
        <f t="shared" si="43"/>
        <v>0</v>
      </c>
      <c r="Q159" s="3">
        <v>2020</v>
      </c>
      <c r="R159" s="3">
        <v>2019</v>
      </c>
      <c r="S159" s="3">
        <v>2019</v>
      </c>
      <c r="T159" s="3" t="s">
        <v>125</v>
      </c>
      <c r="U159" s="3">
        <v>0.16800000000000001</v>
      </c>
      <c r="V159" s="3">
        <v>0.76200000000000001</v>
      </c>
      <c r="W159" s="3">
        <v>0.66</v>
      </c>
      <c r="X159" s="3">
        <v>10143.838195558505</v>
      </c>
      <c r="Y159" s="3">
        <v>0.15</v>
      </c>
      <c r="Z159" s="3">
        <v>0</v>
      </c>
      <c r="AA159" s="3">
        <v>0</v>
      </c>
      <c r="AB159" s="3" t="s">
        <v>207</v>
      </c>
      <c r="AC159" s="7" t="s">
        <v>61</v>
      </c>
      <c r="AD159" s="19">
        <v>0.45600000000000002</v>
      </c>
      <c r="AE159" s="19">
        <v>0.54400000000000004</v>
      </c>
      <c r="AF159" s="10">
        <v>2</v>
      </c>
      <c r="AG159" s="4">
        <f t="shared" si="44"/>
        <v>1</v>
      </c>
      <c r="AH159" s="3">
        <f t="shared" si="45"/>
        <v>2</v>
      </c>
      <c r="AI159" s="4">
        <f t="shared" si="46"/>
        <v>1</v>
      </c>
      <c r="AJ159" s="4">
        <f t="shared" si="47"/>
        <v>2</v>
      </c>
      <c r="AK159" s="4">
        <f t="shared" si="48"/>
        <v>1</v>
      </c>
      <c r="AL159" s="4">
        <f t="shared" si="49"/>
        <v>2</v>
      </c>
      <c r="AM159" s="4">
        <f t="shared" si="50"/>
        <v>1</v>
      </c>
      <c r="AN159" s="4">
        <v>0</v>
      </c>
      <c r="AO159" s="4">
        <v>0</v>
      </c>
      <c r="AP159" s="3" t="s">
        <v>380</v>
      </c>
      <c r="AQ159" s="3" t="s">
        <v>97</v>
      </c>
      <c r="AR159" s="3">
        <v>1</v>
      </c>
      <c r="AS159" s="3" t="s">
        <v>62</v>
      </c>
      <c r="AT159" s="16">
        <f>AX159/AU159</f>
        <v>0.10729131521399562</v>
      </c>
      <c r="AU159" s="3">
        <f>SUM(AU160:AU161)</f>
        <v>3201</v>
      </c>
      <c r="AV159" s="16">
        <f>AZ159/AW159</f>
        <v>0.12365785201373712</v>
      </c>
      <c r="AW159" s="3">
        <f>SUM(AW160:AW161)</f>
        <v>3203</v>
      </c>
      <c r="AX159" s="8">
        <f>SUM(AX160:AX161)</f>
        <v>343.43950000000001</v>
      </c>
      <c r="AY159" s="8">
        <f>SUM(AY160:AY161)</f>
        <v>2857.5605</v>
      </c>
      <c r="AZ159" s="8">
        <f>SUM(AZ160:AZ161)</f>
        <v>396.0761</v>
      </c>
      <c r="BA159" s="8">
        <f>SUM(BA160:BA161)</f>
        <v>2806.9238999999998</v>
      </c>
      <c r="BB159" s="8">
        <f t="shared" si="51"/>
        <v>6404</v>
      </c>
    </row>
    <row r="160" spans="1:54" x14ac:dyDescent="0.25">
      <c r="A160" s="9" t="str">
        <f t="shared" si="54"/>
        <v>49B</v>
      </c>
      <c r="B160" s="4">
        <v>49</v>
      </c>
      <c r="C160" s="4">
        <v>1</v>
      </c>
      <c r="D160" s="4" t="s">
        <v>66</v>
      </c>
      <c r="E160" s="4">
        <v>0</v>
      </c>
      <c r="F160" s="4">
        <v>1</v>
      </c>
      <c r="G160" s="4">
        <v>0</v>
      </c>
      <c r="H160" s="2" t="s">
        <v>414</v>
      </c>
      <c r="I160" s="2" t="s">
        <v>413</v>
      </c>
      <c r="J160" s="2" t="s">
        <v>203</v>
      </c>
      <c r="K160" s="4">
        <v>1</v>
      </c>
      <c r="L160" s="2" t="s">
        <v>412</v>
      </c>
      <c r="M160" s="1"/>
      <c r="N160" s="4">
        <v>0</v>
      </c>
      <c r="O160" s="4">
        <v>1</v>
      </c>
      <c r="P160" s="20">
        <f t="shared" si="43"/>
        <v>0</v>
      </c>
      <c r="Q160" s="4">
        <v>2020</v>
      </c>
      <c r="R160" s="4">
        <v>2019</v>
      </c>
      <c r="S160" s="4">
        <v>2019</v>
      </c>
      <c r="T160" s="4" t="s">
        <v>125</v>
      </c>
      <c r="U160" s="4">
        <v>0.16800000000000001</v>
      </c>
      <c r="V160" s="4">
        <v>0.76200000000000001</v>
      </c>
      <c r="W160" s="3">
        <v>0.66</v>
      </c>
      <c r="X160" s="4">
        <v>10143.838195558505</v>
      </c>
      <c r="Y160" s="4">
        <v>0.15</v>
      </c>
      <c r="Z160" s="4">
        <v>0</v>
      </c>
      <c r="AA160" s="4">
        <v>0</v>
      </c>
      <c r="AB160" s="4" t="s">
        <v>207</v>
      </c>
      <c r="AC160" s="17" t="s">
        <v>130</v>
      </c>
      <c r="AD160" s="20">
        <v>0.45600000000000002</v>
      </c>
      <c r="AE160" s="20">
        <v>0.54400000000000004</v>
      </c>
      <c r="AF160" s="10">
        <v>2</v>
      </c>
      <c r="AG160" s="4">
        <f t="shared" si="44"/>
        <v>1</v>
      </c>
      <c r="AH160" s="3">
        <f t="shared" si="45"/>
        <v>2</v>
      </c>
      <c r="AI160" s="4">
        <f t="shared" si="46"/>
        <v>1</v>
      </c>
      <c r="AJ160" s="4">
        <f t="shared" si="47"/>
        <v>2</v>
      </c>
      <c r="AK160" s="4">
        <f t="shared" si="48"/>
        <v>1</v>
      </c>
      <c r="AL160" s="4">
        <f t="shared" si="49"/>
        <v>2</v>
      </c>
      <c r="AM160" s="4">
        <f t="shared" si="50"/>
        <v>1</v>
      </c>
      <c r="AN160" s="4">
        <v>0</v>
      </c>
      <c r="AO160" s="4">
        <v>0</v>
      </c>
      <c r="AP160" s="4" t="s">
        <v>380</v>
      </c>
      <c r="AQ160" s="4" t="s">
        <v>97</v>
      </c>
      <c r="AR160" s="4">
        <v>1</v>
      </c>
      <c r="AS160" s="4" t="s">
        <v>130</v>
      </c>
      <c r="AT160" s="11">
        <f>(0.092*794+0.0883*809)/(794+809)</f>
        <v>9.0132688708671249E-2</v>
      </c>
      <c r="AU160" s="4">
        <f>794+809</f>
        <v>1603</v>
      </c>
      <c r="AV160" s="11">
        <f>(0.0627*798+0.0736*802)/(798+802)</f>
        <v>6.8163625000000005E-2</v>
      </c>
      <c r="AW160" s="4">
        <f>798+802</f>
        <v>1600</v>
      </c>
      <c r="AX160" s="10">
        <f>AT160*AU160</f>
        <v>144.48270000000002</v>
      </c>
      <c r="AY160" s="10">
        <f>AU160-AX160</f>
        <v>1458.5173</v>
      </c>
      <c r="AZ160" s="10">
        <f>AV160*AW160</f>
        <v>109.06180000000001</v>
      </c>
      <c r="BA160" s="10">
        <f>AW160-AZ160</f>
        <v>1490.9382000000001</v>
      </c>
      <c r="BB160" s="4">
        <f t="shared" si="51"/>
        <v>3203</v>
      </c>
    </row>
    <row r="161" spans="1:54" x14ac:dyDescent="0.25">
      <c r="A161" s="9" t="str">
        <f t="shared" si="54"/>
        <v>49C</v>
      </c>
      <c r="B161" s="4">
        <v>49</v>
      </c>
      <c r="C161" s="4">
        <v>1</v>
      </c>
      <c r="D161" s="4" t="s">
        <v>67</v>
      </c>
      <c r="E161" s="4">
        <v>0</v>
      </c>
      <c r="F161" s="4">
        <v>1</v>
      </c>
      <c r="G161" s="4">
        <v>0</v>
      </c>
      <c r="H161" s="2" t="s">
        <v>414</v>
      </c>
      <c r="I161" s="2" t="s">
        <v>413</v>
      </c>
      <c r="J161" s="2" t="s">
        <v>203</v>
      </c>
      <c r="K161" s="4">
        <v>1</v>
      </c>
      <c r="L161" s="2" t="s">
        <v>412</v>
      </c>
      <c r="M161" s="1"/>
      <c r="N161" s="4">
        <v>0</v>
      </c>
      <c r="O161" s="4">
        <v>1</v>
      </c>
      <c r="P161" s="20">
        <f t="shared" si="43"/>
        <v>0</v>
      </c>
      <c r="Q161" s="4">
        <v>2020</v>
      </c>
      <c r="R161" s="4">
        <v>2019</v>
      </c>
      <c r="S161" s="4">
        <v>2019</v>
      </c>
      <c r="T161" s="4" t="s">
        <v>125</v>
      </c>
      <c r="U161" s="4">
        <v>0.16800000000000001</v>
      </c>
      <c r="V161" s="4">
        <v>0.76200000000000001</v>
      </c>
      <c r="W161" s="3">
        <v>0.66</v>
      </c>
      <c r="X161" s="4">
        <v>10143.838195558505</v>
      </c>
      <c r="Y161" s="4">
        <v>0.15</v>
      </c>
      <c r="Z161" s="4">
        <v>0</v>
      </c>
      <c r="AA161" s="4">
        <v>0</v>
      </c>
      <c r="AB161" s="4" t="s">
        <v>207</v>
      </c>
      <c r="AC161" s="17" t="s">
        <v>213</v>
      </c>
      <c r="AD161" s="20">
        <v>0.45600000000000002</v>
      </c>
      <c r="AE161" s="20">
        <v>0.54400000000000004</v>
      </c>
      <c r="AF161" s="10">
        <v>1</v>
      </c>
      <c r="AG161" s="4">
        <f t="shared" si="44"/>
        <v>1</v>
      </c>
      <c r="AH161" s="3">
        <f t="shared" si="45"/>
        <v>2</v>
      </c>
      <c r="AI161" s="4">
        <f t="shared" si="46"/>
        <v>1</v>
      </c>
      <c r="AJ161" s="4">
        <f t="shared" si="47"/>
        <v>2</v>
      </c>
      <c r="AK161" s="4">
        <f t="shared" si="48"/>
        <v>1</v>
      </c>
      <c r="AL161" s="4">
        <f t="shared" si="49"/>
        <v>2</v>
      </c>
      <c r="AM161" s="4">
        <f t="shared" si="50"/>
        <v>1</v>
      </c>
      <c r="AN161" s="4">
        <v>0</v>
      </c>
      <c r="AO161" s="4">
        <v>0</v>
      </c>
      <c r="AP161" s="4" t="s">
        <v>380</v>
      </c>
      <c r="AQ161" s="4" t="s">
        <v>97</v>
      </c>
      <c r="AR161" s="4">
        <v>1</v>
      </c>
      <c r="AS161" s="4" t="s">
        <v>213</v>
      </c>
      <c r="AT161" s="11">
        <f>(0.1369*796+0.1122*802)/(796+802)</f>
        <v>0.12450362953692114</v>
      </c>
      <c r="AU161" s="4">
        <f>796+802</f>
        <v>1598</v>
      </c>
      <c r="AV161" s="11">
        <f>(0.2116*794+0.1471*809)/(794+809)</f>
        <v>0.17904822208359325</v>
      </c>
      <c r="AW161" s="4">
        <f>794+809</f>
        <v>1603</v>
      </c>
      <c r="AX161" s="10">
        <f>AT161*AU161</f>
        <v>198.95679999999999</v>
      </c>
      <c r="AY161" s="10">
        <f>AU161-AX161</f>
        <v>1399.0432000000001</v>
      </c>
      <c r="AZ161" s="10">
        <f>AV161*AW161</f>
        <v>287.01429999999999</v>
      </c>
      <c r="BA161" s="10">
        <f>AW161-AZ161</f>
        <v>1315.9857</v>
      </c>
      <c r="BB161" s="10">
        <f t="shared" si="51"/>
        <v>3201</v>
      </c>
    </row>
    <row r="162" spans="1:54" s="1" customFormat="1" x14ac:dyDescent="0.25">
      <c r="A162" s="9" t="str">
        <f t="shared" si="54"/>
        <v>50A</v>
      </c>
      <c r="B162" s="3">
        <v>50</v>
      </c>
      <c r="C162" s="3">
        <v>1</v>
      </c>
      <c r="D162" s="3" t="s">
        <v>65</v>
      </c>
      <c r="E162" s="3">
        <v>1</v>
      </c>
      <c r="F162" s="3">
        <v>1</v>
      </c>
      <c r="G162" s="3">
        <v>0</v>
      </c>
      <c r="H162" s="1" t="s">
        <v>418</v>
      </c>
      <c r="I162" s="1" t="s">
        <v>419</v>
      </c>
      <c r="J162" s="1" t="s">
        <v>203</v>
      </c>
      <c r="K162" s="3">
        <v>1</v>
      </c>
      <c r="L162" s="1" t="s">
        <v>417</v>
      </c>
      <c r="M162" s="1" t="s">
        <v>572</v>
      </c>
      <c r="N162" s="3">
        <v>0</v>
      </c>
      <c r="O162" s="3">
        <v>2</v>
      </c>
      <c r="P162" s="19">
        <f t="shared" si="43"/>
        <v>0</v>
      </c>
      <c r="Q162" s="3">
        <v>2021</v>
      </c>
      <c r="R162" s="3">
        <v>2019</v>
      </c>
      <c r="S162" s="3">
        <v>2019</v>
      </c>
      <c r="T162" s="3" t="s">
        <v>416</v>
      </c>
      <c r="U162" s="3">
        <v>0.16800000000000001</v>
      </c>
      <c r="V162" s="3">
        <v>0.95199999999999996</v>
      </c>
      <c r="W162" s="3">
        <v>0.88</v>
      </c>
      <c r="X162" s="3">
        <v>48356.063504361395</v>
      </c>
      <c r="Y162" s="3">
        <v>0.09</v>
      </c>
      <c r="Z162" s="3">
        <v>0</v>
      </c>
      <c r="AA162" s="3">
        <v>0</v>
      </c>
      <c r="AB162" s="3" t="s">
        <v>207</v>
      </c>
      <c r="AC162" s="7" t="s">
        <v>415</v>
      </c>
      <c r="AD162" s="19">
        <v>0.50800000000000001</v>
      </c>
      <c r="AE162" s="19">
        <v>0.49199999999999999</v>
      </c>
      <c r="AF162" s="10">
        <v>1</v>
      </c>
      <c r="AG162" s="4">
        <f t="shared" si="44"/>
        <v>1</v>
      </c>
      <c r="AH162" s="3">
        <f t="shared" si="45"/>
        <v>2</v>
      </c>
      <c r="AI162" s="4">
        <f t="shared" si="46"/>
        <v>1</v>
      </c>
      <c r="AJ162" s="4">
        <f t="shared" si="47"/>
        <v>2</v>
      </c>
      <c r="AK162" s="4">
        <f t="shared" si="48"/>
        <v>1</v>
      </c>
      <c r="AL162" s="4">
        <f t="shared" si="49"/>
        <v>2</v>
      </c>
      <c r="AM162" s="4">
        <f t="shared" si="50"/>
        <v>1</v>
      </c>
      <c r="AN162" s="4">
        <v>0</v>
      </c>
      <c r="AO162" s="4">
        <v>0</v>
      </c>
      <c r="AP162" s="3" t="s">
        <v>100</v>
      </c>
      <c r="AQ162" s="3" t="s">
        <v>97</v>
      </c>
      <c r="AR162" s="3">
        <v>1</v>
      </c>
      <c r="AS162" s="3" t="s">
        <v>62</v>
      </c>
      <c r="AT162" s="16">
        <f>AX162/AU162</f>
        <v>0.26162790697674421</v>
      </c>
      <c r="AU162" s="3">
        <f>172*3</f>
        <v>516</v>
      </c>
      <c r="AV162" s="16">
        <f>AZ162/AW162</f>
        <v>0.25968992248062017</v>
      </c>
      <c r="AW162" s="3">
        <f>172*3</f>
        <v>516</v>
      </c>
      <c r="AX162" s="8">
        <f>12+72+51</f>
        <v>135</v>
      </c>
      <c r="AY162" s="8">
        <f>160+100+121</f>
        <v>381</v>
      </c>
      <c r="AZ162" s="8">
        <f>21+71+42</f>
        <v>134</v>
      </c>
      <c r="BA162" s="8">
        <f>151+101+130</f>
        <v>382</v>
      </c>
      <c r="BB162" s="8">
        <f t="shared" si="51"/>
        <v>1032</v>
      </c>
    </row>
    <row r="163" spans="1:54" s="1" customFormat="1" x14ac:dyDescent="0.25">
      <c r="A163" s="9" t="str">
        <f t="shared" si="54"/>
        <v>51A</v>
      </c>
      <c r="B163" s="3">
        <v>51</v>
      </c>
      <c r="C163" s="3">
        <v>1</v>
      </c>
      <c r="D163" s="3" t="s">
        <v>65</v>
      </c>
      <c r="E163" s="3">
        <v>1</v>
      </c>
      <c r="F163" s="3">
        <v>0</v>
      </c>
      <c r="G163" s="3">
        <v>0</v>
      </c>
      <c r="H163" s="1" t="s">
        <v>425</v>
      </c>
      <c r="I163" s="1" t="s">
        <v>424</v>
      </c>
      <c r="J163" s="1" t="s">
        <v>203</v>
      </c>
      <c r="K163" s="3">
        <v>1</v>
      </c>
      <c r="L163" s="1" t="s">
        <v>423</v>
      </c>
      <c r="M163" s="1" t="s">
        <v>573</v>
      </c>
      <c r="N163" s="3">
        <v>2</v>
      </c>
      <c r="O163" s="3">
        <v>1</v>
      </c>
      <c r="P163" s="19">
        <f t="shared" si="43"/>
        <v>0.66666666666666663</v>
      </c>
      <c r="Q163" s="4">
        <v>2021</v>
      </c>
      <c r="R163" s="3">
        <v>2016</v>
      </c>
      <c r="S163" s="3">
        <v>2016</v>
      </c>
      <c r="T163" s="3" t="s">
        <v>286</v>
      </c>
      <c r="U163" s="3">
        <v>0.08</v>
      </c>
      <c r="V163" s="3">
        <v>0.88900000000000001</v>
      </c>
      <c r="W163" s="3">
        <v>0.83199999999999996</v>
      </c>
      <c r="X163" s="3">
        <v>26537.159489454178</v>
      </c>
      <c r="Y163" s="3">
        <v>7.3999999999999996E-2</v>
      </c>
      <c r="Z163" s="3">
        <v>1</v>
      </c>
      <c r="AA163" s="3">
        <v>0</v>
      </c>
      <c r="AB163" s="3" t="s">
        <v>207</v>
      </c>
      <c r="AC163" s="7" t="s">
        <v>61</v>
      </c>
      <c r="AD163" s="3"/>
      <c r="AE163" s="3"/>
      <c r="AF163" s="10">
        <v>2</v>
      </c>
      <c r="AG163" s="3">
        <f t="shared" si="44"/>
        <v>1</v>
      </c>
      <c r="AH163" s="3">
        <f t="shared" si="45"/>
        <v>2</v>
      </c>
      <c r="AI163" s="4">
        <f t="shared" si="46"/>
        <v>1</v>
      </c>
      <c r="AJ163" s="4">
        <f t="shared" si="47"/>
        <v>2</v>
      </c>
      <c r="AK163" s="4">
        <f t="shared" si="48"/>
        <v>1</v>
      </c>
      <c r="AL163" s="4">
        <f t="shared" si="49"/>
        <v>2</v>
      </c>
      <c r="AM163" s="4">
        <f t="shared" si="50"/>
        <v>1</v>
      </c>
      <c r="AN163" s="4">
        <v>0</v>
      </c>
      <c r="AO163" s="4">
        <v>0</v>
      </c>
      <c r="AP163" s="3" t="s">
        <v>61</v>
      </c>
      <c r="AQ163" s="3" t="s">
        <v>97</v>
      </c>
      <c r="AR163" s="3">
        <v>1</v>
      </c>
      <c r="AS163" s="3" t="s">
        <v>62</v>
      </c>
      <c r="AT163" s="16">
        <v>7.6999999999999999E-2</v>
      </c>
      <c r="AU163" s="3">
        <f>SUM(AU164:AU166)</f>
        <v>2808</v>
      </c>
      <c r="AV163" s="16">
        <v>0.109</v>
      </c>
      <c r="AW163" s="3">
        <f>SUM(AW164:AW166)</f>
        <v>2812</v>
      </c>
      <c r="AX163" s="8">
        <f t="shared" ref="AX163:AX169" si="57">AT163*AU163</f>
        <v>216.21600000000001</v>
      </c>
      <c r="AY163" s="8">
        <f t="shared" ref="AY163:AY169" si="58">AU163-AX163</f>
        <v>2591.7840000000001</v>
      </c>
      <c r="AZ163" s="8">
        <f t="shared" ref="AZ163:AZ169" si="59">AV163*AW163</f>
        <v>306.50799999999998</v>
      </c>
      <c r="BA163" s="8">
        <f t="shared" ref="BA163:BA169" si="60">AW163-AZ163</f>
        <v>2505.4920000000002</v>
      </c>
      <c r="BB163" s="8">
        <f t="shared" si="51"/>
        <v>5620</v>
      </c>
    </row>
    <row r="164" spans="1:54" s="1" customFormat="1" x14ac:dyDescent="0.25">
      <c r="A164" s="9" t="str">
        <f t="shared" si="54"/>
        <v>51B</v>
      </c>
      <c r="B164" s="4">
        <v>51</v>
      </c>
      <c r="C164" s="4">
        <v>1</v>
      </c>
      <c r="D164" s="4" t="s">
        <v>66</v>
      </c>
      <c r="E164" s="4">
        <v>0</v>
      </c>
      <c r="F164" s="4">
        <v>1</v>
      </c>
      <c r="G164" s="4">
        <v>0</v>
      </c>
      <c r="H164" s="2" t="s">
        <v>425</v>
      </c>
      <c r="I164" s="2" t="s">
        <v>424</v>
      </c>
      <c r="J164" s="2" t="s">
        <v>203</v>
      </c>
      <c r="K164" s="4">
        <v>1</v>
      </c>
      <c r="L164" s="2" t="s">
        <v>423</v>
      </c>
      <c r="N164" s="4">
        <v>2</v>
      </c>
      <c r="O164" s="4">
        <v>1</v>
      </c>
      <c r="P164" s="20">
        <f t="shared" si="43"/>
        <v>0.66666666666666663</v>
      </c>
      <c r="Q164" s="4">
        <v>2021</v>
      </c>
      <c r="R164" s="4">
        <v>2016</v>
      </c>
      <c r="S164" s="4">
        <v>2016</v>
      </c>
      <c r="T164" s="4" t="s">
        <v>286</v>
      </c>
      <c r="U164" s="4">
        <v>0.08</v>
      </c>
      <c r="V164" s="4">
        <v>0.88900000000000001</v>
      </c>
      <c r="W164" s="4">
        <v>0.83199999999999996</v>
      </c>
      <c r="X164" s="4">
        <v>26537.159489454178</v>
      </c>
      <c r="Y164" s="4">
        <v>7.3999999999999996E-2</v>
      </c>
      <c r="Z164" s="4">
        <v>1</v>
      </c>
      <c r="AA164" s="4">
        <v>0</v>
      </c>
      <c r="AB164" s="4" t="s">
        <v>207</v>
      </c>
      <c r="AC164" s="17" t="s">
        <v>421</v>
      </c>
      <c r="AD164" s="20">
        <v>0.7860666666666668</v>
      </c>
      <c r="AE164" s="20">
        <v>0.2139333333333332</v>
      </c>
      <c r="AF164" s="10">
        <v>1</v>
      </c>
      <c r="AG164" s="4">
        <f t="shared" si="44"/>
        <v>1</v>
      </c>
      <c r="AH164" s="3">
        <f t="shared" si="45"/>
        <v>1</v>
      </c>
      <c r="AI164" s="4">
        <f t="shared" si="46"/>
        <v>1</v>
      </c>
      <c r="AJ164" s="4">
        <f t="shared" si="47"/>
        <v>1</v>
      </c>
      <c r="AK164" s="4">
        <f t="shared" si="48"/>
        <v>1</v>
      </c>
      <c r="AL164" s="4">
        <f t="shared" si="49"/>
        <v>1</v>
      </c>
      <c r="AM164" s="4">
        <f t="shared" si="50"/>
        <v>1</v>
      </c>
      <c r="AN164" s="4">
        <v>0</v>
      </c>
      <c r="AO164" s="4">
        <v>0</v>
      </c>
      <c r="AP164" s="4" t="s">
        <v>61</v>
      </c>
      <c r="AQ164" s="4" t="s">
        <v>97</v>
      </c>
      <c r="AR164" s="4">
        <v>1</v>
      </c>
      <c r="AS164" s="4" t="s">
        <v>421</v>
      </c>
      <c r="AT164" s="11">
        <v>5.3999999999999999E-2</v>
      </c>
      <c r="AU164" s="4">
        <v>885</v>
      </c>
      <c r="AV164" s="11">
        <v>9.1999999999999998E-2</v>
      </c>
      <c r="AW164" s="4">
        <v>885</v>
      </c>
      <c r="AX164" s="10">
        <f t="shared" si="57"/>
        <v>47.79</v>
      </c>
      <c r="AY164" s="10">
        <f t="shared" si="58"/>
        <v>837.21</v>
      </c>
      <c r="AZ164" s="10">
        <f t="shared" si="59"/>
        <v>81.42</v>
      </c>
      <c r="BA164" s="10">
        <f t="shared" si="60"/>
        <v>803.58</v>
      </c>
      <c r="BB164" s="10">
        <f t="shared" si="51"/>
        <v>1770</v>
      </c>
    </row>
    <row r="165" spans="1:54" x14ac:dyDescent="0.25">
      <c r="A165" s="9" t="str">
        <f t="shared" si="54"/>
        <v>51C</v>
      </c>
      <c r="B165" s="4">
        <v>51</v>
      </c>
      <c r="C165" s="4">
        <v>1</v>
      </c>
      <c r="D165" s="4" t="s">
        <v>67</v>
      </c>
      <c r="E165" s="4">
        <v>0</v>
      </c>
      <c r="F165" s="4">
        <v>1</v>
      </c>
      <c r="G165" s="4">
        <v>0</v>
      </c>
      <c r="H165" s="2" t="s">
        <v>425</v>
      </c>
      <c r="I165" s="2" t="s">
        <v>424</v>
      </c>
      <c r="J165" s="2" t="s">
        <v>203</v>
      </c>
      <c r="K165" s="4">
        <v>1</v>
      </c>
      <c r="L165" s="2" t="s">
        <v>423</v>
      </c>
      <c r="M165" s="1"/>
      <c r="N165" s="4">
        <v>2</v>
      </c>
      <c r="O165" s="4">
        <v>1</v>
      </c>
      <c r="P165" s="20">
        <f t="shared" si="43"/>
        <v>0.66666666666666663</v>
      </c>
      <c r="Q165" s="4">
        <v>2021</v>
      </c>
      <c r="R165" s="4">
        <v>2016</v>
      </c>
      <c r="S165" s="4">
        <v>2016</v>
      </c>
      <c r="T165" s="4" t="s">
        <v>286</v>
      </c>
      <c r="U165" s="4">
        <v>0.08</v>
      </c>
      <c r="V165" s="4">
        <v>0.88900000000000001</v>
      </c>
      <c r="W165" s="4">
        <v>0.83199999999999996</v>
      </c>
      <c r="X165" s="4">
        <v>26537.159489454178</v>
      </c>
      <c r="Y165" s="4">
        <v>7.3999999999999996E-2</v>
      </c>
      <c r="Z165" s="4">
        <v>1</v>
      </c>
      <c r="AA165" s="4">
        <v>0</v>
      </c>
      <c r="AB165" s="4" t="s">
        <v>207</v>
      </c>
      <c r="AC165" s="17" t="s">
        <v>420</v>
      </c>
      <c r="AD165" s="20">
        <v>0.54446898263027299</v>
      </c>
      <c r="AE165" s="20">
        <v>0.45553101736972701</v>
      </c>
      <c r="AF165" s="10">
        <v>2</v>
      </c>
      <c r="AG165" s="4">
        <f t="shared" si="44"/>
        <v>1</v>
      </c>
      <c r="AH165" s="3">
        <f t="shared" si="45"/>
        <v>2</v>
      </c>
      <c r="AI165" s="4">
        <f t="shared" si="46"/>
        <v>1</v>
      </c>
      <c r="AJ165" s="4">
        <f t="shared" si="47"/>
        <v>2</v>
      </c>
      <c r="AK165" s="4">
        <f t="shared" si="48"/>
        <v>1</v>
      </c>
      <c r="AL165" s="4">
        <f t="shared" si="49"/>
        <v>2</v>
      </c>
      <c r="AM165" s="4">
        <f t="shared" si="50"/>
        <v>1</v>
      </c>
      <c r="AN165" s="4">
        <v>0</v>
      </c>
      <c r="AO165" s="4">
        <v>0</v>
      </c>
      <c r="AP165" s="4" t="s">
        <v>61</v>
      </c>
      <c r="AQ165" s="4" t="s">
        <v>97</v>
      </c>
      <c r="AR165" s="4">
        <v>1</v>
      </c>
      <c r="AS165" s="4" t="s">
        <v>420</v>
      </c>
      <c r="AT165" s="11">
        <v>9.5000000000000001E-2</v>
      </c>
      <c r="AU165" s="4">
        <v>1209</v>
      </c>
      <c r="AV165" s="11">
        <v>0.14099999999999999</v>
      </c>
      <c r="AW165" s="4">
        <v>1209</v>
      </c>
      <c r="AX165" s="10">
        <f t="shared" si="57"/>
        <v>114.855</v>
      </c>
      <c r="AY165" s="10">
        <f t="shared" si="58"/>
        <v>1094.145</v>
      </c>
      <c r="AZ165" s="10">
        <f t="shared" si="59"/>
        <v>170.46899999999999</v>
      </c>
      <c r="BA165" s="10">
        <f t="shared" si="60"/>
        <v>1038.5309999999999</v>
      </c>
      <c r="BB165" s="4">
        <f t="shared" si="51"/>
        <v>2418</v>
      </c>
    </row>
    <row r="166" spans="1:54" x14ac:dyDescent="0.25">
      <c r="A166" s="9" t="str">
        <f t="shared" si="54"/>
        <v>51D</v>
      </c>
      <c r="B166" s="4">
        <v>51</v>
      </c>
      <c r="C166" s="4">
        <v>1</v>
      </c>
      <c r="D166" s="4" t="s">
        <v>68</v>
      </c>
      <c r="E166" s="4">
        <v>0</v>
      </c>
      <c r="F166" s="4">
        <v>1</v>
      </c>
      <c r="G166" s="4">
        <v>0</v>
      </c>
      <c r="H166" s="2" t="s">
        <v>425</v>
      </c>
      <c r="I166" s="2" t="s">
        <v>424</v>
      </c>
      <c r="J166" s="2" t="s">
        <v>203</v>
      </c>
      <c r="K166" s="4">
        <v>1</v>
      </c>
      <c r="L166" s="2" t="s">
        <v>423</v>
      </c>
      <c r="M166" s="1"/>
      <c r="N166" s="4">
        <v>2</v>
      </c>
      <c r="O166" s="4">
        <v>1</v>
      </c>
      <c r="P166" s="20">
        <f t="shared" si="43"/>
        <v>0.66666666666666663</v>
      </c>
      <c r="Q166" s="4">
        <v>2021</v>
      </c>
      <c r="R166" s="4">
        <v>2016</v>
      </c>
      <c r="S166" s="4">
        <v>2016</v>
      </c>
      <c r="T166" s="4" t="s">
        <v>286</v>
      </c>
      <c r="U166" s="4">
        <v>0.08</v>
      </c>
      <c r="V166" s="4">
        <v>0.88900000000000001</v>
      </c>
      <c r="W166" s="4">
        <v>0.83199999999999996</v>
      </c>
      <c r="X166" s="4">
        <v>26537.159489454178</v>
      </c>
      <c r="Y166" s="4">
        <v>7.3999999999999996E-2</v>
      </c>
      <c r="Z166" s="4">
        <v>1</v>
      </c>
      <c r="AA166" s="4">
        <v>0</v>
      </c>
      <c r="AB166" s="4" t="s">
        <v>207</v>
      </c>
      <c r="AC166" s="17" t="s">
        <v>422</v>
      </c>
      <c r="AD166" s="20">
        <v>0.33111592178770949</v>
      </c>
      <c r="AE166" s="20">
        <v>0.66888407821229046</v>
      </c>
      <c r="AF166" s="10">
        <v>0</v>
      </c>
      <c r="AG166" s="4">
        <f t="shared" si="44"/>
        <v>0</v>
      </c>
      <c r="AH166" s="3">
        <f t="shared" si="45"/>
        <v>0</v>
      </c>
      <c r="AI166" s="4">
        <f t="shared" si="46"/>
        <v>0</v>
      </c>
      <c r="AJ166" s="4">
        <f t="shared" si="47"/>
        <v>0</v>
      </c>
      <c r="AK166" s="4">
        <f t="shared" si="48"/>
        <v>0</v>
      </c>
      <c r="AL166" s="4">
        <f t="shared" si="49"/>
        <v>2</v>
      </c>
      <c r="AM166" s="4">
        <f t="shared" si="50"/>
        <v>1</v>
      </c>
      <c r="AN166" s="4">
        <v>0</v>
      </c>
      <c r="AO166" s="4">
        <v>0</v>
      </c>
      <c r="AP166" s="4" t="s">
        <v>61</v>
      </c>
      <c r="AQ166" s="4" t="s">
        <v>97</v>
      </c>
      <c r="AR166" s="4">
        <v>1</v>
      </c>
      <c r="AS166" s="4" t="s">
        <v>422</v>
      </c>
      <c r="AT166" s="11">
        <v>7.2999999999999995E-2</v>
      </c>
      <c r="AU166" s="4">
        <v>714</v>
      </c>
      <c r="AV166" s="11">
        <v>7.8E-2</v>
      </c>
      <c r="AW166" s="4">
        <v>718</v>
      </c>
      <c r="AX166" s="10">
        <f t="shared" si="57"/>
        <v>52.122</v>
      </c>
      <c r="AY166" s="10">
        <f t="shared" si="58"/>
        <v>661.87800000000004</v>
      </c>
      <c r="AZ166" s="10">
        <f t="shared" si="59"/>
        <v>56.003999999999998</v>
      </c>
      <c r="BA166" s="10">
        <f t="shared" si="60"/>
        <v>661.99599999999998</v>
      </c>
      <c r="BB166" s="4">
        <f t="shared" si="51"/>
        <v>1432</v>
      </c>
    </row>
    <row r="167" spans="1:54" x14ac:dyDescent="0.25">
      <c r="A167" s="9" t="str">
        <f t="shared" si="54"/>
        <v>52A</v>
      </c>
      <c r="B167" s="3">
        <v>52</v>
      </c>
      <c r="C167" s="3">
        <v>1</v>
      </c>
      <c r="D167" s="3" t="s">
        <v>65</v>
      </c>
      <c r="E167" s="3">
        <v>1</v>
      </c>
      <c r="F167" s="3">
        <v>1</v>
      </c>
      <c r="G167" s="3">
        <v>0</v>
      </c>
      <c r="H167" s="1" t="s">
        <v>632</v>
      </c>
      <c r="I167" s="1" t="s">
        <v>429</v>
      </c>
      <c r="J167" s="1" t="s">
        <v>203</v>
      </c>
      <c r="K167" s="3">
        <v>1</v>
      </c>
      <c r="L167" s="1" t="s">
        <v>428</v>
      </c>
      <c r="M167" s="1" t="s">
        <v>574</v>
      </c>
      <c r="N167" s="3">
        <v>1</v>
      </c>
      <c r="O167" s="3">
        <v>0</v>
      </c>
      <c r="P167" s="19">
        <f t="shared" si="43"/>
        <v>1</v>
      </c>
      <c r="Q167" s="3">
        <v>2021</v>
      </c>
      <c r="R167" s="14">
        <v>2018</v>
      </c>
      <c r="S167" s="14">
        <v>2018</v>
      </c>
      <c r="T167" s="3" t="s">
        <v>426</v>
      </c>
      <c r="U167" s="3">
        <v>0.124</v>
      </c>
      <c r="V167" s="16">
        <f>(0.927+0.929+0.941)/3</f>
        <v>0.93233333333333335</v>
      </c>
      <c r="W167" s="3">
        <v>0.89900000000000002</v>
      </c>
      <c r="X167" s="3">
        <f>(62823.309438197+43306.3083049317+57207.8715094806)/3</f>
        <v>54445.829750869772</v>
      </c>
      <c r="Y167" s="3">
        <v>0</v>
      </c>
      <c r="Z167" s="3">
        <v>0</v>
      </c>
      <c r="AA167" s="3">
        <v>0</v>
      </c>
      <c r="AB167" s="3" t="s">
        <v>207</v>
      </c>
      <c r="AC167" s="7" t="s">
        <v>427</v>
      </c>
      <c r="AD167" s="3">
        <v>0.69399999999999995</v>
      </c>
      <c r="AE167" s="3">
        <v>0.30599999999999999</v>
      </c>
      <c r="AF167" s="10">
        <v>2</v>
      </c>
      <c r="AG167" s="3">
        <f t="shared" si="44"/>
        <v>1</v>
      </c>
      <c r="AH167" s="3">
        <f t="shared" si="45"/>
        <v>1</v>
      </c>
      <c r="AI167" s="4">
        <f t="shared" si="46"/>
        <v>1</v>
      </c>
      <c r="AJ167" s="4">
        <f t="shared" si="47"/>
        <v>1</v>
      </c>
      <c r="AK167" s="4">
        <f t="shared" si="48"/>
        <v>1</v>
      </c>
      <c r="AL167" s="4">
        <f t="shared" si="49"/>
        <v>2</v>
      </c>
      <c r="AM167" s="4">
        <f t="shared" si="50"/>
        <v>1</v>
      </c>
      <c r="AN167" s="4">
        <v>0</v>
      </c>
      <c r="AO167" s="4">
        <v>0</v>
      </c>
      <c r="AP167" s="3" t="s">
        <v>100</v>
      </c>
      <c r="AQ167" s="3" t="s">
        <v>97</v>
      </c>
      <c r="AR167" s="3">
        <v>1</v>
      </c>
      <c r="AS167" s="3" t="s">
        <v>62</v>
      </c>
      <c r="AT167" s="16">
        <f>(0.191+0.05)/2</f>
        <v>0.1205</v>
      </c>
      <c r="AU167" s="3">
        <f>2400/2</f>
        <v>1200</v>
      </c>
      <c r="AV167" s="16">
        <f>(0.191+0.028)/2</f>
        <v>0.1095</v>
      </c>
      <c r="AW167" s="3">
        <f>2400/2</f>
        <v>1200</v>
      </c>
      <c r="AX167" s="8">
        <f t="shared" si="57"/>
        <v>144.6</v>
      </c>
      <c r="AY167" s="8">
        <f t="shared" si="58"/>
        <v>1055.4000000000001</v>
      </c>
      <c r="AZ167" s="8">
        <f t="shared" si="59"/>
        <v>131.4</v>
      </c>
      <c r="BA167" s="8">
        <f t="shared" si="60"/>
        <v>1068.5999999999999</v>
      </c>
      <c r="BB167" s="8">
        <f t="shared" si="51"/>
        <v>2400</v>
      </c>
    </row>
    <row r="168" spans="1:54" s="1" customFormat="1" x14ac:dyDescent="0.25">
      <c r="A168" s="9" t="str">
        <f t="shared" si="54"/>
        <v>53A</v>
      </c>
      <c r="B168" s="3">
        <v>53</v>
      </c>
      <c r="C168" s="3">
        <v>1</v>
      </c>
      <c r="D168" s="3" t="s">
        <v>65</v>
      </c>
      <c r="E168" s="3">
        <v>1</v>
      </c>
      <c r="F168" s="3">
        <v>1</v>
      </c>
      <c r="G168" s="3">
        <v>0</v>
      </c>
      <c r="H168" s="13" t="s">
        <v>124</v>
      </c>
      <c r="I168" s="13" t="s">
        <v>15</v>
      </c>
      <c r="J168" s="1" t="s">
        <v>203</v>
      </c>
      <c r="K168" s="3">
        <v>1</v>
      </c>
      <c r="L168" s="13" t="s">
        <v>123</v>
      </c>
      <c r="M168" s="1" t="s">
        <v>575</v>
      </c>
      <c r="N168" s="3">
        <v>2</v>
      </c>
      <c r="O168" s="3">
        <v>0</v>
      </c>
      <c r="P168" s="19">
        <f t="shared" si="43"/>
        <v>1</v>
      </c>
      <c r="Q168" s="14">
        <v>2015</v>
      </c>
      <c r="R168" s="3">
        <v>2012</v>
      </c>
      <c r="S168" s="3">
        <v>2012</v>
      </c>
      <c r="T168" s="3" t="s">
        <v>125</v>
      </c>
      <c r="U168" s="3">
        <v>0.186</v>
      </c>
      <c r="V168" s="3">
        <v>0.69099999999999995</v>
      </c>
      <c r="W168" s="3">
        <v>0.64700000000000002</v>
      </c>
      <c r="X168" s="3">
        <v>6300.6151182578869</v>
      </c>
      <c r="Y168" s="3">
        <v>0.15</v>
      </c>
      <c r="Z168" s="3">
        <v>0</v>
      </c>
      <c r="AA168" s="3">
        <v>0</v>
      </c>
      <c r="AB168" s="3" t="s">
        <v>207</v>
      </c>
      <c r="AC168" s="7" t="s">
        <v>683</v>
      </c>
      <c r="AD168" s="19">
        <v>0.55249999999999999</v>
      </c>
      <c r="AE168" s="19">
        <v>0.44750000000000001</v>
      </c>
      <c r="AF168" s="10">
        <v>2</v>
      </c>
      <c r="AG168" s="4">
        <f t="shared" si="44"/>
        <v>1</v>
      </c>
      <c r="AH168" s="3">
        <f t="shared" si="45"/>
        <v>2</v>
      </c>
      <c r="AI168" s="4">
        <f t="shared" si="46"/>
        <v>1</v>
      </c>
      <c r="AJ168" s="4">
        <f t="shared" si="47"/>
        <v>2</v>
      </c>
      <c r="AK168" s="4">
        <f t="shared" si="48"/>
        <v>1</v>
      </c>
      <c r="AL168" s="4">
        <f t="shared" si="49"/>
        <v>2</v>
      </c>
      <c r="AM168" s="4">
        <f t="shared" si="50"/>
        <v>1</v>
      </c>
      <c r="AN168" s="4">
        <v>0</v>
      </c>
      <c r="AO168" s="4">
        <v>0</v>
      </c>
      <c r="AP168" s="3" t="s">
        <v>100</v>
      </c>
      <c r="AQ168" s="3" t="s">
        <v>97</v>
      </c>
      <c r="AR168" s="3">
        <v>1</v>
      </c>
      <c r="AS168" s="3" t="s">
        <v>62</v>
      </c>
      <c r="AT168" s="16">
        <v>0.12189999999999999</v>
      </c>
      <c r="AU168" s="3">
        <f>24192/2</f>
        <v>12096</v>
      </c>
      <c r="AV168" s="16">
        <v>0.1109</v>
      </c>
      <c r="AW168" s="3">
        <f>24192/2</f>
        <v>12096</v>
      </c>
      <c r="AX168" s="8">
        <f t="shared" si="57"/>
        <v>1474.5023999999999</v>
      </c>
      <c r="AY168" s="8">
        <f t="shared" si="58"/>
        <v>10621.497600000001</v>
      </c>
      <c r="AZ168" s="8">
        <f t="shared" si="59"/>
        <v>1341.4464</v>
      </c>
      <c r="BA168" s="8">
        <f t="shared" si="60"/>
        <v>10754.553599999999</v>
      </c>
      <c r="BB168" s="8">
        <f t="shared" si="51"/>
        <v>24192</v>
      </c>
    </row>
    <row r="169" spans="1:54" s="1" customFormat="1" x14ac:dyDescent="0.25">
      <c r="A169" s="9" t="str">
        <f t="shared" si="54"/>
        <v>54A</v>
      </c>
      <c r="B169" s="3">
        <v>54</v>
      </c>
      <c r="C169" s="3">
        <v>1</v>
      </c>
      <c r="D169" s="3" t="s">
        <v>65</v>
      </c>
      <c r="E169" s="3">
        <v>1</v>
      </c>
      <c r="F169" s="3">
        <v>1</v>
      </c>
      <c r="G169" s="3">
        <v>0</v>
      </c>
      <c r="H169" s="13" t="s">
        <v>17</v>
      </c>
      <c r="I169" s="13" t="s">
        <v>18</v>
      </c>
      <c r="J169" s="1" t="s">
        <v>203</v>
      </c>
      <c r="K169" s="3">
        <v>1</v>
      </c>
      <c r="L169" s="13" t="s">
        <v>127</v>
      </c>
      <c r="M169" s="1" t="s">
        <v>576</v>
      </c>
      <c r="N169" s="14">
        <v>0</v>
      </c>
      <c r="O169" s="14">
        <v>3</v>
      </c>
      <c r="P169" s="19">
        <f t="shared" si="43"/>
        <v>0</v>
      </c>
      <c r="Q169" s="14">
        <v>2019</v>
      </c>
      <c r="R169" s="14" t="s">
        <v>128</v>
      </c>
      <c r="S169" s="14">
        <v>2011</v>
      </c>
      <c r="T169" s="14" t="s">
        <v>129</v>
      </c>
      <c r="U169" s="14">
        <v>0.105</v>
      </c>
      <c r="V169" s="14">
        <v>0.877</v>
      </c>
      <c r="W169" s="14">
        <v>0.78700000000000003</v>
      </c>
      <c r="X169" s="14">
        <v>43846.46607647981</v>
      </c>
      <c r="Y169" s="3">
        <v>7.9000000000000001E-2</v>
      </c>
      <c r="Z169" s="14">
        <v>1</v>
      </c>
      <c r="AA169" s="14">
        <v>0</v>
      </c>
      <c r="AB169" s="14" t="s">
        <v>207</v>
      </c>
      <c r="AC169" s="36" t="s">
        <v>130</v>
      </c>
      <c r="AD169" s="19">
        <v>0.50007272767191868</v>
      </c>
      <c r="AE169" s="19">
        <v>0.49992727232808132</v>
      </c>
      <c r="AF169" s="10">
        <v>2</v>
      </c>
      <c r="AG169" s="4">
        <f t="shared" si="44"/>
        <v>1</v>
      </c>
      <c r="AH169" s="3">
        <f t="shared" si="45"/>
        <v>2</v>
      </c>
      <c r="AI169" s="4">
        <f t="shared" si="46"/>
        <v>1</v>
      </c>
      <c r="AJ169" s="4">
        <f t="shared" si="47"/>
        <v>2</v>
      </c>
      <c r="AK169" s="4">
        <f t="shared" si="48"/>
        <v>1</v>
      </c>
      <c r="AL169" s="4">
        <f t="shared" si="49"/>
        <v>2</v>
      </c>
      <c r="AM169" s="4">
        <f t="shared" si="50"/>
        <v>1</v>
      </c>
      <c r="AN169" s="4">
        <v>0</v>
      </c>
      <c r="AO169" s="4">
        <v>0</v>
      </c>
      <c r="AP169" s="14" t="s">
        <v>131</v>
      </c>
      <c r="AQ169" s="14" t="s">
        <v>97</v>
      </c>
      <c r="AR169" s="3">
        <v>1</v>
      </c>
      <c r="AS169" s="3" t="s">
        <v>62</v>
      </c>
      <c r="AT169" s="16">
        <f>(0.195+0.127+0.121)/3</f>
        <v>0.14766666666666667</v>
      </c>
      <c r="AU169" s="3">
        <f>504*3</f>
        <v>1512</v>
      </c>
      <c r="AV169" s="16">
        <f>(0.149+0.071+0.081)/3</f>
        <v>0.10033333333333333</v>
      </c>
      <c r="AW169" s="3">
        <f>504*3</f>
        <v>1512</v>
      </c>
      <c r="AX169" s="8">
        <f t="shared" si="57"/>
        <v>223.27199999999999</v>
      </c>
      <c r="AY169" s="8">
        <f t="shared" si="58"/>
        <v>1288.7280000000001</v>
      </c>
      <c r="AZ169" s="8">
        <f t="shared" si="59"/>
        <v>151.70400000000001</v>
      </c>
      <c r="BA169" s="8">
        <f t="shared" si="60"/>
        <v>1360.296</v>
      </c>
      <c r="BB169" s="3">
        <f t="shared" si="51"/>
        <v>3024</v>
      </c>
    </row>
    <row r="170" spans="1:54" s="1" customFormat="1" x14ac:dyDescent="0.25">
      <c r="A170" s="9" t="str">
        <f t="shared" si="54"/>
        <v>55A</v>
      </c>
      <c r="B170" s="3">
        <v>55</v>
      </c>
      <c r="C170" s="3">
        <v>1</v>
      </c>
      <c r="D170" s="3" t="s">
        <v>65</v>
      </c>
      <c r="E170" s="3">
        <v>1</v>
      </c>
      <c r="F170" s="3">
        <v>0</v>
      </c>
      <c r="G170" s="3">
        <v>0</v>
      </c>
      <c r="H170" s="1" t="s">
        <v>437</v>
      </c>
      <c r="I170" s="1" t="s">
        <v>15</v>
      </c>
      <c r="J170" s="1" t="s">
        <v>203</v>
      </c>
      <c r="K170" s="3">
        <v>1</v>
      </c>
      <c r="L170" s="1" t="s">
        <v>132</v>
      </c>
      <c r="M170" s="1" t="s">
        <v>554</v>
      </c>
      <c r="N170" s="3">
        <v>0</v>
      </c>
      <c r="O170" s="3">
        <v>1</v>
      </c>
      <c r="P170" s="19">
        <f t="shared" si="43"/>
        <v>0</v>
      </c>
      <c r="Q170" s="3">
        <v>2014</v>
      </c>
      <c r="R170" s="3" t="s">
        <v>434</v>
      </c>
      <c r="S170" s="3">
        <v>2010</v>
      </c>
      <c r="T170" s="3" t="s">
        <v>433</v>
      </c>
      <c r="U170" s="3">
        <v>0.13200000000000001</v>
      </c>
      <c r="V170" s="3">
        <v>0.85699999999999998</v>
      </c>
      <c r="W170" s="3">
        <v>0.76700000000000002</v>
      </c>
      <c r="X170" s="3">
        <v>31105.3984375</v>
      </c>
      <c r="Y170" s="3">
        <v>5.7000000000000002E-2</v>
      </c>
      <c r="Z170" s="3">
        <v>0</v>
      </c>
      <c r="AA170" s="3">
        <v>0</v>
      </c>
      <c r="AB170" s="3" t="s">
        <v>207</v>
      </c>
      <c r="AC170" s="7" t="s">
        <v>61</v>
      </c>
      <c r="AD170" s="3"/>
      <c r="AE170" s="3"/>
      <c r="AF170" s="10">
        <v>2</v>
      </c>
      <c r="AG170" s="4">
        <f t="shared" si="44"/>
        <v>1</v>
      </c>
      <c r="AH170" s="3">
        <f t="shared" si="45"/>
        <v>2</v>
      </c>
      <c r="AI170" s="4">
        <f t="shared" si="46"/>
        <v>1</v>
      </c>
      <c r="AJ170" s="4">
        <f t="shared" si="47"/>
        <v>2</v>
      </c>
      <c r="AK170" s="4">
        <f t="shared" si="48"/>
        <v>1</v>
      </c>
      <c r="AL170" s="4">
        <f t="shared" si="49"/>
        <v>2</v>
      </c>
      <c r="AM170" s="4">
        <f t="shared" si="50"/>
        <v>1</v>
      </c>
      <c r="AN170" s="4">
        <v>0</v>
      </c>
      <c r="AO170" s="4">
        <v>0</v>
      </c>
      <c r="AP170" s="3" t="s">
        <v>233</v>
      </c>
      <c r="AQ170" s="3" t="s">
        <v>97</v>
      </c>
      <c r="AR170" s="3">
        <v>1</v>
      </c>
      <c r="AS170" s="3" t="s">
        <v>62</v>
      </c>
      <c r="AT170" s="16">
        <f>AX170/AU170</f>
        <v>0.3204459203036053</v>
      </c>
      <c r="AU170" s="3">
        <f>SUM(AU171:AU174)</f>
        <v>4216</v>
      </c>
      <c r="AV170" s="16">
        <f>AZ170/AW170</f>
        <v>0.35018572018159305</v>
      </c>
      <c r="AW170" s="3">
        <f>SUM(AW171:AW174)</f>
        <v>4846</v>
      </c>
      <c r="AX170" s="8">
        <f>SUM(AX171:AX174)</f>
        <v>1351</v>
      </c>
      <c r="AY170" s="8">
        <f>SUM(AY171:AY174)</f>
        <v>2865</v>
      </c>
      <c r="AZ170" s="8">
        <f>SUM(AZ171:AZ174)</f>
        <v>1697</v>
      </c>
      <c r="BA170" s="8">
        <f>SUM(BA171:BA174)</f>
        <v>3149</v>
      </c>
      <c r="BB170" s="8">
        <f t="shared" si="51"/>
        <v>9062</v>
      </c>
    </row>
    <row r="171" spans="1:54" s="1" customFormat="1" x14ac:dyDescent="0.25">
      <c r="A171" s="9" t="str">
        <f t="shared" si="54"/>
        <v>55B</v>
      </c>
      <c r="B171" s="4">
        <v>55</v>
      </c>
      <c r="C171" s="4">
        <v>1</v>
      </c>
      <c r="D171" s="4" t="s">
        <v>66</v>
      </c>
      <c r="E171" s="4">
        <v>0</v>
      </c>
      <c r="F171" s="4">
        <v>1</v>
      </c>
      <c r="G171" s="4">
        <v>0</v>
      </c>
      <c r="H171" s="2" t="s">
        <v>437</v>
      </c>
      <c r="I171" s="2" t="s">
        <v>15</v>
      </c>
      <c r="J171" s="2" t="s">
        <v>203</v>
      </c>
      <c r="K171" s="4">
        <v>1</v>
      </c>
      <c r="L171" s="2" t="s">
        <v>132</v>
      </c>
      <c r="N171" s="4">
        <v>0</v>
      </c>
      <c r="O171" s="4">
        <v>1</v>
      </c>
      <c r="P171" s="20">
        <f t="shared" si="43"/>
        <v>0</v>
      </c>
      <c r="Q171" s="4">
        <v>2014</v>
      </c>
      <c r="R171" s="4" t="s">
        <v>434</v>
      </c>
      <c r="S171" s="4">
        <v>2010</v>
      </c>
      <c r="T171" s="4" t="s">
        <v>433</v>
      </c>
      <c r="U171" s="4">
        <v>0.13200000000000001</v>
      </c>
      <c r="V171" s="4">
        <v>0.85699999999999998</v>
      </c>
      <c r="W171" s="4">
        <v>0.76700000000000002</v>
      </c>
      <c r="X171" s="4">
        <v>31105.3984375</v>
      </c>
      <c r="Y171" s="4">
        <v>5.7000000000000002E-2</v>
      </c>
      <c r="Z171" s="4">
        <v>0</v>
      </c>
      <c r="AA171" s="4">
        <v>0</v>
      </c>
      <c r="AB171" s="4" t="s">
        <v>207</v>
      </c>
      <c r="AC171" s="17" t="s">
        <v>430</v>
      </c>
      <c r="AD171" s="20">
        <v>0.51224999999999998</v>
      </c>
      <c r="AE171" s="20">
        <v>0.48775000000000002</v>
      </c>
      <c r="AF171" s="10">
        <v>2</v>
      </c>
      <c r="AG171" s="4">
        <f t="shared" si="44"/>
        <v>1</v>
      </c>
      <c r="AH171" s="3">
        <f t="shared" si="45"/>
        <v>2</v>
      </c>
      <c r="AI171" s="4">
        <f t="shared" si="46"/>
        <v>1</v>
      </c>
      <c r="AJ171" s="4">
        <f t="shared" si="47"/>
        <v>2</v>
      </c>
      <c r="AK171" s="4">
        <f t="shared" si="48"/>
        <v>1</v>
      </c>
      <c r="AL171" s="4">
        <f t="shared" si="49"/>
        <v>2</v>
      </c>
      <c r="AM171" s="4">
        <f t="shared" si="50"/>
        <v>1</v>
      </c>
      <c r="AN171" s="4">
        <v>0</v>
      </c>
      <c r="AO171" s="4">
        <v>0</v>
      </c>
      <c r="AP171" s="4" t="s">
        <v>233</v>
      </c>
      <c r="AQ171" s="4" t="s">
        <v>97</v>
      </c>
      <c r="AR171" s="4">
        <v>1</v>
      </c>
      <c r="AS171" s="4" t="s">
        <v>430</v>
      </c>
      <c r="AT171" s="11">
        <f>AX171/AU171</f>
        <v>0.36261682242990656</v>
      </c>
      <c r="AU171" s="4">
        <f>(261+274)*2</f>
        <v>1070</v>
      </c>
      <c r="AV171" s="11">
        <f>AZ171/AW171</f>
        <v>0.28378378378378377</v>
      </c>
      <c r="AW171" s="4">
        <f>(324+305)*2</f>
        <v>1258</v>
      </c>
      <c r="AX171" s="10">
        <f>(27*2+121+1)+(35*2+141+1)</f>
        <v>388</v>
      </c>
      <c r="AY171" s="10">
        <f t="shared" ref="AY171:AY184" si="61">AU171-AX171</f>
        <v>682</v>
      </c>
      <c r="AZ171" s="10">
        <f>(32*2+114+2)+(26*2+123+2)</f>
        <v>357</v>
      </c>
      <c r="BA171" s="10">
        <f t="shared" ref="BA171:BA184" si="62">AW171-AZ171</f>
        <v>901</v>
      </c>
      <c r="BB171" s="10">
        <f t="shared" si="51"/>
        <v>2328</v>
      </c>
    </row>
    <row r="172" spans="1:54" x14ac:dyDescent="0.25">
      <c r="A172" s="9" t="str">
        <f t="shared" si="54"/>
        <v>55C</v>
      </c>
      <c r="B172" s="4">
        <v>55</v>
      </c>
      <c r="C172" s="4">
        <v>1</v>
      </c>
      <c r="D172" s="4" t="s">
        <v>67</v>
      </c>
      <c r="E172" s="4">
        <v>0</v>
      </c>
      <c r="F172" s="4">
        <v>1</v>
      </c>
      <c r="G172" s="4">
        <v>0</v>
      </c>
      <c r="H172" s="2" t="s">
        <v>437</v>
      </c>
      <c r="I172" s="2" t="s">
        <v>15</v>
      </c>
      <c r="J172" s="2" t="s">
        <v>203</v>
      </c>
      <c r="K172" s="4">
        <v>1</v>
      </c>
      <c r="L172" s="2" t="s">
        <v>132</v>
      </c>
      <c r="M172" s="1"/>
      <c r="N172" s="4">
        <v>0</v>
      </c>
      <c r="O172" s="4">
        <v>1</v>
      </c>
      <c r="P172" s="20">
        <f t="shared" si="43"/>
        <v>0</v>
      </c>
      <c r="Q172" s="4">
        <v>2014</v>
      </c>
      <c r="R172" s="4" t="s">
        <v>434</v>
      </c>
      <c r="S172" s="4">
        <v>2010</v>
      </c>
      <c r="T172" s="4" t="s">
        <v>433</v>
      </c>
      <c r="U172" s="4">
        <v>0.13200000000000001</v>
      </c>
      <c r="V172" s="4">
        <v>0.85699999999999998</v>
      </c>
      <c r="W172" s="4">
        <v>0.76700000000000002</v>
      </c>
      <c r="X172" s="4">
        <v>31105.3984375</v>
      </c>
      <c r="Y172" s="4">
        <v>5.7000000000000002E-2</v>
      </c>
      <c r="Z172" s="4">
        <v>0</v>
      </c>
      <c r="AA172" s="4">
        <v>0</v>
      </c>
      <c r="AB172" s="4" t="s">
        <v>207</v>
      </c>
      <c r="AC172" s="17" t="s">
        <v>436</v>
      </c>
      <c r="AD172" s="20">
        <v>0.89233333333333331</v>
      </c>
      <c r="AE172" s="20">
        <v>0.10766666666666667</v>
      </c>
      <c r="AF172" s="10">
        <v>1</v>
      </c>
      <c r="AG172" s="4">
        <f t="shared" si="44"/>
        <v>1</v>
      </c>
      <c r="AH172" s="3">
        <f t="shared" si="45"/>
        <v>1</v>
      </c>
      <c r="AI172" s="4">
        <f t="shared" si="46"/>
        <v>1</v>
      </c>
      <c r="AJ172" s="4">
        <f t="shared" si="47"/>
        <v>1</v>
      </c>
      <c r="AK172" s="4">
        <f t="shared" si="48"/>
        <v>1</v>
      </c>
      <c r="AL172" s="4">
        <f t="shared" si="49"/>
        <v>1</v>
      </c>
      <c r="AM172" s="4">
        <f t="shared" si="50"/>
        <v>1</v>
      </c>
      <c r="AN172" s="4">
        <v>1</v>
      </c>
      <c r="AO172" s="4">
        <v>0</v>
      </c>
      <c r="AP172" s="4" t="s">
        <v>233</v>
      </c>
      <c r="AQ172" s="4" t="s">
        <v>97</v>
      </c>
      <c r="AR172" s="4">
        <v>1</v>
      </c>
      <c r="AS172" s="4" t="s">
        <v>435</v>
      </c>
      <c r="AT172" s="11">
        <f>AX172/AU172</f>
        <v>0.375</v>
      </c>
      <c r="AU172" s="4">
        <f>(250+258)*2</f>
        <v>1016</v>
      </c>
      <c r="AV172" s="11">
        <f>AZ172/AW172</f>
        <v>0.31563421828908556</v>
      </c>
      <c r="AW172" s="4">
        <f>(337+341)*2</f>
        <v>1356</v>
      </c>
      <c r="AX172" s="10">
        <f>(32*2+108+1)+(39*2+129+1)</f>
        <v>381</v>
      </c>
      <c r="AY172" s="10">
        <f t="shared" si="61"/>
        <v>635</v>
      </c>
      <c r="AZ172" s="10">
        <f>(38*2+115+2)+(56*2+122+1)</f>
        <v>428</v>
      </c>
      <c r="BA172" s="10">
        <f t="shared" si="62"/>
        <v>928</v>
      </c>
      <c r="BB172" s="10">
        <f t="shared" si="51"/>
        <v>2372</v>
      </c>
    </row>
    <row r="173" spans="1:54" x14ac:dyDescent="0.25">
      <c r="A173" s="9" t="str">
        <f t="shared" si="54"/>
        <v>55D</v>
      </c>
      <c r="B173" s="4">
        <v>55</v>
      </c>
      <c r="C173" s="4">
        <v>1</v>
      </c>
      <c r="D173" s="4" t="s">
        <v>68</v>
      </c>
      <c r="E173" s="4">
        <v>0</v>
      </c>
      <c r="F173" s="4">
        <v>1</v>
      </c>
      <c r="G173" s="4">
        <v>0</v>
      </c>
      <c r="H173" s="2" t="s">
        <v>437</v>
      </c>
      <c r="I173" s="2" t="s">
        <v>15</v>
      </c>
      <c r="J173" s="2" t="s">
        <v>203</v>
      </c>
      <c r="K173" s="4">
        <v>1</v>
      </c>
      <c r="L173" s="2" t="s">
        <v>132</v>
      </c>
      <c r="M173" s="1"/>
      <c r="N173" s="4">
        <v>0</v>
      </c>
      <c r="O173" s="4">
        <v>1</v>
      </c>
      <c r="P173" s="20">
        <f t="shared" si="43"/>
        <v>0</v>
      </c>
      <c r="Q173" s="4">
        <v>2014</v>
      </c>
      <c r="R173" s="4" t="s">
        <v>434</v>
      </c>
      <c r="S173" s="4">
        <v>2010</v>
      </c>
      <c r="T173" s="4" t="s">
        <v>433</v>
      </c>
      <c r="U173" s="4">
        <v>0.13200000000000001</v>
      </c>
      <c r="V173" s="4">
        <v>0.85699999999999998</v>
      </c>
      <c r="W173" s="4">
        <v>0.76700000000000002</v>
      </c>
      <c r="X173" s="4">
        <v>31105.3984375</v>
      </c>
      <c r="Y173" s="4">
        <v>5.7000000000000002E-2</v>
      </c>
      <c r="Z173" s="4">
        <v>0</v>
      </c>
      <c r="AA173" s="4">
        <v>0</v>
      </c>
      <c r="AB173" s="4" t="s">
        <v>207</v>
      </c>
      <c r="AC173" s="17" t="s">
        <v>431</v>
      </c>
      <c r="AD173" s="20">
        <v>0.41900000000000004</v>
      </c>
      <c r="AE173" s="20">
        <v>0.58099999999999996</v>
      </c>
      <c r="AF173" s="10">
        <v>2</v>
      </c>
      <c r="AG173" s="4">
        <f t="shared" si="44"/>
        <v>1</v>
      </c>
      <c r="AH173" s="3">
        <f t="shared" si="45"/>
        <v>2</v>
      </c>
      <c r="AI173" s="4">
        <f t="shared" si="46"/>
        <v>1</v>
      </c>
      <c r="AJ173" s="4">
        <f t="shared" si="47"/>
        <v>2</v>
      </c>
      <c r="AK173" s="4">
        <f t="shared" si="48"/>
        <v>1</v>
      </c>
      <c r="AL173" s="4">
        <f t="shared" si="49"/>
        <v>2</v>
      </c>
      <c r="AM173" s="4">
        <f t="shared" si="50"/>
        <v>1</v>
      </c>
      <c r="AN173" s="4">
        <v>0</v>
      </c>
      <c r="AO173" s="4">
        <v>0</v>
      </c>
      <c r="AP173" s="4" t="s">
        <v>233</v>
      </c>
      <c r="AQ173" s="4" t="s">
        <v>97</v>
      </c>
      <c r="AR173" s="4">
        <v>1</v>
      </c>
      <c r="AS173" s="4" t="s">
        <v>431</v>
      </c>
      <c r="AT173" s="11">
        <f>AX173/AU173</f>
        <v>0.27470930232558138</v>
      </c>
      <c r="AU173" s="4">
        <f>(172+172)*2</f>
        <v>688</v>
      </c>
      <c r="AV173" s="11">
        <f>AZ173/AW173</f>
        <v>0.39842209072978302</v>
      </c>
      <c r="AW173" s="4">
        <f>(248+259)*2</f>
        <v>1014</v>
      </c>
      <c r="AX173" s="10">
        <f>(19*2+54+2)+(14*2+64+3)</f>
        <v>189</v>
      </c>
      <c r="AY173" s="10">
        <f t="shared" si="61"/>
        <v>499</v>
      </c>
      <c r="AZ173" s="10">
        <f>(41*2+103+3)+(50*2+114+2)</f>
        <v>404</v>
      </c>
      <c r="BA173" s="10">
        <f t="shared" si="62"/>
        <v>610</v>
      </c>
      <c r="BB173" s="10">
        <f t="shared" si="51"/>
        <v>1702</v>
      </c>
    </row>
    <row r="174" spans="1:54" x14ac:dyDescent="0.25">
      <c r="A174" s="9" t="str">
        <f t="shared" si="54"/>
        <v>55E</v>
      </c>
      <c r="B174" s="4">
        <v>55</v>
      </c>
      <c r="C174" s="4">
        <v>1</v>
      </c>
      <c r="D174" s="4" t="s">
        <v>102</v>
      </c>
      <c r="E174" s="4">
        <v>0</v>
      </c>
      <c r="F174" s="4">
        <v>1</v>
      </c>
      <c r="G174" s="4">
        <v>0</v>
      </c>
      <c r="H174" s="2" t="s">
        <v>437</v>
      </c>
      <c r="I174" s="2" t="s">
        <v>15</v>
      </c>
      <c r="J174" s="2" t="s">
        <v>203</v>
      </c>
      <c r="K174" s="4">
        <v>1</v>
      </c>
      <c r="L174" s="2" t="s">
        <v>132</v>
      </c>
      <c r="M174" s="1"/>
      <c r="N174" s="4">
        <v>0</v>
      </c>
      <c r="O174" s="4">
        <v>1</v>
      </c>
      <c r="P174" s="20">
        <f t="shared" si="43"/>
        <v>0</v>
      </c>
      <c r="Q174" s="4">
        <v>2014</v>
      </c>
      <c r="R174" s="4" t="s">
        <v>434</v>
      </c>
      <c r="S174" s="4">
        <v>2010</v>
      </c>
      <c r="T174" s="4" t="s">
        <v>433</v>
      </c>
      <c r="U174" s="4">
        <v>0.13200000000000001</v>
      </c>
      <c r="V174" s="4">
        <v>0.85699999999999998</v>
      </c>
      <c r="W174" s="4">
        <v>0.76700000000000002</v>
      </c>
      <c r="X174" s="4">
        <v>31105.3984375</v>
      </c>
      <c r="Y174" s="4">
        <v>5.7000000000000002E-2</v>
      </c>
      <c r="Z174" s="4">
        <v>0</v>
      </c>
      <c r="AA174" s="4">
        <v>0</v>
      </c>
      <c r="AB174" s="4" t="s">
        <v>207</v>
      </c>
      <c r="AC174" s="17" t="s">
        <v>432</v>
      </c>
      <c r="AD174" s="20">
        <v>0.41900000000000004</v>
      </c>
      <c r="AE174" s="20">
        <v>0.58099999999999996</v>
      </c>
      <c r="AF174" s="10">
        <v>2</v>
      </c>
      <c r="AG174" s="4">
        <f t="shared" si="44"/>
        <v>1</v>
      </c>
      <c r="AH174" s="3">
        <f t="shared" si="45"/>
        <v>2</v>
      </c>
      <c r="AI174" s="4">
        <f t="shared" si="46"/>
        <v>1</v>
      </c>
      <c r="AJ174" s="4">
        <f t="shared" si="47"/>
        <v>2</v>
      </c>
      <c r="AK174" s="4">
        <f t="shared" si="48"/>
        <v>1</v>
      </c>
      <c r="AL174" s="4">
        <f t="shared" si="49"/>
        <v>2</v>
      </c>
      <c r="AM174" s="4">
        <f t="shared" si="50"/>
        <v>1</v>
      </c>
      <c r="AN174" s="4">
        <v>0</v>
      </c>
      <c r="AO174" s="4">
        <v>0</v>
      </c>
      <c r="AP174" s="4" t="s">
        <v>233</v>
      </c>
      <c r="AQ174" s="4" t="s">
        <v>97</v>
      </c>
      <c r="AR174" s="4">
        <v>1</v>
      </c>
      <c r="AS174" s="4" t="s">
        <v>432</v>
      </c>
      <c r="AT174" s="11">
        <f>AX174/AU174</f>
        <v>0.2725381414701803</v>
      </c>
      <c r="AU174" s="4">
        <f>(357+364)*2</f>
        <v>1442</v>
      </c>
      <c r="AV174" s="11">
        <f>AZ174/AW174</f>
        <v>0.41707717569786534</v>
      </c>
      <c r="AW174" s="4">
        <f>(314+295)*2</f>
        <v>1218</v>
      </c>
      <c r="AX174" s="10">
        <f>(31*2+123+2)+(32*2+139+3)</f>
        <v>393</v>
      </c>
      <c r="AY174" s="10">
        <f t="shared" si="61"/>
        <v>1049</v>
      </c>
      <c r="AZ174" s="10">
        <f>(52*2+147+3)+(49*2+154+2)</f>
        <v>508</v>
      </c>
      <c r="BA174" s="10">
        <f t="shared" si="62"/>
        <v>710</v>
      </c>
      <c r="BB174" s="10">
        <f t="shared" si="51"/>
        <v>2660</v>
      </c>
    </row>
    <row r="175" spans="1:54" x14ac:dyDescent="0.25">
      <c r="A175" s="9" t="str">
        <f t="shared" si="54"/>
        <v>56A</v>
      </c>
      <c r="B175" s="3">
        <v>56</v>
      </c>
      <c r="C175" s="3">
        <v>1</v>
      </c>
      <c r="D175" s="3" t="s">
        <v>65</v>
      </c>
      <c r="E175" s="3">
        <v>1</v>
      </c>
      <c r="F175" s="3">
        <v>1</v>
      </c>
      <c r="G175" s="3">
        <v>0</v>
      </c>
      <c r="H175" s="1" t="s">
        <v>440</v>
      </c>
      <c r="I175" s="1" t="s">
        <v>27</v>
      </c>
      <c r="J175" s="1" t="s">
        <v>439</v>
      </c>
      <c r="K175" s="3">
        <v>1</v>
      </c>
      <c r="L175" s="1" t="s">
        <v>438</v>
      </c>
      <c r="M175" s="1" t="s">
        <v>577</v>
      </c>
      <c r="N175" s="3">
        <v>2</v>
      </c>
      <c r="O175" s="3">
        <v>0</v>
      </c>
      <c r="P175" s="19">
        <f t="shared" si="43"/>
        <v>1</v>
      </c>
      <c r="Q175" s="3">
        <v>2021</v>
      </c>
      <c r="R175" s="3" t="s">
        <v>370</v>
      </c>
      <c r="S175" s="3">
        <v>2017</v>
      </c>
      <c r="T175" s="3" t="s">
        <v>101</v>
      </c>
      <c r="U175" s="3">
        <v>0.22900000000000001</v>
      </c>
      <c r="V175" s="3">
        <v>0.92700000000000005</v>
      </c>
      <c r="W175" s="3">
        <v>0.89900000000000002</v>
      </c>
      <c r="X175" s="3">
        <v>59907.754260885005</v>
      </c>
      <c r="Y175" s="3">
        <v>0</v>
      </c>
      <c r="Z175" s="3">
        <v>1</v>
      </c>
      <c r="AA175" s="3">
        <v>0</v>
      </c>
      <c r="AB175" s="3" t="s">
        <v>207</v>
      </c>
      <c r="AC175" s="7" t="s">
        <v>61</v>
      </c>
      <c r="AD175" s="19">
        <v>0.53100000000000003</v>
      </c>
      <c r="AE175" s="19">
        <v>0.46899999999999997</v>
      </c>
      <c r="AF175" s="10">
        <v>2</v>
      </c>
      <c r="AG175" s="3">
        <f t="shared" si="44"/>
        <v>1</v>
      </c>
      <c r="AH175" s="3">
        <f t="shared" si="45"/>
        <v>2</v>
      </c>
      <c r="AI175" s="4">
        <f t="shared" si="46"/>
        <v>1</v>
      </c>
      <c r="AJ175" s="4">
        <f t="shared" si="47"/>
        <v>2</v>
      </c>
      <c r="AK175" s="4">
        <f t="shared" si="48"/>
        <v>1</v>
      </c>
      <c r="AL175" s="4">
        <f t="shared" si="49"/>
        <v>2</v>
      </c>
      <c r="AM175" s="4">
        <f t="shared" si="50"/>
        <v>1</v>
      </c>
      <c r="AN175" s="4">
        <v>0</v>
      </c>
      <c r="AO175" s="4">
        <v>0</v>
      </c>
      <c r="AP175" s="3" t="s">
        <v>61</v>
      </c>
      <c r="AQ175" s="3" t="s">
        <v>97</v>
      </c>
      <c r="AR175" s="3">
        <v>1</v>
      </c>
      <c r="AS175" s="3" t="s">
        <v>62</v>
      </c>
      <c r="AT175" s="16">
        <f>(0.21+0.07+0.19+0.3+0.15+0.2)/6</f>
        <v>0.18666666666666668</v>
      </c>
      <c r="AU175" s="8">
        <f>2744*0.508</f>
        <v>1393.952</v>
      </c>
      <c r="AV175" s="16">
        <f>(0.25+0.2+0.18+0.33+0.28+0.14)/6</f>
        <v>0.22999999999999998</v>
      </c>
      <c r="AW175" s="3">
        <f>2744*0.492</f>
        <v>1350.048</v>
      </c>
      <c r="AX175" s="8">
        <f>AT175*AU175</f>
        <v>260.20437333333336</v>
      </c>
      <c r="AY175" s="8">
        <f t="shared" si="61"/>
        <v>1133.7476266666667</v>
      </c>
      <c r="AZ175" s="8">
        <f>AV175*AW175</f>
        <v>310.51103999999998</v>
      </c>
      <c r="BA175" s="8">
        <f t="shared" si="62"/>
        <v>1039.5369599999999</v>
      </c>
      <c r="BB175" s="3">
        <f t="shared" si="51"/>
        <v>2744</v>
      </c>
    </row>
    <row r="176" spans="1:54" s="1" customFormat="1" x14ac:dyDescent="0.25">
      <c r="A176" s="9" t="str">
        <f t="shared" si="54"/>
        <v>57A</v>
      </c>
      <c r="B176" s="3">
        <v>57</v>
      </c>
      <c r="C176" s="3">
        <v>1</v>
      </c>
      <c r="D176" s="3" t="s">
        <v>65</v>
      </c>
      <c r="E176" s="3">
        <v>1</v>
      </c>
      <c r="F176" s="3">
        <v>1</v>
      </c>
      <c r="G176" s="3">
        <v>0</v>
      </c>
      <c r="H176" s="1" t="s">
        <v>442</v>
      </c>
      <c r="I176" s="1" t="s">
        <v>443</v>
      </c>
      <c r="J176" s="1" t="s">
        <v>439</v>
      </c>
      <c r="K176" s="3">
        <v>1</v>
      </c>
      <c r="L176" s="1" t="s">
        <v>441</v>
      </c>
      <c r="M176" s="1" t="s">
        <v>467</v>
      </c>
      <c r="N176" s="3">
        <v>0</v>
      </c>
      <c r="O176" s="3">
        <v>1</v>
      </c>
      <c r="P176" s="19">
        <f t="shared" si="43"/>
        <v>0</v>
      </c>
      <c r="Q176" s="3">
        <v>2020</v>
      </c>
      <c r="R176" s="3" t="s">
        <v>370</v>
      </c>
      <c r="S176" s="3">
        <v>2016</v>
      </c>
      <c r="T176" s="3" t="s">
        <v>636</v>
      </c>
      <c r="U176" s="3">
        <v>0.06</v>
      </c>
      <c r="V176" s="3">
        <v>0.93</v>
      </c>
      <c r="W176" s="3">
        <v>0.92400000000000004</v>
      </c>
      <c r="X176" s="3">
        <v>43814.026505696464</v>
      </c>
      <c r="Y176" s="3">
        <v>7.1999999999999995E-2</v>
      </c>
      <c r="Z176" s="3">
        <v>0</v>
      </c>
      <c r="AA176" s="3">
        <v>0</v>
      </c>
      <c r="AB176" s="3" t="s">
        <v>207</v>
      </c>
      <c r="AC176" s="7" t="s">
        <v>684</v>
      </c>
      <c r="AD176" s="3">
        <v>0.43200000000000005</v>
      </c>
      <c r="AE176" s="3">
        <v>0.56799999999999995</v>
      </c>
      <c r="AF176" s="10">
        <v>2</v>
      </c>
      <c r="AG176" s="4">
        <f t="shared" si="44"/>
        <v>1</v>
      </c>
      <c r="AH176" s="3">
        <f t="shared" si="45"/>
        <v>2</v>
      </c>
      <c r="AI176" s="4">
        <f t="shared" si="46"/>
        <v>1</v>
      </c>
      <c r="AJ176" s="4">
        <f t="shared" si="47"/>
        <v>2</v>
      </c>
      <c r="AK176" s="4">
        <f t="shared" si="48"/>
        <v>1</v>
      </c>
      <c r="AL176" s="4">
        <f t="shared" si="49"/>
        <v>2</v>
      </c>
      <c r="AM176" s="4">
        <f t="shared" si="50"/>
        <v>1</v>
      </c>
      <c r="AN176" s="4">
        <v>0</v>
      </c>
      <c r="AO176" s="4">
        <v>0</v>
      </c>
      <c r="AP176" s="3" t="s">
        <v>61</v>
      </c>
      <c r="AQ176" s="3" t="s">
        <v>97</v>
      </c>
      <c r="AR176" s="3">
        <v>1</v>
      </c>
      <c r="AS176" s="3" t="s">
        <v>62</v>
      </c>
      <c r="AT176" s="16">
        <f>AX176/AU176</f>
        <v>0.26079999999999998</v>
      </c>
      <c r="AU176" s="8">
        <v>2500</v>
      </c>
      <c r="AV176" s="16">
        <f>AZ176/AW176</f>
        <v>0.18720000000000001</v>
      </c>
      <c r="AW176" s="8">
        <v>2500</v>
      </c>
      <c r="AX176" s="8">
        <v>652</v>
      </c>
      <c r="AY176" s="8">
        <f t="shared" si="61"/>
        <v>1848</v>
      </c>
      <c r="AZ176" s="8">
        <v>468</v>
      </c>
      <c r="BA176" s="8">
        <f t="shared" si="62"/>
        <v>2032</v>
      </c>
      <c r="BB176" s="3">
        <f t="shared" si="51"/>
        <v>5000</v>
      </c>
    </row>
    <row r="177" spans="1:54" s="1" customFormat="1" x14ac:dyDescent="0.25">
      <c r="A177" s="9" t="str">
        <f t="shared" si="54"/>
        <v>58A</v>
      </c>
      <c r="B177" s="3">
        <v>58</v>
      </c>
      <c r="C177" s="3">
        <v>1</v>
      </c>
      <c r="D177" s="3" t="s">
        <v>65</v>
      </c>
      <c r="E177" s="3">
        <v>1</v>
      </c>
      <c r="F177" s="3">
        <v>1</v>
      </c>
      <c r="G177" s="3">
        <v>0</v>
      </c>
      <c r="H177" s="1" t="s">
        <v>444</v>
      </c>
      <c r="I177" s="1" t="s">
        <v>31</v>
      </c>
      <c r="J177" s="1" t="s">
        <v>439</v>
      </c>
      <c r="K177" s="3">
        <v>1</v>
      </c>
      <c r="L177" s="1" t="s">
        <v>445</v>
      </c>
      <c r="M177" s="1" t="s">
        <v>578</v>
      </c>
      <c r="N177" s="3">
        <v>0</v>
      </c>
      <c r="O177" s="3">
        <v>1</v>
      </c>
      <c r="P177" s="19">
        <f t="shared" si="43"/>
        <v>0</v>
      </c>
      <c r="Q177" s="3">
        <v>2020</v>
      </c>
      <c r="R177" s="3">
        <v>2017</v>
      </c>
      <c r="S177" s="3">
        <v>2017</v>
      </c>
      <c r="T177" s="3" t="s">
        <v>101</v>
      </c>
      <c r="U177" s="3">
        <v>0.22900000000000001</v>
      </c>
      <c r="V177" s="3">
        <v>0.92700000000000005</v>
      </c>
      <c r="W177" s="3">
        <v>0.89900000000000002</v>
      </c>
      <c r="X177" s="3">
        <v>59907.754260885005</v>
      </c>
      <c r="Y177" s="3">
        <v>0</v>
      </c>
      <c r="Z177" s="3">
        <v>0</v>
      </c>
      <c r="AA177" s="3">
        <v>0</v>
      </c>
      <c r="AB177" s="3" t="s">
        <v>207</v>
      </c>
      <c r="AC177" s="7" t="s">
        <v>699</v>
      </c>
      <c r="AD177" s="19">
        <v>0.57325000000000004</v>
      </c>
      <c r="AE177" s="19">
        <v>0.42674999999999996</v>
      </c>
      <c r="AF177" s="10">
        <v>2</v>
      </c>
      <c r="AG177" s="3">
        <f t="shared" si="44"/>
        <v>1</v>
      </c>
      <c r="AH177" s="3">
        <f t="shared" si="45"/>
        <v>2</v>
      </c>
      <c r="AI177" s="4">
        <f t="shared" si="46"/>
        <v>1</v>
      </c>
      <c r="AJ177" s="4">
        <f t="shared" si="47"/>
        <v>2</v>
      </c>
      <c r="AK177" s="4">
        <f t="shared" si="48"/>
        <v>1</v>
      </c>
      <c r="AL177" s="4">
        <f t="shared" si="49"/>
        <v>2</v>
      </c>
      <c r="AM177" s="4">
        <f t="shared" si="50"/>
        <v>1</v>
      </c>
      <c r="AN177" s="4">
        <v>0</v>
      </c>
      <c r="AO177" s="4">
        <v>0</v>
      </c>
      <c r="AP177" s="3" t="s">
        <v>100</v>
      </c>
      <c r="AQ177" s="3" t="s">
        <v>97</v>
      </c>
      <c r="AR177" s="3">
        <v>1</v>
      </c>
      <c r="AS177" s="3" t="s">
        <v>62</v>
      </c>
      <c r="AT177" s="16">
        <v>0.122</v>
      </c>
      <c r="AU177" s="3">
        <v>964</v>
      </c>
      <c r="AV177" s="16">
        <v>0.121</v>
      </c>
      <c r="AW177" s="3">
        <v>927</v>
      </c>
      <c r="AX177" s="8">
        <f t="shared" ref="AX177:AX184" si="63">AT177*AU177</f>
        <v>117.608</v>
      </c>
      <c r="AY177" s="8">
        <f t="shared" si="61"/>
        <v>846.39200000000005</v>
      </c>
      <c r="AZ177" s="8">
        <f t="shared" ref="AZ177:AZ184" si="64">AV177*AW177</f>
        <v>112.167</v>
      </c>
      <c r="BA177" s="8">
        <f t="shared" si="62"/>
        <v>814.83299999999997</v>
      </c>
      <c r="BB177" s="3">
        <f t="shared" si="51"/>
        <v>1891</v>
      </c>
    </row>
    <row r="178" spans="1:54" s="1" customFormat="1" x14ac:dyDescent="0.25">
      <c r="A178" s="9" t="str">
        <f t="shared" si="54"/>
        <v>59A</v>
      </c>
      <c r="B178" s="3">
        <v>59</v>
      </c>
      <c r="C178" s="3">
        <v>1</v>
      </c>
      <c r="D178" s="3" t="s">
        <v>65</v>
      </c>
      <c r="E178" s="3">
        <v>1</v>
      </c>
      <c r="F178" s="3">
        <v>1</v>
      </c>
      <c r="G178" s="3">
        <v>0</v>
      </c>
      <c r="H178" s="1" t="s">
        <v>449</v>
      </c>
      <c r="I178" s="1" t="s">
        <v>448</v>
      </c>
      <c r="J178" s="1" t="s">
        <v>439</v>
      </c>
      <c r="K178" s="3">
        <v>1</v>
      </c>
      <c r="L178" s="1" t="s">
        <v>447</v>
      </c>
      <c r="M178" s="1" t="s">
        <v>579</v>
      </c>
      <c r="N178" s="3">
        <v>2</v>
      </c>
      <c r="O178" s="3">
        <v>3</v>
      </c>
      <c r="P178" s="19">
        <f t="shared" si="43"/>
        <v>0.4</v>
      </c>
      <c r="Q178" s="3">
        <v>2016</v>
      </c>
      <c r="R178" s="3">
        <v>2014</v>
      </c>
      <c r="S178" s="24">
        <v>2014</v>
      </c>
      <c r="T178" s="3" t="s">
        <v>101</v>
      </c>
      <c r="U178" s="3">
        <v>0.23499999999999999</v>
      </c>
      <c r="V178" s="14">
        <v>0.92</v>
      </c>
      <c r="W178" s="3">
        <v>0.89200000000000002</v>
      </c>
      <c r="X178" s="3">
        <v>55123.84978690464</v>
      </c>
      <c r="Y178" s="3">
        <v>0</v>
      </c>
      <c r="Z178" s="3">
        <v>0</v>
      </c>
      <c r="AA178" s="3">
        <v>0</v>
      </c>
      <c r="AB178" s="3" t="s">
        <v>446</v>
      </c>
      <c r="AC178" s="7" t="s">
        <v>678</v>
      </c>
      <c r="AD178" s="19">
        <v>0.36210253719954222</v>
      </c>
      <c r="AE178" s="19">
        <v>0.63799284624189245</v>
      </c>
      <c r="AF178" s="10">
        <v>2</v>
      </c>
      <c r="AG178" s="3">
        <f t="shared" si="44"/>
        <v>1</v>
      </c>
      <c r="AH178" s="3">
        <f t="shared" si="45"/>
        <v>0</v>
      </c>
      <c r="AI178" s="4">
        <f t="shared" si="46"/>
        <v>0</v>
      </c>
      <c r="AJ178" s="4">
        <f t="shared" si="47"/>
        <v>2</v>
      </c>
      <c r="AK178" s="4">
        <f t="shared" si="48"/>
        <v>1</v>
      </c>
      <c r="AL178" s="4">
        <f t="shared" si="49"/>
        <v>2</v>
      </c>
      <c r="AM178" s="4">
        <f t="shared" si="50"/>
        <v>1</v>
      </c>
      <c r="AN178" s="4">
        <v>0</v>
      </c>
      <c r="AO178" s="4">
        <v>0</v>
      </c>
      <c r="AP178" s="3" t="s">
        <v>61</v>
      </c>
      <c r="AQ178" s="3" t="s">
        <v>97</v>
      </c>
      <c r="AR178" s="3">
        <v>1</v>
      </c>
      <c r="AS178" s="3" t="s">
        <v>62</v>
      </c>
      <c r="AT178" s="16">
        <f>(0.092*2620+0.09*2680)/(2620+2680)</f>
        <v>9.0988679245283019E-2</v>
      </c>
      <c r="AU178" s="3">
        <f>2620+2680</f>
        <v>5300</v>
      </c>
      <c r="AV178" s="16">
        <f>(0.066*2456+0.077*2728)/(2456+2728)</f>
        <v>7.1788580246913578E-2</v>
      </c>
      <c r="AW178" s="3">
        <f>2456+2728</f>
        <v>5184</v>
      </c>
      <c r="AX178" s="8">
        <f t="shared" si="63"/>
        <v>482.24</v>
      </c>
      <c r="AY178" s="8">
        <f t="shared" si="61"/>
        <v>4817.76</v>
      </c>
      <c r="AZ178" s="8">
        <f t="shared" si="64"/>
        <v>372.15199999999999</v>
      </c>
      <c r="BA178" s="8">
        <f t="shared" si="62"/>
        <v>4811.848</v>
      </c>
      <c r="BB178" s="8">
        <f t="shared" si="51"/>
        <v>10484</v>
      </c>
    </row>
    <row r="179" spans="1:54" s="1" customFormat="1" x14ac:dyDescent="0.25">
      <c r="A179" s="9" t="str">
        <f t="shared" si="54"/>
        <v>60A</v>
      </c>
      <c r="B179" s="3">
        <v>60</v>
      </c>
      <c r="C179" s="3">
        <v>1</v>
      </c>
      <c r="D179" s="3" t="s">
        <v>65</v>
      </c>
      <c r="E179" s="3">
        <v>1</v>
      </c>
      <c r="F179" s="3">
        <v>0</v>
      </c>
      <c r="G179" s="3">
        <v>0</v>
      </c>
      <c r="H179" s="1" t="s">
        <v>10</v>
      </c>
      <c r="I179" s="1" t="s">
        <v>11</v>
      </c>
      <c r="J179" s="1" t="s">
        <v>439</v>
      </c>
      <c r="K179" s="3">
        <v>1</v>
      </c>
      <c r="L179" s="1" t="s">
        <v>9</v>
      </c>
      <c r="M179" s="1" t="s">
        <v>618</v>
      </c>
      <c r="N179" s="3">
        <v>1</v>
      </c>
      <c r="O179" s="3">
        <v>0</v>
      </c>
      <c r="P179" s="19">
        <f t="shared" si="43"/>
        <v>1</v>
      </c>
      <c r="Q179" s="3">
        <v>2019</v>
      </c>
      <c r="R179" s="3">
        <v>2014</v>
      </c>
      <c r="S179" s="24">
        <v>2014</v>
      </c>
      <c r="T179" s="3" t="s">
        <v>101</v>
      </c>
      <c r="U179" s="3">
        <v>0.23499999999999999</v>
      </c>
      <c r="V179" s="12">
        <v>0.92</v>
      </c>
      <c r="W179" s="3">
        <v>0.89200000000000002</v>
      </c>
      <c r="X179" s="3">
        <v>55123.84978690464</v>
      </c>
      <c r="Y179" s="3">
        <v>0</v>
      </c>
      <c r="Z179" s="3">
        <v>1</v>
      </c>
      <c r="AA179" s="3">
        <v>0</v>
      </c>
      <c r="AB179" s="3" t="s">
        <v>207</v>
      </c>
      <c r="AC179" s="7" t="s">
        <v>45</v>
      </c>
      <c r="AD179" s="3"/>
      <c r="AE179" s="3"/>
      <c r="AF179" s="10">
        <v>2</v>
      </c>
      <c r="AG179" s="4">
        <f t="shared" si="44"/>
        <v>1</v>
      </c>
      <c r="AH179" s="3">
        <f t="shared" si="45"/>
        <v>2</v>
      </c>
      <c r="AI179" s="4">
        <f t="shared" si="46"/>
        <v>1</v>
      </c>
      <c r="AJ179" s="4">
        <f t="shared" si="47"/>
        <v>2</v>
      </c>
      <c r="AK179" s="4">
        <f t="shared" si="48"/>
        <v>1</v>
      </c>
      <c r="AL179" s="4">
        <f t="shared" si="49"/>
        <v>2</v>
      </c>
      <c r="AM179" s="4">
        <f t="shared" si="50"/>
        <v>1</v>
      </c>
      <c r="AN179" s="4">
        <v>0</v>
      </c>
      <c r="AO179" s="4">
        <v>0</v>
      </c>
      <c r="AP179" s="3" t="s">
        <v>61</v>
      </c>
      <c r="AQ179" s="3" t="s">
        <v>97</v>
      </c>
      <c r="AR179" s="3">
        <v>1</v>
      </c>
      <c r="AS179" s="3" t="s">
        <v>62</v>
      </c>
      <c r="AT179" s="16">
        <f>(AT180*AU180+AT181*AU181+AT182*AU182+AT183*AU183)/AU179</f>
        <v>0.1078381466201206</v>
      </c>
      <c r="AU179" s="3">
        <f>SUM(AU180:AU183)</f>
        <v>3151</v>
      </c>
      <c r="AV179" s="16">
        <f>(AV180*AW180+AV181*AW181+AV182*AW182+AV183*AW183)/AW179</f>
        <v>9.775563313233894E-2</v>
      </c>
      <c r="AW179" s="3">
        <f>SUM(AW180:AW183)</f>
        <v>3151</v>
      </c>
      <c r="AX179" s="8">
        <f t="shared" si="63"/>
        <v>339.798</v>
      </c>
      <c r="AY179" s="8">
        <f t="shared" si="61"/>
        <v>2811.2020000000002</v>
      </c>
      <c r="AZ179" s="8">
        <f t="shared" si="64"/>
        <v>308.02800000000002</v>
      </c>
      <c r="BA179" s="8">
        <f t="shared" si="62"/>
        <v>2842.9719999999998</v>
      </c>
      <c r="BB179" s="3">
        <f t="shared" si="51"/>
        <v>6302</v>
      </c>
    </row>
    <row r="180" spans="1:54" x14ac:dyDescent="0.25">
      <c r="A180" s="9" t="str">
        <f t="shared" si="54"/>
        <v>60B</v>
      </c>
      <c r="B180" s="4">
        <v>60</v>
      </c>
      <c r="C180" s="4">
        <v>1</v>
      </c>
      <c r="D180" s="4" t="s">
        <v>66</v>
      </c>
      <c r="E180" s="4">
        <v>0</v>
      </c>
      <c r="F180" s="4">
        <v>1</v>
      </c>
      <c r="G180" s="4">
        <v>0</v>
      </c>
      <c r="H180" s="2" t="s">
        <v>10</v>
      </c>
      <c r="I180" s="2" t="s">
        <v>11</v>
      </c>
      <c r="J180" s="2" t="s">
        <v>439</v>
      </c>
      <c r="K180" s="4">
        <v>1</v>
      </c>
      <c r="L180" s="2" t="s">
        <v>9</v>
      </c>
      <c r="M180" s="1"/>
      <c r="N180" s="4">
        <v>1</v>
      </c>
      <c r="O180" s="4">
        <v>0</v>
      </c>
      <c r="P180" s="20">
        <f t="shared" si="43"/>
        <v>1</v>
      </c>
      <c r="Q180" s="4">
        <v>2019</v>
      </c>
      <c r="R180" s="4">
        <v>2014</v>
      </c>
      <c r="S180" s="4">
        <v>2014</v>
      </c>
      <c r="T180" s="4" t="s">
        <v>101</v>
      </c>
      <c r="U180" s="4">
        <v>0.23499999999999999</v>
      </c>
      <c r="V180" s="12">
        <v>0.92</v>
      </c>
      <c r="W180" s="4">
        <v>0.89200000000000002</v>
      </c>
      <c r="X180" s="4">
        <v>55123.84978690464</v>
      </c>
      <c r="Y180" s="4">
        <v>0</v>
      </c>
      <c r="Z180" s="4">
        <v>1</v>
      </c>
      <c r="AA180" s="4">
        <v>0</v>
      </c>
      <c r="AB180" s="4" t="s">
        <v>207</v>
      </c>
      <c r="AC180" s="17" t="s">
        <v>679</v>
      </c>
      <c r="AD180" s="20">
        <v>0.27649999999999997</v>
      </c>
      <c r="AE180" s="20">
        <v>0.72350000000000003</v>
      </c>
      <c r="AF180" s="10">
        <v>0</v>
      </c>
      <c r="AG180" s="4">
        <f t="shared" si="44"/>
        <v>0</v>
      </c>
      <c r="AH180" s="3">
        <f t="shared" si="45"/>
        <v>0</v>
      </c>
      <c r="AI180" s="4">
        <f t="shared" si="46"/>
        <v>0</v>
      </c>
      <c r="AJ180" s="4">
        <f t="shared" si="47"/>
        <v>0</v>
      </c>
      <c r="AK180" s="4">
        <f t="shared" si="48"/>
        <v>0</v>
      </c>
      <c r="AL180" s="4">
        <f t="shared" si="49"/>
        <v>0</v>
      </c>
      <c r="AM180" s="4">
        <f t="shared" si="50"/>
        <v>0</v>
      </c>
      <c r="AN180" s="4">
        <v>0</v>
      </c>
      <c r="AO180" s="4">
        <v>0</v>
      </c>
      <c r="AP180" s="4" t="s">
        <v>61</v>
      </c>
      <c r="AQ180" s="4" t="s">
        <v>97</v>
      </c>
      <c r="AR180" s="4">
        <v>1</v>
      </c>
      <c r="AS180" s="4" t="s">
        <v>180</v>
      </c>
      <c r="AT180" s="4">
        <v>8.7999999999999995E-2</v>
      </c>
      <c r="AU180" s="4">
        <v>759</v>
      </c>
      <c r="AV180" s="4">
        <v>5.8000000000000003E-2</v>
      </c>
      <c r="AW180" s="4">
        <v>759</v>
      </c>
      <c r="AX180" s="10">
        <f t="shared" si="63"/>
        <v>66.792000000000002</v>
      </c>
      <c r="AY180" s="10">
        <f t="shared" si="61"/>
        <v>692.20799999999997</v>
      </c>
      <c r="AZ180" s="10">
        <f t="shared" si="64"/>
        <v>44.022000000000006</v>
      </c>
      <c r="BA180" s="10">
        <f t="shared" si="62"/>
        <v>714.97799999999995</v>
      </c>
      <c r="BB180" s="10">
        <f t="shared" si="51"/>
        <v>1518</v>
      </c>
    </row>
    <row r="181" spans="1:54" x14ac:dyDescent="0.25">
      <c r="A181" s="9" t="str">
        <f t="shared" si="54"/>
        <v>60C</v>
      </c>
      <c r="B181" s="4">
        <v>60</v>
      </c>
      <c r="C181" s="4">
        <v>1</v>
      </c>
      <c r="D181" s="4" t="s">
        <v>67</v>
      </c>
      <c r="E181" s="4">
        <v>0</v>
      </c>
      <c r="F181" s="4">
        <v>1</v>
      </c>
      <c r="G181" s="4">
        <v>0</v>
      </c>
      <c r="H181" s="2" t="s">
        <v>10</v>
      </c>
      <c r="I181" s="2" t="s">
        <v>11</v>
      </c>
      <c r="J181" s="2" t="s">
        <v>439</v>
      </c>
      <c r="K181" s="4">
        <v>1</v>
      </c>
      <c r="L181" s="2" t="s">
        <v>9</v>
      </c>
      <c r="M181" s="1"/>
      <c r="N181" s="4">
        <v>1</v>
      </c>
      <c r="O181" s="4">
        <v>0</v>
      </c>
      <c r="P181" s="20">
        <f t="shared" si="43"/>
        <v>1</v>
      </c>
      <c r="Q181" s="4">
        <v>2019</v>
      </c>
      <c r="R181" s="4">
        <v>2014</v>
      </c>
      <c r="S181" s="4">
        <v>2014</v>
      </c>
      <c r="T181" s="4" t="s">
        <v>101</v>
      </c>
      <c r="U181" s="4">
        <v>0.23499999999999999</v>
      </c>
      <c r="V181" s="12">
        <v>0.92</v>
      </c>
      <c r="W181" s="4">
        <v>0.89200000000000002</v>
      </c>
      <c r="X181" s="4">
        <v>55123.84978690464</v>
      </c>
      <c r="Y181" s="4">
        <v>0</v>
      </c>
      <c r="Z181" s="4">
        <v>1</v>
      </c>
      <c r="AA181" s="4">
        <v>0</v>
      </c>
      <c r="AB181" s="4" t="s">
        <v>207</v>
      </c>
      <c r="AC181" s="17" t="s">
        <v>680</v>
      </c>
      <c r="AD181" s="20">
        <v>0.65049999999999997</v>
      </c>
      <c r="AE181" s="20">
        <v>0.34950000000000003</v>
      </c>
      <c r="AF181" s="10">
        <v>1</v>
      </c>
      <c r="AG181" s="4">
        <f t="shared" si="44"/>
        <v>1</v>
      </c>
      <c r="AH181" s="3">
        <f t="shared" si="45"/>
        <v>1</v>
      </c>
      <c r="AI181" s="4">
        <f t="shared" si="46"/>
        <v>1</v>
      </c>
      <c r="AJ181" s="4">
        <f t="shared" si="47"/>
        <v>1</v>
      </c>
      <c r="AK181" s="4">
        <f t="shared" si="48"/>
        <v>1</v>
      </c>
      <c r="AL181" s="4">
        <f t="shared" si="49"/>
        <v>2</v>
      </c>
      <c r="AM181" s="4">
        <f t="shared" si="50"/>
        <v>1</v>
      </c>
      <c r="AN181" s="4">
        <v>0</v>
      </c>
      <c r="AO181" s="4">
        <v>0</v>
      </c>
      <c r="AP181" s="4" t="s">
        <v>61</v>
      </c>
      <c r="AQ181" s="4" t="s">
        <v>97</v>
      </c>
      <c r="AR181" s="4">
        <v>1</v>
      </c>
      <c r="AS181" s="4" t="s">
        <v>181</v>
      </c>
      <c r="AT181" s="4">
        <v>0.153</v>
      </c>
      <c r="AU181" s="4">
        <v>763</v>
      </c>
      <c r="AV181" s="4">
        <v>0.13500000000000001</v>
      </c>
      <c r="AW181" s="4">
        <v>763</v>
      </c>
      <c r="AX181" s="10">
        <f t="shared" si="63"/>
        <v>116.739</v>
      </c>
      <c r="AY181" s="10">
        <f t="shared" si="61"/>
        <v>646.26099999999997</v>
      </c>
      <c r="AZ181" s="10">
        <f t="shared" si="64"/>
        <v>103.00500000000001</v>
      </c>
      <c r="BA181" s="10">
        <f t="shared" si="62"/>
        <v>659.995</v>
      </c>
      <c r="BB181" s="4">
        <f t="shared" si="51"/>
        <v>1526</v>
      </c>
    </row>
    <row r="182" spans="1:54" x14ac:dyDescent="0.25">
      <c r="A182" s="9" t="str">
        <f t="shared" si="54"/>
        <v>60D</v>
      </c>
      <c r="B182" s="4">
        <v>60</v>
      </c>
      <c r="C182" s="4">
        <v>1</v>
      </c>
      <c r="D182" s="4" t="s">
        <v>68</v>
      </c>
      <c r="E182" s="4">
        <v>0</v>
      </c>
      <c r="F182" s="4">
        <v>1</v>
      </c>
      <c r="G182" s="4">
        <v>0</v>
      </c>
      <c r="H182" s="2" t="s">
        <v>10</v>
      </c>
      <c r="I182" s="2" t="s">
        <v>11</v>
      </c>
      <c r="J182" s="2" t="s">
        <v>439</v>
      </c>
      <c r="K182" s="4">
        <v>1</v>
      </c>
      <c r="L182" s="2" t="s">
        <v>9</v>
      </c>
      <c r="M182" s="1"/>
      <c r="N182" s="4">
        <v>1</v>
      </c>
      <c r="O182" s="4">
        <v>0</v>
      </c>
      <c r="P182" s="20">
        <f t="shared" si="43"/>
        <v>1</v>
      </c>
      <c r="Q182" s="4">
        <v>2019</v>
      </c>
      <c r="R182" s="4">
        <v>2014</v>
      </c>
      <c r="S182" s="4">
        <v>2014</v>
      </c>
      <c r="T182" s="4" t="s">
        <v>101</v>
      </c>
      <c r="U182" s="4">
        <v>0.23499999999999999</v>
      </c>
      <c r="V182" s="12">
        <v>0.92</v>
      </c>
      <c r="W182" s="4">
        <v>0.89200000000000002</v>
      </c>
      <c r="X182" s="4">
        <v>55123.84978690464</v>
      </c>
      <c r="Y182" s="4">
        <v>0</v>
      </c>
      <c r="Z182" s="4">
        <v>1</v>
      </c>
      <c r="AA182" s="4">
        <v>0</v>
      </c>
      <c r="AB182" s="4" t="s">
        <v>207</v>
      </c>
      <c r="AC182" s="17" t="s">
        <v>681</v>
      </c>
      <c r="AD182" s="20">
        <v>0.23399999999999999</v>
      </c>
      <c r="AE182" s="20">
        <v>0.76600000000000001</v>
      </c>
      <c r="AF182" s="10">
        <v>0</v>
      </c>
      <c r="AG182" s="4">
        <f t="shared" si="44"/>
        <v>0</v>
      </c>
      <c r="AH182" s="3">
        <f t="shared" si="45"/>
        <v>0</v>
      </c>
      <c r="AI182" s="4">
        <f t="shared" si="46"/>
        <v>0</v>
      </c>
      <c r="AJ182" s="4">
        <f t="shared" si="47"/>
        <v>0</v>
      </c>
      <c r="AK182" s="4">
        <f t="shared" si="48"/>
        <v>0</v>
      </c>
      <c r="AL182" s="4">
        <f t="shared" si="49"/>
        <v>0</v>
      </c>
      <c r="AM182" s="4">
        <f t="shared" si="50"/>
        <v>0</v>
      </c>
      <c r="AN182" s="4">
        <v>0</v>
      </c>
      <c r="AO182" s="4">
        <v>0</v>
      </c>
      <c r="AP182" s="4" t="s">
        <v>61</v>
      </c>
      <c r="AQ182" s="4" t="s">
        <v>97</v>
      </c>
      <c r="AR182" s="4">
        <v>1</v>
      </c>
      <c r="AS182" s="4" t="s">
        <v>182</v>
      </c>
      <c r="AT182" s="4">
        <v>0.13100000000000001</v>
      </c>
      <c r="AU182" s="4">
        <v>801</v>
      </c>
      <c r="AV182" s="4">
        <v>0.109</v>
      </c>
      <c r="AW182" s="4">
        <v>801</v>
      </c>
      <c r="AX182" s="10">
        <f t="shared" si="63"/>
        <v>104.931</v>
      </c>
      <c r="AY182" s="10">
        <f t="shared" si="61"/>
        <v>696.06899999999996</v>
      </c>
      <c r="AZ182" s="10">
        <f t="shared" si="64"/>
        <v>87.308999999999997</v>
      </c>
      <c r="BA182" s="10">
        <f t="shared" si="62"/>
        <v>713.69100000000003</v>
      </c>
      <c r="BB182" s="4">
        <f t="shared" si="51"/>
        <v>1602</v>
      </c>
    </row>
    <row r="183" spans="1:54" x14ac:dyDescent="0.25">
      <c r="A183" s="9" t="str">
        <f t="shared" si="54"/>
        <v>60E</v>
      </c>
      <c r="B183" s="4">
        <v>60</v>
      </c>
      <c r="C183" s="4">
        <v>1</v>
      </c>
      <c r="D183" s="4" t="s">
        <v>102</v>
      </c>
      <c r="E183" s="4">
        <v>0</v>
      </c>
      <c r="F183" s="4">
        <v>1</v>
      </c>
      <c r="G183" s="4">
        <v>0</v>
      </c>
      <c r="H183" s="2" t="s">
        <v>10</v>
      </c>
      <c r="I183" s="2" t="s">
        <v>11</v>
      </c>
      <c r="J183" s="2" t="s">
        <v>439</v>
      </c>
      <c r="K183" s="4">
        <v>1</v>
      </c>
      <c r="L183" s="2" t="s">
        <v>9</v>
      </c>
      <c r="M183" s="1"/>
      <c r="N183" s="4">
        <v>1</v>
      </c>
      <c r="O183" s="4">
        <v>0</v>
      </c>
      <c r="P183" s="20">
        <f t="shared" si="43"/>
        <v>1</v>
      </c>
      <c r="Q183" s="4">
        <v>2019</v>
      </c>
      <c r="R183" s="4">
        <v>2014</v>
      </c>
      <c r="S183" s="4">
        <v>2014</v>
      </c>
      <c r="T183" s="4" t="s">
        <v>101</v>
      </c>
      <c r="U183" s="4">
        <v>0.23499999999999999</v>
      </c>
      <c r="V183" s="12">
        <v>0.92</v>
      </c>
      <c r="W183" s="4">
        <v>0.89200000000000002</v>
      </c>
      <c r="X183" s="4">
        <v>55123.84978690464</v>
      </c>
      <c r="Y183" s="4">
        <v>0</v>
      </c>
      <c r="Z183" s="4">
        <v>1</v>
      </c>
      <c r="AA183" s="4">
        <v>0</v>
      </c>
      <c r="AB183" s="4" t="s">
        <v>207</v>
      </c>
      <c r="AC183" s="17" t="s">
        <v>682</v>
      </c>
      <c r="AD183" s="20">
        <v>0.76100000000000001</v>
      </c>
      <c r="AE183" s="20">
        <v>0.23900000000000002</v>
      </c>
      <c r="AF183" s="10">
        <v>1</v>
      </c>
      <c r="AG183" s="4">
        <f t="shared" si="44"/>
        <v>1</v>
      </c>
      <c r="AH183" s="3">
        <f t="shared" si="45"/>
        <v>1</v>
      </c>
      <c r="AI183" s="4">
        <f t="shared" si="46"/>
        <v>1</v>
      </c>
      <c r="AJ183" s="4">
        <f t="shared" si="47"/>
        <v>1</v>
      </c>
      <c r="AK183" s="4">
        <f t="shared" si="48"/>
        <v>1</v>
      </c>
      <c r="AL183" s="4">
        <f t="shared" si="49"/>
        <v>1</v>
      </c>
      <c r="AM183" s="4">
        <f t="shared" si="50"/>
        <v>1</v>
      </c>
      <c r="AN183" s="4">
        <v>1</v>
      </c>
      <c r="AO183" s="4">
        <v>0</v>
      </c>
      <c r="AP183" s="4" t="s">
        <v>61</v>
      </c>
      <c r="AQ183" s="4" t="s">
        <v>97</v>
      </c>
      <c r="AR183" s="4">
        <v>1</v>
      </c>
      <c r="AS183" s="4" t="s">
        <v>183</v>
      </c>
      <c r="AT183" s="4">
        <v>6.2E-2</v>
      </c>
      <c r="AU183" s="4">
        <v>828</v>
      </c>
      <c r="AV183" s="4">
        <v>8.8999999999999996E-2</v>
      </c>
      <c r="AW183" s="4">
        <v>828</v>
      </c>
      <c r="AX183" s="10">
        <f t="shared" si="63"/>
        <v>51.335999999999999</v>
      </c>
      <c r="AY183" s="10">
        <f t="shared" si="61"/>
        <v>776.66399999999999</v>
      </c>
      <c r="AZ183" s="10">
        <f t="shared" si="64"/>
        <v>73.691999999999993</v>
      </c>
      <c r="BA183" s="10">
        <f t="shared" si="62"/>
        <v>754.30799999999999</v>
      </c>
      <c r="BB183" s="4">
        <f t="shared" si="51"/>
        <v>1656</v>
      </c>
    </row>
    <row r="184" spans="1:54" x14ac:dyDescent="0.25">
      <c r="A184" s="9" t="str">
        <f t="shared" si="54"/>
        <v>61A</v>
      </c>
      <c r="B184" s="3">
        <v>61</v>
      </c>
      <c r="C184" s="3">
        <v>1</v>
      </c>
      <c r="D184" s="3" t="s">
        <v>65</v>
      </c>
      <c r="E184" s="3">
        <v>1</v>
      </c>
      <c r="F184" s="3">
        <v>1</v>
      </c>
      <c r="G184" s="3">
        <v>0</v>
      </c>
      <c r="H184" s="13" t="s">
        <v>645</v>
      </c>
      <c r="I184" s="13" t="s">
        <v>15</v>
      </c>
      <c r="J184" s="1" t="s">
        <v>439</v>
      </c>
      <c r="K184" s="3">
        <v>1</v>
      </c>
      <c r="L184" s="13" t="s">
        <v>135</v>
      </c>
      <c r="M184" s="1" t="s">
        <v>580</v>
      </c>
      <c r="N184" s="3">
        <v>1</v>
      </c>
      <c r="O184" s="3">
        <v>3</v>
      </c>
      <c r="P184" s="19">
        <f t="shared" si="43"/>
        <v>0.25</v>
      </c>
      <c r="Q184" s="14">
        <v>2018</v>
      </c>
      <c r="R184" s="3" t="s">
        <v>136</v>
      </c>
      <c r="S184" s="24">
        <v>2008</v>
      </c>
      <c r="T184" s="3" t="s">
        <v>129</v>
      </c>
      <c r="U184" s="3">
        <v>0.107</v>
      </c>
      <c r="V184" s="3">
        <v>0.877</v>
      </c>
      <c r="W184" s="3">
        <v>0.77600000000000002</v>
      </c>
      <c r="X184" s="3">
        <v>45515.961753347277</v>
      </c>
      <c r="Y184" s="3">
        <v>7.9000000000000001E-2</v>
      </c>
      <c r="Z184" s="3">
        <v>1</v>
      </c>
      <c r="AA184" s="3">
        <v>0</v>
      </c>
      <c r="AB184" s="3" t="s">
        <v>207</v>
      </c>
      <c r="AC184" s="7" t="s">
        <v>137</v>
      </c>
      <c r="AD184" s="19">
        <v>0.53560131689368029</v>
      </c>
      <c r="AE184" s="19">
        <v>0.46439868310631971</v>
      </c>
      <c r="AF184" s="10">
        <v>0</v>
      </c>
      <c r="AG184" s="4">
        <f t="shared" si="44"/>
        <v>0</v>
      </c>
      <c r="AH184" s="3">
        <f t="shared" si="45"/>
        <v>2</v>
      </c>
      <c r="AI184" s="4">
        <f t="shared" si="46"/>
        <v>1</v>
      </c>
      <c r="AJ184" s="4">
        <f t="shared" si="47"/>
        <v>2</v>
      </c>
      <c r="AK184" s="4">
        <f t="shared" si="48"/>
        <v>1</v>
      </c>
      <c r="AL184" s="4">
        <f t="shared" si="49"/>
        <v>2</v>
      </c>
      <c r="AM184" s="4">
        <f t="shared" si="50"/>
        <v>1</v>
      </c>
      <c r="AN184" s="4">
        <v>0</v>
      </c>
      <c r="AO184" s="4">
        <v>0</v>
      </c>
      <c r="AP184" s="3" t="s">
        <v>450</v>
      </c>
      <c r="AQ184" s="3" t="s">
        <v>97</v>
      </c>
      <c r="AR184" s="3">
        <v>1</v>
      </c>
      <c r="AS184" s="3" t="s">
        <v>62</v>
      </c>
      <c r="AT184" s="16">
        <f>(0.07+0.123)/2</f>
        <v>9.6500000000000002E-2</v>
      </c>
      <c r="AU184" s="3">
        <v>600</v>
      </c>
      <c r="AV184" s="16">
        <f>(0.1+0.093)/2</f>
        <v>9.6500000000000002E-2</v>
      </c>
      <c r="AW184" s="3">
        <v>600</v>
      </c>
      <c r="AX184" s="8">
        <f t="shared" si="63"/>
        <v>57.9</v>
      </c>
      <c r="AY184" s="8">
        <f t="shared" si="61"/>
        <v>542.1</v>
      </c>
      <c r="AZ184" s="8">
        <f t="shared" si="64"/>
        <v>57.9</v>
      </c>
      <c r="BA184" s="8">
        <f t="shared" si="62"/>
        <v>542.1</v>
      </c>
      <c r="BB184" s="3">
        <f t="shared" si="51"/>
        <v>1200</v>
      </c>
    </row>
    <row r="185" spans="1:54" x14ac:dyDescent="0.25">
      <c r="A185" s="9" t="str">
        <f t="shared" si="54"/>
        <v>62A</v>
      </c>
      <c r="B185" s="3">
        <v>62</v>
      </c>
      <c r="C185" s="3">
        <v>1</v>
      </c>
      <c r="D185" s="3" t="s">
        <v>65</v>
      </c>
      <c r="E185" s="3">
        <v>1</v>
      </c>
      <c r="F185" s="3">
        <v>0</v>
      </c>
      <c r="G185" s="3">
        <v>0</v>
      </c>
      <c r="H185" s="13" t="s">
        <v>140</v>
      </c>
      <c r="I185" s="13" t="s">
        <v>27</v>
      </c>
      <c r="J185" s="1" t="s">
        <v>439</v>
      </c>
      <c r="K185" s="3">
        <v>1</v>
      </c>
      <c r="L185" s="13" t="s">
        <v>141</v>
      </c>
      <c r="M185" s="1" t="s">
        <v>581</v>
      </c>
      <c r="N185" s="3">
        <v>1</v>
      </c>
      <c r="O185" s="3">
        <v>2</v>
      </c>
      <c r="P185" s="19">
        <f t="shared" si="43"/>
        <v>0.33333333333333331</v>
      </c>
      <c r="Q185" s="3">
        <v>2015</v>
      </c>
      <c r="R185" s="3">
        <v>2012</v>
      </c>
      <c r="S185" s="3">
        <v>2012</v>
      </c>
      <c r="T185" s="3" t="s">
        <v>142</v>
      </c>
      <c r="U185" s="3">
        <v>0.11600000000000001</v>
      </c>
      <c r="V185" s="3">
        <v>0.88200000000000001</v>
      </c>
      <c r="W185" s="3">
        <v>0.78700000000000003</v>
      </c>
      <c r="X185" s="3">
        <v>35051.521269770259</v>
      </c>
      <c r="Y185" s="3">
        <v>6.0999999999999999E-2</v>
      </c>
      <c r="Z185" s="3">
        <v>0</v>
      </c>
      <c r="AA185" s="3">
        <v>0</v>
      </c>
      <c r="AB185" s="14" t="s">
        <v>207</v>
      </c>
      <c r="AC185" s="7" t="s">
        <v>61</v>
      </c>
      <c r="AD185" s="3"/>
      <c r="AE185" s="3"/>
      <c r="AF185" s="10">
        <v>2</v>
      </c>
      <c r="AG185" s="4">
        <f t="shared" si="44"/>
        <v>1</v>
      </c>
      <c r="AH185" s="3">
        <f t="shared" si="45"/>
        <v>2</v>
      </c>
      <c r="AI185" s="4">
        <f t="shared" si="46"/>
        <v>1</v>
      </c>
      <c r="AJ185" s="4">
        <f t="shared" si="47"/>
        <v>2</v>
      </c>
      <c r="AK185" s="4">
        <f t="shared" si="48"/>
        <v>1</v>
      </c>
      <c r="AL185" s="4">
        <f t="shared" si="49"/>
        <v>2</v>
      </c>
      <c r="AM185" s="4">
        <f t="shared" si="50"/>
        <v>1</v>
      </c>
      <c r="AN185" s="4">
        <v>0</v>
      </c>
      <c r="AO185" s="4">
        <v>0</v>
      </c>
      <c r="AP185" s="3" t="s">
        <v>61</v>
      </c>
      <c r="AQ185" s="3" t="s">
        <v>97</v>
      </c>
      <c r="AR185" s="3">
        <v>1</v>
      </c>
      <c r="AS185" s="3" t="s">
        <v>62</v>
      </c>
      <c r="AT185" s="16">
        <v>0.1124</v>
      </c>
      <c r="AU185" s="8">
        <f>SUM(AX185:AY185)</f>
        <v>1157</v>
      </c>
      <c r="AV185" s="16">
        <v>0.10829999999999999</v>
      </c>
      <c r="AW185" s="8">
        <f>SUM(AZ185:BA185)</f>
        <v>1163</v>
      </c>
      <c r="AX185" s="8">
        <v>130</v>
      </c>
      <c r="AY185" s="8">
        <v>1027</v>
      </c>
      <c r="AZ185" s="8">
        <v>126</v>
      </c>
      <c r="BA185" s="8">
        <v>1037</v>
      </c>
      <c r="BB185" s="8">
        <f t="shared" si="51"/>
        <v>2320</v>
      </c>
    </row>
    <row r="186" spans="1:54" ht="17.25" customHeight="1" x14ac:dyDescent="0.25">
      <c r="A186" s="9" t="str">
        <f t="shared" si="54"/>
        <v>62B</v>
      </c>
      <c r="B186" s="4">
        <v>62</v>
      </c>
      <c r="C186" s="4">
        <v>1</v>
      </c>
      <c r="D186" s="4" t="s">
        <v>66</v>
      </c>
      <c r="E186" s="4">
        <v>0</v>
      </c>
      <c r="F186" s="4">
        <v>1</v>
      </c>
      <c r="G186" s="4">
        <v>0</v>
      </c>
      <c r="H186" s="2" t="s">
        <v>140</v>
      </c>
      <c r="I186" s="2" t="s">
        <v>27</v>
      </c>
      <c r="J186" s="2" t="s">
        <v>439</v>
      </c>
      <c r="K186" s="4">
        <v>1</v>
      </c>
      <c r="L186" s="2" t="s">
        <v>141</v>
      </c>
      <c r="M186" s="1" t="s">
        <v>581</v>
      </c>
      <c r="N186" s="4">
        <v>1</v>
      </c>
      <c r="O186" s="4">
        <v>2</v>
      </c>
      <c r="P186" s="20">
        <f t="shared" si="43"/>
        <v>0.33333333333333331</v>
      </c>
      <c r="Q186" s="4">
        <v>2015</v>
      </c>
      <c r="R186" s="12">
        <v>2012</v>
      </c>
      <c r="S186" s="12">
        <v>2012</v>
      </c>
      <c r="T186" s="4" t="s">
        <v>142</v>
      </c>
      <c r="U186" s="4">
        <v>0.11600000000000001</v>
      </c>
      <c r="V186" s="4">
        <v>0.88200000000000001</v>
      </c>
      <c r="W186" s="4">
        <v>0.78700000000000003</v>
      </c>
      <c r="X186" s="4">
        <v>35051.521269770259</v>
      </c>
      <c r="Y186" s="4">
        <v>6.0999999999999999E-2</v>
      </c>
      <c r="Z186" s="4">
        <v>0</v>
      </c>
      <c r="AA186" s="4">
        <v>0</v>
      </c>
      <c r="AB186" s="4" t="s">
        <v>207</v>
      </c>
      <c r="AC186" s="17" t="s">
        <v>687</v>
      </c>
      <c r="AD186" s="20">
        <v>0.36599999999999999</v>
      </c>
      <c r="AE186" s="20">
        <v>0.63400000000000001</v>
      </c>
      <c r="AF186" s="10">
        <v>0</v>
      </c>
      <c r="AG186" s="3">
        <f t="shared" si="44"/>
        <v>0</v>
      </c>
      <c r="AH186" s="3">
        <f t="shared" si="45"/>
        <v>0</v>
      </c>
      <c r="AI186" s="4">
        <f t="shared" si="46"/>
        <v>0</v>
      </c>
      <c r="AJ186" s="4">
        <f t="shared" si="47"/>
        <v>2</v>
      </c>
      <c r="AK186" s="4">
        <f t="shared" si="48"/>
        <v>1</v>
      </c>
      <c r="AL186" s="4">
        <f t="shared" si="49"/>
        <v>2</v>
      </c>
      <c r="AM186" s="4">
        <f t="shared" si="50"/>
        <v>1</v>
      </c>
      <c r="AN186" s="4">
        <v>0</v>
      </c>
      <c r="AO186" s="4">
        <v>0</v>
      </c>
      <c r="AP186" s="4" t="s">
        <v>61</v>
      </c>
      <c r="AQ186" s="4" t="s">
        <v>97</v>
      </c>
      <c r="AR186" s="4">
        <v>1</v>
      </c>
      <c r="AS186" s="4" t="s">
        <v>687</v>
      </c>
      <c r="AT186" s="11">
        <f t="shared" ref="AT186:AT194" si="65">AX186/AU186</f>
        <v>8.2191780821917804E-2</v>
      </c>
      <c r="AU186" s="4">
        <v>146</v>
      </c>
      <c r="AV186" s="11">
        <f t="shared" ref="AV186:AV194" si="66">AZ186/AW186</f>
        <v>4.4585987261146494E-2</v>
      </c>
      <c r="AW186" s="4">
        <v>157</v>
      </c>
      <c r="AX186" s="10">
        <f>4+8</f>
        <v>12</v>
      </c>
      <c r="AY186" s="10">
        <f t="shared" ref="AY186:AY192" si="67">AU186-AX186</f>
        <v>134</v>
      </c>
      <c r="AZ186" s="10">
        <f>3+4</f>
        <v>7</v>
      </c>
      <c r="BA186" s="10">
        <f t="shared" ref="BA186:BA192" si="68">AW186-AZ186</f>
        <v>150</v>
      </c>
      <c r="BB186" s="10">
        <f t="shared" si="51"/>
        <v>303</v>
      </c>
    </row>
    <row r="187" spans="1:54" s="1" customFormat="1" x14ac:dyDescent="0.25">
      <c r="A187" s="9" t="str">
        <f t="shared" si="54"/>
        <v>62C</v>
      </c>
      <c r="B187" s="4">
        <v>62</v>
      </c>
      <c r="C187" s="4">
        <v>1</v>
      </c>
      <c r="D187" s="4" t="s">
        <v>67</v>
      </c>
      <c r="E187" s="4">
        <v>0</v>
      </c>
      <c r="F187" s="4">
        <v>1</v>
      </c>
      <c r="G187" s="4">
        <v>0</v>
      </c>
      <c r="H187" s="2" t="s">
        <v>140</v>
      </c>
      <c r="I187" s="2" t="s">
        <v>27</v>
      </c>
      <c r="J187" s="2" t="s">
        <v>439</v>
      </c>
      <c r="K187" s="4">
        <v>1</v>
      </c>
      <c r="L187" s="2" t="s">
        <v>141</v>
      </c>
      <c r="M187" s="1" t="s">
        <v>581</v>
      </c>
      <c r="N187" s="4">
        <v>1</v>
      </c>
      <c r="O187" s="4">
        <v>2</v>
      </c>
      <c r="P187" s="20">
        <f t="shared" si="43"/>
        <v>0.33333333333333331</v>
      </c>
      <c r="Q187" s="4">
        <v>2015</v>
      </c>
      <c r="R187" s="12">
        <v>2012</v>
      </c>
      <c r="S187" s="12">
        <v>2012</v>
      </c>
      <c r="T187" s="4" t="s">
        <v>142</v>
      </c>
      <c r="U187" s="4">
        <v>0.11600000000000001</v>
      </c>
      <c r="V187" s="4">
        <v>0.88200000000000001</v>
      </c>
      <c r="W187" s="4">
        <v>0.78700000000000003</v>
      </c>
      <c r="X187" s="4">
        <v>35051.521269770259</v>
      </c>
      <c r="Y187" s="4">
        <v>6.0999999999999999E-2</v>
      </c>
      <c r="Z187" s="4">
        <v>0</v>
      </c>
      <c r="AA187" s="4">
        <v>0</v>
      </c>
      <c r="AB187" s="4" t="s">
        <v>207</v>
      </c>
      <c r="AC187" s="17" t="s">
        <v>688</v>
      </c>
      <c r="AD187" s="20">
        <v>0.45600000000000002</v>
      </c>
      <c r="AE187" s="20">
        <v>0.54400000000000004</v>
      </c>
      <c r="AF187" s="10">
        <v>0</v>
      </c>
      <c r="AG187" s="3">
        <f t="shared" si="44"/>
        <v>0</v>
      </c>
      <c r="AH187" s="3">
        <f t="shared" si="45"/>
        <v>2</v>
      </c>
      <c r="AI187" s="4">
        <f t="shared" si="46"/>
        <v>1</v>
      </c>
      <c r="AJ187" s="4">
        <f t="shared" si="47"/>
        <v>2</v>
      </c>
      <c r="AK187" s="4">
        <f t="shared" si="48"/>
        <v>1</v>
      </c>
      <c r="AL187" s="4">
        <f t="shared" si="49"/>
        <v>2</v>
      </c>
      <c r="AM187" s="4">
        <f t="shared" si="50"/>
        <v>1</v>
      </c>
      <c r="AN187" s="4">
        <v>0</v>
      </c>
      <c r="AO187" s="4">
        <v>0</v>
      </c>
      <c r="AP187" s="4" t="s">
        <v>61</v>
      </c>
      <c r="AQ187" s="4" t="s">
        <v>97</v>
      </c>
      <c r="AR187" s="4">
        <v>1</v>
      </c>
      <c r="AS187" s="4" t="s">
        <v>688</v>
      </c>
      <c r="AT187" s="11">
        <f t="shared" si="65"/>
        <v>6.4935064935064929E-2</v>
      </c>
      <c r="AU187" s="4">
        <v>154</v>
      </c>
      <c r="AV187" s="11">
        <f t="shared" si="66"/>
        <v>6.535947712418301E-2</v>
      </c>
      <c r="AW187" s="4">
        <v>153</v>
      </c>
      <c r="AX187" s="10">
        <f>3+7</f>
        <v>10</v>
      </c>
      <c r="AY187" s="10">
        <f t="shared" si="67"/>
        <v>144</v>
      </c>
      <c r="AZ187" s="10">
        <f>8+2</f>
        <v>10</v>
      </c>
      <c r="BA187" s="10">
        <f t="shared" si="68"/>
        <v>143</v>
      </c>
      <c r="BB187" s="10">
        <f t="shared" si="51"/>
        <v>307</v>
      </c>
    </row>
    <row r="188" spans="1:54" s="1" customFormat="1" x14ac:dyDescent="0.25">
      <c r="A188" s="9" t="str">
        <f t="shared" si="54"/>
        <v>62D</v>
      </c>
      <c r="B188" s="4">
        <v>62</v>
      </c>
      <c r="C188" s="4">
        <v>1</v>
      </c>
      <c r="D188" s="4" t="s">
        <v>68</v>
      </c>
      <c r="E188" s="4">
        <v>0</v>
      </c>
      <c r="F188" s="4">
        <v>1</v>
      </c>
      <c r="G188" s="4">
        <v>0</v>
      </c>
      <c r="H188" s="2" t="s">
        <v>140</v>
      </c>
      <c r="I188" s="2" t="s">
        <v>27</v>
      </c>
      <c r="J188" s="2" t="s">
        <v>439</v>
      </c>
      <c r="K188" s="4">
        <v>1</v>
      </c>
      <c r="L188" s="2" t="s">
        <v>141</v>
      </c>
      <c r="M188" s="1" t="s">
        <v>581</v>
      </c>
      <c r="N188" s="4">
        <v>1</v>
      </c>
      <c r="O188" s="4">
        <v>2</v>
      </c>
      <c r="P188" s="20">
        <f t="shared" si="43"/>
        <v>0.33333333333333331</v>
      </c>
      <c r="Q188" s="4">
        <v>2015</v>
      </c>
      <c r="R188" s="12">
        <v>2012</v>
      </c>
      <c r="S188" s="12">
        <v>2012</v>
      </c>
      <c r="T188" s="4" t="s">
        <v>142</v>
      </c>
      <c r="U188" s="4">
        <v>0.11600000000000001</v>
      </c>
      <c r="V188" s="4">
        <v>0.88200000000000001</v>
      </c>
      <c r="W188" s="4">
        <v>0.78700000000000003</v>
      </c>
      <c r="X188" s="4">
        <v>35051.521269770259</v>
      </c>
      <c r="Y188" s="4">
        <v>6.0999999999999999E-2</v>
      </c>
      <c r="Z188" s="4">
        <v>0</v>
      </c>
      <c r="AA188" s="4">
        <v>0</v>
      </c>
      <c r="AB188" s="4" t="s">
        <v>207</v>
      </c>
      <c r="AC188" s="17" t="s">
        <v>689</v>
      </c>
      <c r="AD188" s="20">
        <v>0.42799999999999999</v>
      </c>
      <c r="AE188" s="20">
        <v>0.57200000000000006</v>
      </c>
      <c r="AF188" s="10">
        <v>2</v>
      </c>
      <c r="AG188" s="3">
        <f t="shared" si="44"/>
        <v>1</v>
      </c>
      <c r="AH188" s="3">
        <f t="shared" si="45"/>
        <v>2</v>
      </c>
      <c r="AI188" s="4">
        <f t="shared" si="46"/>
        <v>1</v>
      </c>
      <c r="AJ188" s="4">
        <f t="shared" si="47"/>
        <v>2</v>
      </c>
      <c r="AK188" s="4">
        <f t="shared" si="48"/>
        <v>1</v>
      </c>
      <c r="AL188" s="4">
        <f t="shared" si="49"/>
        <v>2</v>
      </c>
      <c r="AM188" s="4">
        <f t="shared" si="50"/>
        <v>1</v>
      </c>
      <c r="AN188" s="4">
        <v>0</v>
      </c>
      <c r="AO188" s="4">
        <v>0</v>
      </c>
      <c r="AP188" s="4" t="s">
        <v>61</v>
      </c>
      <c r="AQ188" s="4" t="s">
        <v>97</v>
      </c>
      <c r="AR188" s="4">
        <v>1</v>
      </c>
      <c r="AS188" s="4" t="s">
        <v>689</v>
      </c>
      <c r="AT188" s="11">
        <f t="shared" si="65"/>
        <v>0.28021978021978022</v>
      </c>
      <c r="AU188" s="4">
        <v>182</v>
      </c>
      <c r="AV188" s="11">
        <f t="shared" si="66"/>
        <v>0.37096774193548387</v>
      </c>
      <c r="AW188" s="4">
        <v>186</v>
      </c>
      <c r="AX188" s="10">
        <f>27+24</f>
        <v>51</v>
      </c>
      <c r="AY188" s="10">
        <f t="shared" si="67"/>
        <v>131</v>
      </c>
      <c r="AZ188" s="10">
        <f>41+28</f>
        <v>69</v>
      </c>
      <c r="BA188" s="10">
        <f t="shared" si="68"/>
        <v>117</v>
      </c>
      <c r="BB188" s="10">
        <f t="shared" si="51"/>
        <v>368</v>
      </c>
    </row>
    <row r="189" spans="1:54" s="1" customFormat="1" x14ac:dyDescent="0.25">
      <c r="A189" s="9" t="str">
        <f t="shared" si="54"/>
        <v>62E</v>
      </c>
      <c r="B189" s="4">
        <v>62</v>
      </c>
      <c r="C189" s="4">
        <v>1</v>
      </c>
      <c r="D189" s="4" t="s">
        <v>102</v>
      </c>
      <c r="E189" s="4">
        <v>0</v>
      </c>
      <c r="F189" s="4">
        <v>1</v>
      </c>
      <c r="G189" s="4">
        <v>0</v>
      </c>
      <c r="H189" s="2" t="s">
        <v>140</v>
      </c>
      <c r="I189" s="2" t="s">
        <v>27</v>
      </c>
      <c r="J189" s="2" t="s">
        <v>439</v>
      </c>
      <c r="K189" s="4">
        <v>1</v>
      </c>
      <c r="L189" s="2" t="s">
        <v>141</v>
      </c>
      <c r="M189" s="1" t="s">
        <v>581</v>
      </c>
      <c r="N189" s="4">
        <v>1</v>
      </c>
      <c r="O189" s="4">
        <v>2</v>
      </c>
      <c r="P189" s="20">
        <f t="shared" si="43"/>
        <v>0.33333333333333331</v>
      </c>
      <c r="Q189" s="4">
        <v>2015</v>
      </c>
      <c r="R189" s="12">
        <v>2012</v>
      </c>
      <c r="S189" s="12">
        <v>2012</v>
      </c>
      <c r="T189" s="4" t="s">
        <v>142</v>
      </c>
      <c r="U189" s="4">
        <v>0.11600000000000001</v>
      </c>
      <c r="V189" s="4">
        <v>0.88200000000000001</v>
      </c>
      <c r="W189" s="4">
        <v>0.78700000000000003</v>
      </c>
      <c r="X189" s="4">
        <v>35051.521269770259</v>
      </c>
      <c r="Y189" s="4">
        <v>6.0999999999999999E-2</v>
      </c>
      <c r="Z189" s="4">
        <v>0</v>
      </c>
      <c r="AA189" s="4">
        <v>0</v>
      </c>
      <c r="AB189" s="4" t="s">
        <v>207</v>
      </c>
      <c r="AC189" s="17" t="s">
        <v>324</v>
      </c>
      <c r="AD189" s="20">
        <v>0.42799999999999999</v>
      </c>
      <c r="AE189" s="20">
        <v>0.57200000000000006</v>
      </c>
      <c r="AF189" s="10">
        <v>0</v>
      </c>
      <c r="AG189" s="3">
        <f t="shared" si="44"/>
        <v>0</v>
      </c>
      <c r="AH189" s="3">
        <f t="shared" si="45"/>
        <v>2</v>
      </c>
      <c r="AI189" s="4">
        <f t="shared" si="46"/>
        <v>1</v>
      </c>
      <c r="AJ189" s="4">
        <f t="shared" si="47"/>
        <v>2</v>
      </c>
      <c r="AK189" s="4">
        <f t="shared" si="48"/>
        <v>1</v>
      </c>
      <c r="AL189" s="4">
        <f t="shared" si="49"/>
        <v>2</v>
      </c>
      <c r="AM189" s="4">
        <f t="shared" si="50"/>
        <v>1</v>
      </c>
      <c r="AN189" s="4">
        <v>0</v>
      </c>
      <c r="AO189" s="4">
        <v>0</v>
      </c>
      <c r="AP189" s="4" t="s">
        <v>61</v>
      </c>
      <c r="AQ189" s="4" t="s">
        <v>97</v>
      </c>
      <c r="AR189" s="4">
        <v>1</v>
      </c>
      <c r="AS189" s="4" t="s">
        <v>324</v>
      </c>
      <c r="AT189" s="11">
        <f t="shared" si="65"/>
        <v>0.12587412587412589</v>
      </c>
      <c r="AU189" s="4">
        <v>143</v>
      </c>
      <c r="AV189" s="11">
        <f t="shared" si="66"/>
        <v>9.6551724137931033E-2</v>
      </c>
      <c r="AW189" s="4">
        <v>145</v>
      </c>
      <c r="AX189" s="10">
        <f>11+7</f>
        <v>18</v>
      </c>
      <c r="AY189" s="10">
        <f t="shared" si="67"/>
        <v>125</v>
      </c>
      <c r="AZ189" s="10">
        <f>10+4</f>
        <v>14</v>
      </c>
      <c r="BA189" s="10">
        <f t="shared" si="68"/>
        <v>131</v>
      </c>
      <c r="BB189" s="10">
        <f t="shared" si="51"/>
        <v>288</v>
      </c>
    </row>
    <row r="190" spans="1:54" s="1" customFormat="1" x14ac:dyDescent="0.25">
      <c r="A190" s="9" t="str">
        <f t="shared" si="54"/>
        <v>62F</v>
      </c>
      <c r="B190" s="4">
        <v>62</v>
      </c>
      <c r="C190" s="4">
        <v>1</v>
      </c>
      <c r="D190" s="4" t="s">
        <v>116</v>
      </c>
      <c r="E190" s="4">
        <v>0</v>
      </c>
      <c r="F190" s="4">
        <v>1</v>
      </c>
      <c r="G190" s="4">
        <v>0</v>
      </c>
      <c r="H190" s="2" t="s">
        <v>140</v>
      </c>
      <c r="I190" s="2" t="s">
        <v>27</v>
      </c>
      <c r="J190" s="2" t="s">
        <v>439</v>
      </c>
      <c r="K190" s="4">
        <v>1</v>
      </c>
      <c r="L190" s="2" t="s">
        <v>141</v>
      </c>
      <c r="M190" s="1" t="s">
        <v>581</v>
      </c>
      <c r="N190" s="4">
        <v>1</v>
      </c>
      <c r="O190" s="4">
        <v>2</v>
      </c>
      <c r="P190" s="20">
        <f t="shared" si="43"/>
        <v>0.33333333333333331</v>
      </c>
      <c r="Q190" s="4">
        <v>2015</v>
      </c>
      <c r="R190" s="12">
        <v>2012</v>
      </c>
      <c r="S190" s="12">
        <v>2012</v>
      </c>
      <c r="T190" s="4" t="s">
        <v>142</v>
      </c>
      <c r="U190" s="4">
        <v>0.11600000000000001</v>
      </c>
      <c r="V190" s="4">
        <v>0.88200000000000001</v>
      </c>
      <c r="W190" s="4">
        <v>0.78700000000000003</v>
      </c>
      <c r="X190" s="4">
        <v>35051.521269770259</v>
      </c>
      <c r="Y190" s="4">
        <v>6.0999999999999999E-2</v>
      </c>
      <c r="Z190" s="4">
        <v>0</v>
      </c>
      <c r="AA190" s="4">
        <v>0</v>
      </c>
      <c r="AB190" s="4" t="s">
        <v>207</v>
      </c>
      <c r="AC190" s="17" t="s">
        <v>690</v>
      </c>
      <c r="AD190" s="20">
        <v>0.36599999999999999</v>
      </c>
      <c r="AE190" s="20">
        <v>0.63400000000000001</v>
      </c>
      <c r="AF190" s="10">
        <v>0</v>
      </c>
      <c r="AG190" s="3">
        <f t="shared" si="44"/>
        <v>0</v>
      </c>
      <c r="AH190" s="3">
        <f t="shared" si="45"/>
        <v>0</v>
      </c>
      <c r="AI190" s="4">
        <f t="shared" si="46"/>
        <v>0</v>
      </c>
      <c r="AJ190" s="4">
        <f t="shared" si="47"/>
        <v>2</v>
      </c>
      <c r="AK190" s="4">
        <f t="shared" si="48"/>
        <v>1</v>
      </c>
      <c r="AL190" s="4">
        <f t="shared" si="49"/>
        <v>2</v>
      </c>
      <c r="AM190" s="4">
        <f t="shared" si="50"/>
        <v>1</v>
      </c>
      <c r="AN190" s="4">
        <v>0</v>
      </c>
      <c r="AO190" s="4">
        <v>0</v>
      </c>
      <c r="AP190" s="4" t="s">
        <v>61</v>
      </c>
      <c r="AQ190" s="4" t="s">
        <v>97</v>
      </c>
      <c r="AR190" s="4">
        <v>1</v>
      </c>
      <c r="AS190" s="4" t="s">
        <v>690</v>
      </c>
      <c r="AT190" s="11">
        <f t="shared" si="65"/>
        <v>0.12631578947368421</v>
      </c>
      <c r="AU190" s="4">
        <v>190</v>
      </c>
      <c r="AV190" s="11">
        <f t="shared" si="66"/>
        <v>8.8757396449704137E-2</v>
      </c>
      <c r="AW190" s="4">
        <v>169</v>
      </c>
      <c r="AX190" s="10">
        <f>11+13</f>
        <v>24</v>
      </c>
      <c r="AY190" s="10">
        <f t="shared" si="67"/>
        <v>166</v>
      </c>
      <c r="AZ190" s="10">
        <f>7+8</f>
        <v>15</v>
      </c>
      <c r="BA190" s="10">
        <f t="shared" si="68"/>
        <v>154</v>
      </c>
      <c r="BB190" s="10">
        <f t="shared" si="51"/>
        <v>359</v>
      </c>
    </row>
    <row r="191" spans="1:54" s="1" customFormat="1" x14ac:dyDescent="0.25">
      <c r="A191" s="9" t="str">
        <f t="shared" si="54"/>
        <v>62G</v>
      </c>
      <c r="B191" s="4">
        <v>62</v>
      </c>
      <c r="C191" s="4">
        <v>1</v>
      </c>
      <c r="D191" s="4" t="s">
        <v>117</v>
      </c>
      <c r="E191" s="4">
        <v>0</v>
      </c>
      <c r="F191" s="4">
        <v>1</v>
      </c>
      <c r="G191" s="4">
        <v>0</v>
      </c>
      <c r="H191" s="2" t="s">
        <v>140</v>
      </c>
      <c r="I191" s="2" t="s">
        <v>27</v>
      </c>
      <c r="J191" s="2" t="s">
        <v>439</v>
      </c>
      <c r="K191" s="4">
        <v>1</v>
      </c>
      <c r="L191" s="2" t="s">
        <v>141</v>
      </c>
      <c r="M191" s="1" t="s">
        <v>581</v>
      </c>
      <c r="N191" s="4">
        <v>1</v>
      </c>
      <c r="O191" s="4">
        <v>2</v>
      </c>
      <c r="P191" s="20">
        <f t="shared" si="43"/>
        <v>0.33333333333333331</v>
      </c>
      <c r="Q191" s="4">
        <v>2015</v>
      </c>
      <c r="R191" s="12">
        <v>2012</v>
      </c>
      <c r="S191" s="12">
        <v>2012</v>
      </c>
      <c r="T191" s="4" t="s">
        <v>142</v>
      </c>
      <c r="U191" s="4">
        <v>0.11600000000000001</v>
      </c>
      <c r="V191" s="4">
        <v>0.88200000000000001</v>
      </c>
      <c r="W191" s="4">
        <v>0.78700000000000003</v>
      </c>
      <c r="X191" s="4">
        <v>35051.521269770259</v>
      </c>
      <c r="Y191" s="4">
        <v>6.0999999999999999E-2</v>
      </c>
      <c r="Z191" s="4">
        <v>0</v>
      </c>
      <c r="AA191" s="4">
        <v>0</v>
      </c>
      <c r="AB191" s="4" t="s">
        <v>207</v>
      </c>
      <c r="AC191" s="17" t="s">
        <v>150</v>
      </c>
      <c r="AD191" s="20">
        <v>0.36599999999999999</v>
      </c>
      <c r="AE191" s="20">
        <v>0.63400000000000001</v>
      </c>
      <c r="AF191" s="10">
        <v>0</v>
      </c>
      <c r="AG191" s="3">
        <f t="shared" si="44"/>
        <v>0</v>
      </c>
      <c r="AH191" s="3">
        <f t="shared" si="45"/>
        <v>0</v>
      </c>
      <c r="AI191" s="4">
        <f t="shared" si="46"/>
        <v>0</v>
      </c>
      <c r="AJ191" s="4">
        <f t="shared" si="47"/>
        <v>2</v>
      </c>
      <c r="AK191" s="4">
        <f t="shared" si="48"/>
        <v>1</v>
      </c>
      <c r="AL191" s="4">
        <f t="shared" si="49"/>
        <v>2</v>
      </c>
      <c r="AM191" s="4">
        <f t="shared" si="50"/>
        <v>1</v>
      </c>
      <c r="AN191" s="4">
        <v>0</v>
      </c>
      <c r="AO191" s="4">
        <v>0</v>
      </c>
      <c r="AP191" s="4" t="s">
        <v>61</v>
      </c>
      <c r="AQ191" s="4" t="s">
        <v>97</v>
      </c>
      <c r="AR191" s="4">
        <v>1</v>
      </c>
      <c r="AS191" s="4" t="s">
        <v>150</v>
      </c>
      <c r="AT191" s="11">
        <f t="shared" si="65"/>
        <v>6.2111801242236024E-2</v>
      </c>
      <c r="AU191" s="4">
        <v>161</v>
      </c>
      <c r="AV191" s="11">
        <f t="shared" si="66"/>
        <v>3.1055900621118012E-2</v>
      </c>
      <c r="AW191" s="4">
        <v>161</v>
      </c>
      <c r="AX191" s="10">
        <f>7+3</f>
        <v>10</v>
      </c>
      <c r="AY191" s="10">
        <f t="shared" si="67"/>
        <v>151</v>
      </c>
      <c r="AZ191" s="10">
        <f>3+2</f>
        <v>5</v>
      </c>
      <c r="BA191" s="10">
        <f t="shared" si="68"/>
        <v>156</v>
      </c>
      <c r="BB191" s="10">
        <f t="shared" si="51"/>
        <v>322</v>
      </c>
    </row>
    <row r="192" spans="1:54" x14ac:dyDescent="0.25">
      <c r="A192" s="9" t="str">
        <f t="shared" si="54"/>
        <v>62H</v>
      </c>
      <c r="B192" s="4">
        <v>62</v>
      </c>
      <c r="C192" s="4">
        <v>1</v>
      </c>
      <c r="D192" s="4" t="s">
        <v>118</v>
      </c>
      <c r="E192" s="4">
        <v>0</v>
      </c>
      <c r="F192" s="4">
        <v>1</v>
      </c>
      <c r="G192" s="4">
        <v>0</v>
      </c>
      <c r="H192" s="2" t="s">
        <v>140</v>
      </c>
      <c r="I192" s="2" t="s">
        <v>27</v>
      </c>
      <c r="J192" s="2" t="s">
        <v>439</v>
      </c>
      <c r="K192" s="4">
        <v>1</v>
      </c>
      <c r="L192" s="2" t="s">
        <v>141</v>
      </c>
      <c r="M192" s="1" t="s">
        <v>581</v>
      </c>
      <c r="N192" s="4">
        <v>1</v>
      </c>
      <c r="O192" s="4">
        <v>2</v>
      </c>
      <c r="P192" s="20">
        <f t="shared" si="43"/>
        <v>0.33333333333333331</v>
      </c>
      <c r="Q192" s="4">
        <v>2015</v>
      </c>
      <c r="R192" s="12">
        <v>2012</v>
      </c>
      <c r="S192" s="12">
        <v>2012</v>
      </c>
      <c r="T192" s="4" t="s">
        <v>142</v>
      </c>
      <c r="U192" s="4">
        <v>0.11600000000000001</v>
      </c>
      <c r="V192" s="4">
        <v>0.88200000000000001</v>
      </c>
      <c r="W192" s="4">
        <v>0.78700000000000003</v>
      </c>
      <c r="X192" s="4">
        <v>35051.521269770259</v>
      </c>
      <c r="Y192" s="4">
        <v>6.0999999999999999E-2</v>
      </c>
      <c r="Z192" s="4">
        <v>0</v>
      </c>
      <c r="AA192" s="4">
        <v>0</v>
      </c>
      <c r="AB192" s="4" t="s">
        <v>207</v>
      </c>
      <c r="AC192" s="17" t="s">
        <v>691</v>
      </c>
      <c r="AD192" s="20">
        <v>0.42799999999999999</v>
      </c>
      <c r="AE192" s="20">
        <v>0.57200000000000006</v>
      </c>
      <c r="AF192" s="10">
        <v>2</v>
      </c>
      <c r="AG192" s="3">
        <f t="shared" si="44"/>
        <v>1</v>
      </c>
      <c r="AH192" s="3">
        <f t="shared" si="45"/>
        <v>2</v>
      </c>
      <c r="AI192" s="4">
        <f t="shared" si="46"/>
        <v>1</v>
      </c>
      <c r="AJ192" s="4">
        <f t="shared" si="47"/>
        <v>2</v>
      </c>
      <c r="AK192" s="4">
        <f t="shared" si="48"/>
        <v>1</v>
      </c>
      <c r="AL192" s="4">
        <f t="shared" si="49"/>
        <v>2</v>
      </c>
      <c r="AM192" s="4">
        <f t="shared" si="50"/>
        <v>1</v>
      </c>
      <c r="AN192" s="4">
        <v>0</v>
      </c>
      <c r="AO192" s="4">
        <v>0</v>
      </c>
      <c r="AP192" s="4" t="s">
        <v>61</v>
      </c>
      <c r="AQ192" s="4" t="s">
        <v>97</v>
      </c>
      <c r="AR192" s="4">
        <v>1</v>
      </c>
      <c r="AS192" s="4" t="s">
        <v>691</v>
      </c>
      <c r="AT192" s="11">
        <f t="shared" si="65"/>
        <v>2.7624309392265192E-2</v>
      </c>
      <c r="AU192" s="4">
        <v>181</v>
      </c>
      <c r="AV192" s="11">
        <f t="shared" si="66"/>
        <v>3.125E-2</v>
      </c>
      <c r="AW192" s="4">
        <v>192</v>
      </c>
      <c r="AX192" s="10">
        <f>3+2</f>
        <v>5</v>
      </c>
      <c r="AY192" s="10">
        <f t="shared" si="67"/>
        <v>176</v>
      </c>
      <c r="AZ192" s="10">
        <f>3+3</f>
        <v>6</v>
      </c>
      <c r="BA192" s="10">
        <f t="shared" si="68"/>
        <v>186</v>
      </c>
      <c r="BB192" s="10">
        <f t="shared" si="51"/>
        <v>373</v>
      </c>
    </row>
    <row r="193" spans="1:54" x14ac:dyDescent="0.25">
      <c r="A193" s="9" t="str">
        <f t="shared" si="54"/>
        <v>63A</v>
      </c>
      <c r="B193" s="3">
        <v>63</v>
      </c>
      <c r="C193" s="3">
        <v>1</v>
      </c>
      <c r="D193" s="3" t="s">
        <v>65</v>
      </c>
      <c r="E193" s="3">
        <v>1</v>
      </c>
      <c r="F193" s="3">
        <v>1</v>
      </c>
      <c r="G193" s="3">
        <v>0</v>
      </c>
      <c r="H193" s="1" t="s">
        <v>25</v>
      </c>
      <c r="I193" s="1" t="s">
        <v>26</v>
      </c>
      <c r="J193" s="1" t="s">
        <v>439</v>
      </c>
      <c r="K193" s="3">
        <v>1</v>
      </c>
      <c r="L193" s="1" t="s">
        <v>143</v>
      </c>
      <c r="M193" s="1" t="s">
        <v>582</v>
      </c>
      <c r="N193" s="3">
        <v>0</v>
      </c>
      <c r="O193" s="3">
        <v>4</v>
      </c>
      <c r="P193" s="19">
        <f t="shared" si="43"/>
        <v>0</v>
      </c>
      <c r="Q193" s="3">
        <v>2015</v>
      </c>
      <c r="R193" s="3">
        <v>2013</v>
      </c>
      <c r="S193" s="3">
        <v>2013</v>
      </c>
      <c r="T193" s="3" t="s">
        <v>101</v>
      </c>
      <c r="U193" s="3">
        <v>0.245</v>
      </c>
      <c r="V193" s="14">
        <v>0.92</v>
      </c>
      <c r="W193" s="3">
        <v>0.89100000000000001</v>
      </c>
      <c r="X193" s="3">
        <v>53291.127689140565</v>
      </c>
      <c r="Y193" s="3">
        <v>0</v>
      </c>
      <c r="Z193" s="3">
        <v>0</v>
      </c>
      <c r="AA193" s="3">
        <v>0</v>
      </c>
      <c r="AB193" s="14" t="s">
        <v>207</v>
      </c>
      <c r="AC193" s="7" t="s">
        <v>695</v>
      </c>
      <c r="AD193" s="19">
        <v>0.61799999999999999</v>
      </c>
      <c r="AE193" s="20">
        <v>0.38200000000000001</v>
      </c>
      <c r="AF193" s="10">
        <v>2</v>
      </c>
      <c r="AG193" s="3">
        <f t="shared" si="44"/>
        <v>1</v>
      </c>
      <c r="AH193" s="3">
        <f t="shared" si="45"/>
        <v>1</v>
      </c>
      <c r="AI193" s="4">
        <f t="shared" si="46"/>
        <v>1</v>
      </c>
      <c r="AJ193" s="4">
        <f t="shared" si="47"/>
        <v>2</v>
      </c>
      <c r="AK193" s="4">
        <f t="shared" si="48"/>
        <v>1</v>
      </c>
      <c r="AL193" s="4">
        <f t="shared" si="49"/>
        <v>2</v>
      </c>
      <c r="AM193" s="4">
        <f t="shared" si="50"/>
        <v>1</v>
      </c>
      <c r="AN193" s="4">
        <v>0</v>
      </c>
      <c r="AO193" s="4">
        <v>0</v>
      </c>
      <c r="AP193" s="3" t="s">
        <v>100</v>
      </c>
      <c r="AQ193" s="3" t="s">
        <v>63</v>
      </c>
      <c r="AR193" s="3">
        <v>1</v>
      </c>
      <c r="AS193" s="3" t="s">
        <v>62</v>
      </c>
      <c r="AT193" s="16">
        <f t="shared" si="65"/>
        <v>0.16196136701337296</v>
      </c>
      <c r="AU193" s="3">
        <v>4711</v>
      </c>
      <c r="AV193" s="16">
        <f t="shared" si="66"/>
        <v>0.17079419299743809</v>
      </c>
      <c r="AW193" s="3">
        <v>4684</v>
      </c>
      <c r="AX193" s="8">
        <v>763</v>
      </c>
      <c r="AY193" s="8">
        <f>4711-763</f>
        <v>3948</v>
      </c>
      <c r="AZ193" s="8">
        <v>800</v>
      </c>
      <c r="BA193" s="8">
        <f>4684-800</f>
        <v>3884</v>
      </c>
      <c r="BB193" s="8">
        <f t="shared" si="51"/>
        <v>9395</v>
      </c>
    </row>
    <row r="194" spans="1:54" x14ac:dyDescent="0.25">
      <c r="A194" s="9" t="str">
        <f t="shared" si="54"/>
        <v>64A</v>
      </c>
      <c r="B194" s="3">
        <v>64</v>
      </c>
      <c r="C194" s="3">
        <v>1</v>
      </c>
      <c r="D194" s="3" t="s">
        <v>65</v>
      </c>
      <c r="E194" s="3">
        <v>1</v>
      </c>
      <c r="F194" s="3">
        <v>1</v>
      </c>
      <c r="G194" s="3">
        <v>0</v>
      </c>
      <c r="H194" s="1" t="s">
        <v>454</v>
      </c>
      <c r="I194" s="1" t="s">
        <v>453</v>
      </c>
      <c r="J194" s="1" t="s">
        <v>439</v>
      </c>
      <c r="K194" s="3">
        <v>1</v>
      </c>
      <c r="L194" s="1" t="s">
        <v>452</v>
      </c>
      <c r="M194" s="1" t="s">
        <v>583</v>
      </c>
      <c r="N194" s="3">
        <v>3</v>
      </c>
      <c r="O194" s="3">
        <v>2</v>
      </c>
      <c r="P194" s="19">
        <f t="shared" ref="P194:P257" si="69">N194/SUM(N194:O194)</f>
        <v>0.6</v>
      </c>
      <c r="Q194" s="3">
        <v>2015</v>
      </c>
      <c r="R194" s="3" t="s">
        <v>128</v>
      </c>
      <c r="S194" s="3">
        <v>2011</v>
      </c>
      <c r="T194" s="3" t="s">
        <v>133</v>
      </c>
      <c r="U194" s="3">
        <v>0.17599999999999999</v>
      </c>
      <c r="V194" s="3">
        <v>0.91200000000000003</v>
      </c>
      <c r="W194" s="3">
        <v>0.872</v>
      </c>
      <c r="X194" s="3">
        <v>42150.698140882145</v>
      </c>
      <c r="Y194" s="3">
        <v>4.5999999999999999E-2</v>
      </c>
      <c r="Z194" s="3">
        <v>1</v>
      </c>
      <c r="AA194" s="3">
        <v>0</v>
      </c>
      <c r="AB194" s="14" t="s">
        <v>207</v>
      </c>
      <c r="AC194" s="7" t="s">
        <v>451</v>
      </c>
      <c r="AD194" s="19">
        <v>0.37099087514528056</v>
      </c>
      <c r="AE194" s="20">
        <v>0.62900912485471938</v>
      </c>
      <c r="AF194" s="10">
        <v>0</v>
      </c>
      <c r="AG194" s="3">
        <f t="shared" ref="AG194:AG257" si="70">IF(AF194=0,0,1)</f>
        <v>0</v>
      </c>
      <c r="AH194" s="3">
        <f t="shared" ref="AH194:AH257" si="71">IF(ISBLANK(AE194),2,IF(AE194&gt;0.6,0,IF(AE194&lt;0.4,1,2)))</f>
        <v>0</v>
      </c>
      <c r="AI194" s="4">
        <f t="shared" ref="AI194:AI257" si="72">IF(AH194=0,0,1)</f>
        <v>0</v>
      </c>
      <c r="AJ194" s="4">
        <f t="shared" ref="AJ194:AJ257" si="73">IF(ISBLANK(AE194),2,IF(AE194&gt;0.65,0,IF(AE194&lt;0.35,1,2)))</f>
        <v>2</v>
      </c>
      <c r="AK194" s="4">
        <f t="shared" ref="AK194:AK257" si="74">IF(AJ194=0,0,1)</f>
        <v>1</v>
      </c>
      <c r="AL194" s="4">
        <f t="shared" ref="AL194:AL257" si="75">IF(ISBLANK(AE194),2,IF(AE194&gt;0.7,0,IF(AE194&lt;0.3,1,2)))</f>
        <v>2</v>
      </c>
      <c r="AM194" s="4">
        <f t="shared" ref="AM194:AM257" si="76">IF(AL194=0,0,1)</f>
        <v>1</v>
      </c>
      <c r="AN194" s="4">
        <v>0</v>
      </c>
      <c r="AO194" s="4">
        <v>0</v>
      </c>
      <c r="AP194" s="3" t="s">
        <v>450</v>
      </c>
      <c r="AQ194" s="3" t="s">
        <v>97</v>
      </c>
      <c r="AR194" s="3">
        <v>1</v>
      </c>
      <c r="AS194" s="3" t="s">
        <v>62</v>
      </c>
      <c r="AT194" s="16">
        <f t="shared" si="65"/>
        <v>7.2916666666666671E-2</v>
      </c>
      <c r="AU194" s="3">
        <v>96</v>
      </c>
      <c r="AV194" s="16">
        <f t="shared" si="66"/>
        <v>0.15625</v>
      </c>
      <c r="AW194" s="3">
        <v>96</v>
      </c>
      <c r="AX194" s="8">
        <f>2+5</f>
        <v>7</v>
      </c>
      <c r="AY194" s="8">
        <f>AU194-AX194</f>
        <v>89</v>
      </c>
      <c r="AZ194" s="8">
        <f>4+11</f>
        <v>15</v>
      </c>
      <c r="BA194" s="8">
        <f>AW194-AZ194</f>
        <v>81</v>
      </c>
      <c r="BB194" s="8">
        <f t="shared" ref="BB194:BB257" si="77">SUM(AX194:BA194)</f>
        <v>192</v>
      </c>
    </row>
    <row r="195" spans="1:54" x14ac:dyDescent="0.25">
      <c r="A195" s="9" t="str">
        <f t="shared" si="54"/>
        <v>65A</v>
      </c>
      <c r="B195" s="3">
        <v>65</v>
      </c>
      <c r="C195" s="3">
        <v>1</v>
      </c>
      <c r="D195" s="3" t="s">
        <v>65</v>
      </c>
      <c r="E195" s="3">
        <v>1</v>
      </c>
      <c r="F195" s="3">
        <v>1</v>
      </c>
      <c r="G195" s="3">
        <v>0</v>
      </c>
      <c r="H195" s="1" t="s">
        <v>457</v>
      </c>
      <c r="I195" s="1" t="s">
        <v>6</v>
      </c>
      <c r="J195" s="1" t="s">
        <v>439</v>
      </c>
      <c r="K195" s="3">
        <v>1</v>
      </c>
      <c r="L195" s="1" t="s">
        <v>456</v>
      </c>
      <c r="M195" s="1" t="s">
        <v>584</v>
      </c>
      <c r="N195" s="3">
        <v>2</v>
      </c>
      <c r="O195" s="3">
        <v>1</v>
      </c>
      <c r="P195" s="19">
        <f t="shared" si="69"/>
        <v>0.66666666666666663</v>
      </c>
      <c r="Q195" s="3">
        <v>2019</v>
      </c>
      <c r="R195" s="3" t="s">
        <v>455</v>
      </c>
      <c r="S195" s="3">
        <v>2018</v>
      </c>
      <c r="T195" s="14" t="s">
        <v>101</v>
      </c>
      <c r="U195" s="3">
        <v>0.21099999999999999</v>
      </c>
      <c r="V195" s="3">
        <v>0.92700000000000005</v>
      </c>
      <c r="W195" s="3">
        <v>0.89900000000000002</v>
      </c>
      <c r="X195" s="3">
        <v>62823.309438196971</v>
      </c>
      <c r="Y195" s="3">
        <v>0</v>
      </c>
      <c r="Z195" s="3">
        <v>0</v>
      </c>
      <c r="AA195" s="3">
        <v>0</v>
      </c>
      <c r="AB195" s="14" t="s">
        <v>207</v>
      </c>
      <c r="AC195" s="7" t="s">
        <v>698</v>
      </c>
      <c r="AD195" s="19">
        <v>0.26433333333333331</v>
      </c>
      <c r="AE195" s="19">
        <v>0.73566666666666669</v>
      </c>
      <c r="AF195" s="10">
        <v>2</v>
      </c>
      <c r="AG195" s="3">
        <f t="shared" si="70"/>
        <v>1</v>
      </c>
      <c r="AH195" s="3">
        <f t="shared" si="71"/>
        <v>0</v>
      </c>
      <c r="AI195" s="4">
        <f t="shared" si="72"/>
        <v>0</v>
      </c>
      <c r="AJ195" s="4">
        <f t="shared" si="73"/>
        <v>0</v>
      </c>
      <c r="AK195" s="4">
        <f t="shared" si="74"/>
        <v>0</v>
      </c>
      <c r="AL195" s="4">
        <f t="shared" si="75"/>
        <v>0</v>
      </c>
      <c r="AM195" s="4">
        <f t="shared" si="76"/>
        <v>0</v>
      </c>
      <c r="AN195" s="4">
        <v>0</v>
      </c>
      <c r="AO195" s="4">
        <v>0</v>
      </c>
      <c r="AP195" s="3" t="s">
        <v>61</v>
      </c>
      <c r="AQ195" s="3" t="s">
        <v>97</v>
      </c>
      <c r="AR195" s="3">
        <v>1</v>
      </c>
      <c r="AS195" s="3" t="s">
        <v>62</v>
      </c>
      <c r="AT195" s="16">
        <f>(0.134+0.121)/2</f>
        <v>0.1275</v>
      </c>
      <c r="AU195" s="3">
        <f>7040/2</f>
        <v>3520</v>
      </c>
      <c r="AV195" s="16">
        <f>(0.103+0.106)/2</f>
        <v>0.1045</v>
      </c>
      <c r="AW195" s="3">
        <f>7040/2</f>
        <v>3520</v>
      </c>
      <c r="AX195" s="8">
        <f>AT195*AU195</f>
        <v>448.8</v>
      </c>
      <c r="AY195" s="8">
        <f>AU195-AX195</f>
        <v>3071.2</v>
      </c>
      <c r="AZ195" s="8">
        <f>AV195*AW195</f>
        <v>367.84</v>
      </c>
      <c r="BA195" s="8">
        <f>AW195-AZ195</f>
        <v>3152.16</v>
      </c>
      <c r="BB195" s="3">
        <f t="shared" si="77"/>
        <v>7040</v>
      </c>
    </row>
    <row r="196" spans="1:54" s="1" customFormat="1" x14ac:dyDescent="0.25">
      <c r="A196" s="9" t="str">
        <f t="shared" si="54"/>
        <v>66A</v>
      </c>
      <c r="B196" s="3">
        <v>66</v>
      </c>
      <c r="C196" s="3">
        <v>1</v>
      </c>
      <c r="D196" s="3" t="s">
        <v>65</v>
      </c>
      <c r="E196" s="3">
        <v>1</v>
      </c>
      <c r="F196" s="3">
        <v>1</v>
      </c>
      <c r="G196" s="3">
        <v>0</v>
      </c>
      <c r="H196" s="1" t="s">
        <v>461</v>
      </c>
      <c r="I196" s="1" t="s">
        <v>460</v>
      </c>
      <c r="J196" s="1" t="s">
        <v>459</v>
      </c>
      <c r="K196" s="3">
        <v>0</v>
      </c>
      <c r="L196" s="1" t="s">
        <v>458</v>
      </c>
      <c r="M196" s="1" t="s">
        <v>585</v>
      </c>
      <c r="N196" s="3">
        <v>0</v>
      </c>
      <c r="O196" s="3">
        <v>1</v>
      </c>
      <c r="P196" s="19">
        <f t="shared" si="69"/>
        <v>0</v>
      </c>
      <c r="Q196" s="3">
        <v>2013</v>
      </c>
      <c r="R196" s="3">
        <v>2011</v>
      </c>
      <c r="S196" s="3">
        <v>2011</v>
      </c>
      <c r="T196" s="14" t="s">
        <v>101</v>
      </c>
      <c r="U196" s="3">
        <v>0.255</v>
      </c>
      <c r="V196" s="3">
        <v>0.91100000000000003</v>
      </c>
      <c r="W196" s="3">
        <v>0.89700000000000002</v>
      </c>
      <c r="X196" s="3">
        <v>50065.966504174205</v>
      </c>
      <c r="Y196" s="3">
        <v>0</v>
      </c>
      <c r="Z196" s="3">
        <v>0</v>
      </c>
      <c r="AA196" s="3">
        <v>0</v>
      </c>
      <c r="AB196" s="14" t="s">
        <v>207</v>
      </c>
      <c r="AC196" s="7" t="s">
        <v>677</v>
      </c>
      <c r="AD196" s="19">
        <v>0.38308499999999995</v>
      </c>
      <c r="AE196" s="19">
        <v>0.61691499999999999</v>
      </c>
      <c r="AF196" s="10">
        <v>2</v>
      </c>
      <c r="AG196" s="3">
        <f t="shared" si="70"/>
        <v>1</v>
      </c>
      <c r="AH196" s="3">
        <f t="shared" si="71"/>
        <v>0</v>
      </c>
      <c r="AI196" s="4">
        <f t="shared" si="72"/>
        <v>0</v>
      </c>
      <c r="AJ196" s="4">
        <f t="shared" si="73"/>
        <v>2</v>
      </c>
      <c r="AK196" s="4">
        <f t="shared" si="74"/>
        <v>1</v>
      </c>
      <c r="AL196" s="4">
        <f t="shared" si="75"/>
        <v>2</v>
      </c>
      <c r="AM196" s="4">
        <f t="shared" si="76"/>
        <v>1</v>
      </c>
      <c r="AN196" s="4">
        <v>0</v>
      </c>
      <c r="AO196" s="4">
        <v>0</v>
      </c>
      <c r="AP196" s="3" t="s">
        <v>100</v>
      </c>
      <c r="AQ196" s="3" t="s">
        <v>97</v>
      </c>
      <c r="AR196" s="3">
        <v>1</v>
      </c>
      <c r="AS196" s="3" t="s">
        <v>62</v>
      </c>
      <c r="AT196" s="16">
        <f>0.118</f>
        <v>0.11799999999999999</v>
      </c>
      <c r="AU196" s="3">
        <f>2016/2</f>
        <v>1008</v>
      </c>
      <c r="AV196" s="16">
        <v>0.123</v>
      </c>
      <c r="AW196" s="3">
        <f>2016/2</f>
        <v>1008</v>
      </c>
      <c r="AX196" s="8">
        <f>AT196*AU196</f>
        <v>118.94399999999999</v>
      </c>
      <c r="AY196" s="8">
        <f>AU196-AX196</f>
        <v>889.05600000000004</v>
      </c>
      <c r="AZ196" s="8">
        <f>AV196*AW196</f>
        <v>123.98399999999999</v>
      </c>
      <c r="BA196" s="8">
        <f>AW196-AZ196</f>
        <v>884.01599999999996</v>
      </c>
      <c r="BB196" s="3">
        <f t="shared" si="77"/>
        <v>2016</v>
      </c>
    </row>
    <row r="197" spans="1:54" s="1" customFormat="1" x14ac:dyDescent="0.25">
      <c r="A197" s="9" t="str">
        <f t="shared" si="54"/>
        <v>67A</v>
      </c>
      <c r="B197" s="3">
        <v>67</v>
      </c>
      <c r="C197" s="3">
        <v>1</v>
      </c>
      <c r="D197" s="3" t="s">
        <v>65</v>
      </c>
      <c r="E197" s="3">
        <v>1</v>
      </c>
      <c r="F197" s="3">
        <v>0</v>
      </c>
      <c r="G197" s="3">
        <v>0</v>
      </c>
      <c r="H197" s="1" t="s">
        <v>144</v>
      </c>
      <c r="I197" s="1" t="s">
        <v>145</v>
      </c>
      <c r="J197" s="1" t="s">
        <v>222</v>
      </c>
      <c r="K197" s="3">
        <v>1</v>
      </c>
      <c r="L197" s="1" t="s">
        <v>146</v>
      </c>
      <c r="M197" s="1" t="s">
        <v>481</v>
      </c>
      <c r="N197" s="3">
        <v>1</v>
      </c>
      <c r="O197" s="3">
        <v>1</v>
      </c>
      <c r="P197" s="19">
        <f t="shared" si="69"/>
        <v>0.5</v>
      </c>
      <c r="Q197" s="3">
        <v>2006</v>
      </c>
      <c r="R197" s="14" t="s">
        <v>620</v>
      </c>
      <c r="S197" s="3">
        <v>2001</v>
      </c>
      <c r="T197" s="3" t="s">
        <v>133</v>
      </c>
      <c r="U197" s="3">
        <v>0.20100000000000001</v>
      </c>
      <c r="V197" s="3">
        <v>0.86199999999999999</v>
      </c>
      <c r="W197" s="3">
        <v>0.84</v>
      </c>
      <c r="X197" s="3">
        <v>27886.798590779708</v>
      </c>
      <c r="Y197" s="3">
        <v>4.5999999999999999E-2</v>
      </c>
      <c r="Z197" s="3">
        <v>1</v>
      </c>
      <c r="AA197" s="3">
        <v>0</v>
      </c>
      <c r="AB197" s="3" t="s">
        <v>207</v>
      </c>
      <c r="AC197" s="7" t="s">
        <v>61</v>
      </c>
      <c r="AD197" s="3"/>
      <c r="AE197" s="3"/>
      <c r="AF197" s="10">
        <v>2</v>
      </c>
      <c r="AG197" s="3">
        <f t="shared" si="70"/>
        <v>1</v>
      </c>
      <c r="AH197" s="3">
        <f t="shared" si="71"/>
        <v>2</v>
      </c>
      <c r="AI197" s="4">
        <f t="shared" si="72"/>
        <v>1</v>
      </c>
      <c r="AJ197" s="4">
        <f t="shared" si="73"/>
        <v>2</v>
      </c>
      <c r="AK197" s="4">
        <f t="shared" si="74"/>
        <v>1</v>
      </c>
      <c r="AL197" s="4">
        <f t="shared" si="75"/>
        <v>2</v>
      </c>
      <c r="AM197" s="4">
        <f t="shared" si="76"/>
        <v>1</v>
      </c>
      <c r="AN197" s="4">
        <v>0</v>
      </c>
      <c r="AO197" s="4">
        <v>0</v>
      </c>
      <c r="AP197" s="3" t="s">
        <v>100</v>
      </c>
      <c r="AQ197" s="3" t="s">
        <v>63</v>
      </c>
      <c r="AR197" s="3">
        <v>0</v>
      </c>
      <c r="AS197" s="3" t="s">
        <v>62</v>
      </c>
      <c r="AT197" s="16">
        <f>(AT198*AU198+AT199*AU199+AT200*AU200+AT201*AU201)/AU197</f>
        <v>0.15807560137457044</v>
      </c>
      <c r="AU197" s="3">
        <f>SUM(AU198:AU201)</f>
        <v>873</v>
      </c>
      <c r="AV197" s="16">
        <f>(AV198*AW198+AV199*AW199+AV200*AW200+AV201*AW201)/AW197</f>
        <v>0.11683848797250859</v>
      </c>
      <c r="AW197" s="3">
        <f>SUM(AW198:AW201)</f>
        <v>873</v>
      </c>
      <c r="AX197" s="8">
        <f>SUM(AX198:AX201)</f>
        <v>138</v>
      </c>
      <c r="AY197" s="8">
        <f>SUM(AY198:AY201)</f>
        <v>735</v>
      </c>
      <c r="AZ197" s="8">
        <f>SUM(AZ198:AZ201)</f>
        <v>102</v>
      </c>
      <c r="BA197" s="8">
        <f>SUM(BA198:BA201)</f>
        <v>771</v>
      </c>
      <c r="BB197" s="8">
        <f t="shared" si="77"/>
        <v>1746</v>
      </c>
    </row>
    <row r="198" spans="1:54" s="1" customFormat="1" x14ac:dyDescent="0.25">
      <c r="A198" s="9" t="str">
        <f t="shared" si="54"/>
        <v>67B</v>
      </c>
      <c r="B198" s="4">
        <v>67</v>
      </c>
      <c r="C198" s="4">
        <v>1</v>
      </c>
      <c r="D198" s="4" t="s">
        <v>66</v>
      </c>
      <c r="E198" s="4">
        <v>0</v>
      </c>
      <c r="F198" s="4">
        <v>1</v>
      </c>
      <c r="G198" s="4">
        <v>0</v>
      </c>
      <c r="H198" s="2" t="s">
        <v>144</v>
      </c>
      <c r="I198" s="2" t="s">
        <v>145</v>
      </c>
      <c r="J198" s="2" t="s">
        <v>222</v>
      </c>
      <c r="K198" s="4">
        <v>1</v>
      </c>
      <c r="L198" s="2" t="s">
        <v>146</v>
      </c>
      <c r="N198" s="4">
        <v>1</v>
      </c>
      <c r="O198" s="4">
        <v>1</v>
      </c>
      <c r="P198" s="20">
        <f t="shared" si="69"/>
        <v>0.5</v>
      </c>
      <c r="Q198" s="4">
        <v>2006</v>
      </c>
      <c r="R198" s="12" t="s">
        <v>620</v>
      </c>
      <c r="S198" s="12">
        <v>2001</v>
      </c>
      <c r="T198" s="4" t="s">
        <v>133</v>
      </c>
      <c r="U198" s="4">
        <v>0.20100000000000001</v>
      </c>
      <c r="V198" s="4">
        <v>0.86199999999999999</v>
      </c>
      <c r="W198" s="4">
        <v>0.84</v>
      </c>
      <c r="X198" s="4">
        <v>27886.798590779708</v>
      </c>
      <c r="Y198" s="4">
        <v>4.5999999999999999E-2</v>
      </c>
      <c r="Z198" s="4">
        <v>1</v>
      </c>
      <c r="AA198" s="4">
        <v>0</v>
      </c>
      <c r="AB198" s="4" t="s">
        <v>207</v>
      </c>
      <c r="AC198" s="17" t="s">
        <v>462</v>
      </c>
      <c r="AD198" s="20">
        <v>0.68548445434685112</v>
      </c>
      <c r="AE198" s="20">
        <v>0.31451554565314888</v>
      </c>
      <c r="AF198" s="10">
        <v>2</v>
      </c>
      <c r="AG198" s="3">
        <f t="shared" si="70"/>
        <v>1</v>
      </c>
      <c r="AH198" s="3">
        <f t="shared" si="71"/>
        <v>1</v>
      </c>
      <c r="AI198" s="4">
        <f t="shared" si="72"/>
        <v>1</v>
      </c>
      <c r="AJ198" s="4">
        <f t="shared" si="73"/>
        <v>1</v>
      </c>
      <c r="AK198" s="4">
        <f t="shared" si="74"/>
        <v>1</v>
      </c>
      <c r="AL198" s="4">
        <f t="shared" si="75"/>
        <v>2</v>
      </c>
      <c r="AM198" s="4">
        <f t="shared" si="76"/>
        <v>1</v>
      </c>
      <c r="AN198" s="4">
        <v>0</v>
      </c>
      <c r="AO198" s="4">
        <v>0</v>
      </c>
      <c r="AP198" s="4" t="s">
        <v>100</v>
      </c>
      <c r="AQ198" s="4" t="s">
        <v>63</v>
      </c>
      <c r="AR198" s="4">
        <v>0</v>
      </c>
      <c r="AS198" s="4" t="s">
        <v>147</v>
      </c>
      <c r="AT198" s="11">
        <f>(22+22)/AU198</f>
        <v>0.12979351032448377</v>
      </c>
      <c r="AU198" s="4">
        <f>284+55</f>
        <v>339</v>
      </c>
      <c r="AV198" s="11">
        <f>(22+11)/AW198</f>
        <v>9.7345132743362831E-2</v>
      </c>
      <c r="AW198" s="4">
        <f>284+55</f>
        <v>339</v>
      </c>
      <c r="AX198" s="10">
        <f>AT198*AU198</f>
        <v>44</v>
      </c>
      <c r="AY198" s="10">
        <f t="shared" ref="AY198:AY203" si="78">AU198-AX198</f>
        <v>295</v>
      </c>
      <c r="AZ198" s="10">
        <f>AV198*AW198</f>
        <v>33</v>
      </c>
      <c r="BA198" s="10">
        <f t="shared" ref="BA198:BA203" si="79">AW198-AZ198</f>
        <v>306</v>
      </c>
      <c r="BB198" s="10">
        <f t="shared" si="77"/>
        <v>678</v>
      </c>
    </row>
    <row r="199" spans="1:54" s="1" customFormat="1" x14ac:dyDescent="0.25">
      <c r="A199" s="9" t="str">
        <f t="shared" si="54"/>
        <v>67C</v>
      </c>
      <c r="B199" s="4">
        <v>67</v>
      </c>
      <c r="C199" s="4">
        <v>1</v>
      </c>
      <c r="D199" s="4" t="s">
        <v>67</v>
      </c>
      <c r="E199" s="4">
        <v>0</v>
      </c>
      <c r="F199" s="4">
        <v>1</v>
      </c>
      <c r="G199" s="4">
        <v>0</v>
      </c>
      <c r="H199" s="2" t="s">
        <v>144</v>
      </c>
      <c r="I199" s="2" t="s">
        <v>145</v>
      </c>
      <c r="J199" s="2" t="s">
        <v>222</v>
      </c>
      <c r="K199" s="4">
        <v>1</v>
      </c>
      <c r="L199" s="2" t="s">
        <v>146</v>
      </c>
      <c r="N199" s="4">
        <v>1</v>
      </c>
      <c r="O199" s="4">
        <v>1</v>
      </c>
      <c r="P199" s="20">
        <f t="shared" si="69"/>
        <v>0.5</v>
      </c>
      <c r="Q199" s="4">
        <v>2006</v>
      </c>
      <c r="R199" s="12" t="s">
        <v>620</v>
      </c>
      <c r="S199" s="12">
        <v>2001</v>
      </c>
      <c r="T199" s="4" t="s">
        <v>133</v>
      </c>
      <c r="U199" s="4">
        <v>0.20100000000000001</v>
      </c>
      <c r="V199" s="4">
        <v>0.86199999999999999</v>
      </c>
      <c r="W199" s="4">
        <v>0.84</v>
      </c>
      <c r="X199" s="4">
        <v>27886.798590779708</v>
      </c>
      <c r="Y199" s="4">
        <v>4.5999999999999999E-2</v>
      </c>
      <c r="Z199" s="4">
        <v>1</v>
      </c>
      <c r="AA199" s="4">
        <v>0</v>
      </c>
      <c r="AB199" s="4" t="s">
        <v>207</v>
      </c>
      <c r="AC199" s="17" t="s">
        <v>463</v>
      </c>
      <c r="AD199" s="20">
        <v>0.83409609208954527</v>
      </c>
      <c r="AE199" s="20">
        <v>0.16590390791045473</v>
      </c>
      <c r="AF199" s="10">
        <v>1</v>
      </c>
      <c r="AG199" s="3">
        <f t="shared" si="70"/>
        <v>1</v>
      </c>
      <c r="AH199" s="3">
        <f t="shared" si="71"/>
        <v>1</v>
      </c>
      <c r="AI199" s="4">
        <f t="shared" si="72"/>
        <v>1</v>
      </c>
      <c r="AJ199" s="4">
        <f t="shared" si="73"/>
        <v>1</v>
      </c>
      <c r="AK199" s="4">
        <f t="shared" si="74"/>
        <v>1</v>
      </c>
      <c r="AL199" s="4">
        <f t="shared" si="75"/>
        <v>1</v>
      </c>
      <c r="AM199" s="4">
        <f t="shared" si="76"/>
        <v>1</v>
      </c>
      <c r="AN199" s="4">
        <v>0</v>
      </c>
      <c r="AO199" s="4">
        <v>0</v>
      </c>
      <c r="AP199" s="4" t="s">
        <v>100</v>
      </c>
      <c r="AQ199" s="4" t="s">
        <v>63</v>
      </c>
      <c r="AR199" s="4">
        <v>0</v>
      </c>
      <c r="AS199" s="4" t="s">
        <v>148</v>
      </c>
      <c r="AT199" s="11">
        <f>(14+16)/AU199</f>
        <v>0.23076923076923078</v>
      </c>
      <c r="AU199" s="4">
        <f>96+34</f>
        <v>130</v>
      </c>
      <c r="AV199" s="11">
        <f>(14+4)/AW199</f>
        <v>0.13846153846153847</v>
      </c>
      <c r="AW199" s="4">
        <f>96+34</f>
        <v>130</v>
      </c>
      <c r="AX199" s="10">
        <f>AT199*AU199</f>
        <v>30</v>
      </c>
      <c r="AY199" s="10">
        <f t="shared" si="78"/>
        <v>100</v>
      </c>
      <c r="AZ199" s="10">
        <f>AV199*AW199</f>
        <v>18</v>
      </c>
      <c r="BA199" s="10">
        <f t="shared" si="79"/>
        <v>112</v>
      </c>
      <c r="BB199" s="10">
        <f t="shared" si="77"/>
        <v>260</v>
      </c>
    </row>
    <row r="200" spans="1:54" x14ac:dyDescent="0.25">
      <c r="A200" s="9" t="str">
        <f t="shared" si="54"/>
        <v>67D</v>
      </c>
      <c r="B200" s="4">
        <v>67</v>
      </c>
      <c r="C200" s="4">
        <v>1</v>
      </c>
      <c r="D200" s="4" t="s">
        <v>68</v>
      </c>
      <c r="E200" s="4">
        <v>0</v>
      </c>
      <c r="F200" s="4">
        <v>1</v>
      </c>
      <c r="G200" s="4">
        <v>0</v>
      </c>
      <c r="H200" s="2" t="s">
        <v>144</v>
      </c>
      <c r="I200" s="2" t="s">
        <v>145</v>
      </c>
      <c r="J200" s="2" t="s">
        <v>222</v>
      </c>
      <c r="K200" s="4">
        <v>1</v>
      </c>
      <c r="L200" s="2" t="s">
        <v>146</v>
      </c>
      <c r="M200" s="1"/>
      <c r="N200" s="4">
        <v>1</v>
      </c>
      <c r="O200" s="4">
        <v>1</v>
      </c>
      <c r="P200" s="20">
        <f t="shared" si="69"/>
        <v>0.5</v>
      </c>
      <c r="Q200" s="4">
        <v>2006</v>
      </c>
      <c r="R200" s="12" t="s">
        <v>620</v>
      </c>
      <c r="S200" s="12">
        <v>2001</v>
      </c>
      <c r="T200" s="4" t="s">
        <v>133</v>
      </c>
      <c r="U200" s="4">
        <v>0.20100000000000001</v>
      </c>
      <c r="V200" s="4">
        <v>0.86199999999999999</v>
      </c>
      <c r="W200" s="4">
        <v>0.84</v>
      </c>
      <c r="X200" s="4">
        <v>27886.798590779708</v>
      </c>
      <c r="Y200" s="4">
        <v>4.5999999999999999E-2</v>
      </c>
      <c r="Z200" s="4">
        <v>1</v>
      </c>
      <c r="AA200" s="4">
        <v>0</v>
      </c>
      <c r="AB200" s="4" t="s">
        <v>207</v>
      </c>
      <c r="AC200" s="17" t="s">
        <v>464</v>
      </c>
      <c r="AD200" s="20">
        <v>0.95938449149214333</v>
      </c>
      <c r="AE200" s="20">
        <v>4.0615508507856668E-2</v>
      </c>
      <c r="AF200" s="10">
        <v>1</v>
      </c>
      <c r="AG200" s="3">
        <f t="shared" si="70"/>
        <v>1</v>
      </c>
      <c r="AH200" s="3">
        <f t="shared" si="71"/>
        <v>1</v>
      </c>
      <c r="AI200" s="4">
        <f t="shared" si="72"/>
        <v>1</v>
      </c>
      <c r="AJ200" s="4">
        <f t="shared" si="73"/>
        <v>1</v>
      </c>
      <c r="AK200" s="4">
        <f t="shared" si="74"/>
        <v>1</v>
      </c>
      <c r="AL200" s="4">
        <f t="shared" si="75"/>
        <v>1</v>
      </c>
      <c r="AM200" s="4">
        <f t="shared" si="76"/>
        <v>1</v>
      </c>
      <c r="AN200" s="4">
        <v>0</v>
      </c>
      <c r="AO200" s="4">
        <v>0</v>
      </c>
      <c r="AP200" s="4" t="s">
        <v>100</v>
      </c>
      <c r="AQ200" s="4" t="s">
        <v>63</v>
      </c>
      <c r="AR200" s="4">
        <v>0</v>
      </c>
      <c r="AS200" s="4" t="s">
        <v>149</v>
      </c>
      <c r="AT200" s="11">
        <f>(12+9)/AU200</f>
        <v>0.12138728323699421</v>
      </c>
      <c r="AU200" s="4">
        <f>134+39</f>
        <v>173</v>
      </c>
      <c r="AV200" s="11">
        <f>(12+18)/AW200</f>
        <v>0.17341040462427745</v>
      </c>
      <c r="AW200" s="4">
        <f>134+39</f>
        <v>173</v>
      </c>
      <c r="AX200" s="10">
        <f>AT200*AU200</f>
        <v>21</v>
      </c>
      <c r="AY200" s="10">
        <f t="shared" si="78"/>
        <v>152</v>
      </c>
      <c r="AZ200" s="10">
        <f>AV200*AW200</f>
        <v>30</v>
      </c>
      <c r="BA200" s="10">
        <f t="shared" si="79"/>
        <v>143</v>
      </c>
      <c r="BB200" s="10">
        <f t="shared" si="77"/>
        <v>346</v>
      </c>
    </row>
    <row r="201" spans="1:54" x14ac:dyDescent="0.25">
      <c r="A201" s="9" t="str">
        <f t="shared" si="54"/>
        <v>67E</v>
      </c>
      <c r="B201" s="4">
        <v>67</v>
      </c>
      <c r="C201" s="4">
        <v>1</v>
      </c>
      <c r="D201" s="4" t="s">
        <v>102</v>
      </c>
      <c r="E201" s="4">
        <v>0</v>
      </c>
      <c r="F201" s="4">
        <v>1</v>
      </c>
      <c r="G201" s="4">
        <v>0</v>
      </c>
      <c r="H201" s="2" t="s">
        <v>144</v>
      </c>
      <c r="I201" s="2" t="s">
        <v>145</v>
      </c>
      <c r="J201" s="2" t="s">
        <v>222</v>
      </c>
      <c r="K201" s="4">
        <v>1</v>
      </c>
      <c r="L201" s="2" t="s">
        <v>146</v>
      </c>
      <c r="M201" s="1"/>
      <c r="N201" s="4">
        <v>1</v>
      </c>
      <c r="O201" s="4">
        <v>1</v>
      </c>
      <c r="P201" s="20">
        <f t="shared" si="69"/>
        <v>0.5</v>
      </c>
      <c r="Q201" s="4">
        <v>2006</v>
      </c>
      <c r="R201" s="12" t="s">
        <v>620</v>
      </c>
      <c r="S201" s="12">
        <v>2001</v>
      </c>
      <c r="T201" s="4" t="s">
        <v>133</v>
      </c>
      <c r="U201" s="4">
        <v>0.20100000000000001</v>
      </c>
      <c r="V201" s="4">
        <v>0.86199999999999999</v>
      </c>
      <c r="W201" s="4">
        <v>0.84</v>
      </c>
      <c r="X201" s="4">
        <v>27886.798590779708</v>
      </c>
      <c r="Y201" s="4">
        <v>4.5999999999999999E-2</v>
      </c>
      <c r="Z201" s="4">
        <v>1</v>
      </c>
      <c r="AA201" s="4">
        <v>0</v>
      </c>
      <c r="AB201" s="4" t="s">
        <v>207</v>
      </c>
      <c r="AC201" s="17" t="s">
        <v>465</v>
      </c>
      <c r="AD201" s="20">
        <v>3.1082200265387779E-2</v>
      </c>
      <c r="AE201" s="20">
        <v>0.96891779973461223</v>
      </c>
      <c r="AF201" s="10">
        <v>0</v>
      </c>
      <c r="AG201" s="3">
        <f t="shared" si="70"/>
        <v>0</v>
      </c>
      <c r="AH201" s="3">
        <f t="shared" si="71"/>
        <v>0</v>
      </c>
      <c r="AI201" s="4">
        <f t="shared" si="72"/>
        <v>0</v>
      </c>
      <c r="AJ201" s="4">
        <f t="shared" si="73"/>
        <v>0</v>
      </c>
      <c r="AK201" s="4">
        <f t="shared" si="74"/>
        <v>0</v>
      </c>
      <c r="AL201" s="4">
        <f t="shared" si="75"/>
        <v>0</v>
      </c>
      <c r="AM201" s="4">
        <f t="shared" si="76"/>
        <v>0</v>
      </c>
      <c r="AN201" s="4">
        <v>0</v>
      </c>
      <c r="AO201" s="4">
        <v>0</v>
      </c>
      <c r="AP201" s="4" t="s">
        <v>100</v>
      </c>
      <c r="AQ201" s="4" t="s">
        <v>63</v>
      </c>
      <c r="AR201" s="4">
        <v>0</v>
      </c>
      <c r="AS201" s="4" t="s">
        <v>150</v>
      </c>
      <c r="AT201" s="11">
        <f>(13+30)/AU201</f>
        <v>0.18614718614718614</v>
      </c>
      <c r="AU201" s="4">
        <f>180+51</f>
        <v>231</v>
      </c>
      <c r="AV201" s="11">
        <f>(13+8)/AW201</f>
        <v>9.0909090909090912E-2</v>
      </c>
      <c r="AW201" s="4">
        <f>180+51</f>
        <v>231</v>
      </c>
      <c r="AX201" s="10">
        <f>AT201*AU201</f>
        <v>43</v>
      </c>
      <c r="AY201" s="10">
        <f t="shared" si="78"/>
        <v>188</v>
      </c>
      <c r="AZ201" s="10">
        <f>AV201*AW201</f>
        <v>21</v>
      </c>
      <c r="BA201" s="10">
        <f t="shared" si="79"/>
        <v>210</v>
      </c>
      <c r="BB201" s="10">
        <f t="shared" si="77"/>
        <v>462</v>
      </c>
    </row>
    <row r="202" spans="1:54" x14ac:dyDescent="0.25">
      <c r="A202" s="9" t="str">
        <f t="shared" si="54"/>
        <v>68A</v>
      </c>
      <c r="B202" s="3">
        <v>68</v>
      </c>
      <c r="C202" s="4">
        <v>1</v>
      </c>
      <c r="D202" s="3" t="s">
        <v>65</v>
      </c>
      <c r="E202" s="3">
        <v>1</v>
      </c>
      <c r="F202" s="3">
        <v>1</v>
      </c>
      <c r="G202" s="3">
        <v>0</v>
      </c>
      <c r="H202" s="1" t="s">
        <v>165</v>
      </c>
      <c r="I202" s="1" t="s">
        <v>163</v>
      </c>
      <c r="J202" s="1" t="s">
        <v>229</v>
      </c>
      <c r="K202" s="3">
        <v>0</v>
      </c>
      <c r="L202" s="1" t="s">
        <v>164</v>
      </c>
      <c r="M202" s="1" t="s">
        <v>586</v>
      </c>
      <c r="N202" s="3">
        <v>1</v>
      </c>
      <c r="O202" s="3">
        <v>1</v>
      </c>
      <c r="P202" s="19">
        <f t="shared" si="69"/>
        <v>0.5</v>
      </c>
      <c r="Q202" s="3">
        <v>2014</v>
      </c>
      <c r="R202" s="3" t="s">
        <v>128</v>
      </c>
      <c r="S202" s="3">
        <v>2012</v>
      </c>
      <c r="T202" s="3" t="s">
        <v>166</v>
      </c>
      <c r="U202" s="3">
        <v>0.36799999999999999</v>
      </c>
      <c r="V202" s="3">
        <v>0.746</v>
      </c>
      <c r="W202" s="3">
        <v>0.65800000000000003</v>
      </c>
      <c r="X202" s="3">
        <v>10376.057666442344</v>
      </c>
      <c r="Y202" s="4">
        <v>7.6999999999999999E-2</v>
      </c>
      <c r="Z202" s="3">
        <v>1</v>
      </c>
      <c r="AA202" s="3">
        <v>0</v>
      </c>
      <c r="AB202" s="3" t="s">
        <v>207</v>
      </c>
      <c r="AC202" s="7" t="s">
        <v>61</v>
      </c>
      <c r="AD202" s="19">
        <v>0.61799999999999999</v>
      </c>
      <c r="AE202" s="19">
        <v>0.38200000000000001</v>
      </c>
      <c r="AF202" s="10">
        <v>2</v>
      </c>
      <c r="AG202" s="3">
        <f t="shared" si="70"/>
        <v>1</v>
      </c>
      <c r="AH202" s="3">
        <f t="shared" si="71"/>
        <v>1</v>
      </c>
      <c r="AI202" s="4">
        <f t="shared" si="72"/>
        <v>1</v>
      </c>
      <c r="AJ202" s="4">
        <f t="shared" si="73"/>
        <v>2</v>
      </c>
      <c r="AK202" s="4">
        <f t="shared" si="74"/>
        <v>1</v>
      </c>
      <c r="AL202" s="4">
        <f t="shared" si="75"/>
        <v>2</v>
      </c>
      <c r="AM202" s="4">
        <f t="shared" si="76"/>
        <v>1</v>
      </c>
      <c r="AN202" s="4">
        <v>0</v>
      </c>
      <c r="AO202" s="4">
        <v>0</v>
      </c>
      <c r="AP202" s="3" t="s">
        <v>100</v>
      </c>
      <c r="AQ202" s="3" t="s">
        <v>97</v>
      </c>
      <c r="AR202" s="3">
        <v>1</v>
      </c>
      <c r="AS202" s="3" t="s">
        <v>62</v>
      </c>
      <c r="AT202" s="16">
        <v>0.13780000000000001</v>
      </c>
      <c r="AU202" s="3">
        <f>802*4</f>
        <v>3208</v>
      </c>
      <c r="AV202" s="16">
        <v>0.1075</v>
      </c>
      <c r="AW202" s="3">
        <f>802*4</f>
        <v>3208</v>
      </c>
      <c r="AX202" s="8">
        <f>AT202*AU202</f>
        <v>442.06240000000003</v>
      </c>
      <c r="AY202" s="8">
        <f t="shared" si="78"/>
        <v>2765.9376000000002</v>
      </c>
      <c r="AZ202" s="8">
        <f>AV202*AW202</f>
        <v>344.86</v>
      </c>
      <c r="BA202" s="8">
        <f t="shared" si="79"/>
        <v>2863.14</v>
      </c>
      <c r="BB202" s="8">
        <f t="shared" si="77"/>
        <v>6416</v>
      </c>
    </row>
    <row r="203" spans="1:54" x14ac:dyDescent="0.25">
      <c r="A203" s="9" t="str">
        <f t="shared" si="54"/>
        <v>69A</v>
      </c>
      <c r="B203" s="3">
        <v>69</v>
      </c>
      <c r="C203" s="3">
        <v>5</v>
      </c>
      <c r="D203" s="3" t="s">
        <v>65</v>
      </c>
      <c r="E203" s="3">
        <v>1</v>
      </c>
      <c r="F203" s="3">
        <v>1</v>
      </c>
      <c r="G203" s="3">
        <v>0</v>
      </c>
      <c r="H203" s="1" t="s">
        <v>491</v>
      </c>
      <c r="I203" s="1" t="s">
        <v>490</v>
      </c>
      <c r="J203" s="1" t="s">
        <v>203</v>
      </c>
      <c r="K203" s="3">
        <v>1</v>
      </c>
      <c r="L203" s="1" t="s">
        <v>489</v>
      </c>
      <c r="M203" s="1" t="s">
        <v>488</v>
      </c>
      <c r="N203" s="3">
        <v>1</v>
      </c>
      <c r="O203" s="3">
        <v>4</v>
      </c>
      <c r="P203" s="19">
        <f t="shared" si="69"/>
        <v>0.2</v>
      </c>
      <c r="Q203" s="3">
        <v>2020</v>
      </c>
      <c r="R203" s="3" t="s">
        <v>268</v>
      </c>
      <c r="S203" s="3">
        <v>2013</v>
      </c>
      <c r="T203" s="14" t="s">
        <v>101</v>
      </c>
      <c r="U203" s="3">
        <v>0.245</v>
      </c>
      <c r="V203" s="3">
        <v>0.92</v>
      </c>
      <c r="W203" s="3">
        <v>0.89100000000000001</v>
      </c>
      <c r="X203" s="3">
        <v>53291.127689140565</v>
      </c>
      <c r="Y203" s="3">
        <v>0</v>
      </c>
      <c r="Z203" s="3">
        <v>0</v>
      </c>
      <c r="AA203" s="3">
        <v>0</v>
      </c>
      <c r="AB203" s="3" t="s">
        <v>207</v>
      </c>
      <c r="AC203" s="7" t="s">
        <v>130</v>
      </c>
      <c r="AD203" s="19">
        <v>0.379</v>
      </c>
      <c r="AE203" s="19">
        <v>0.621</v>
      </c>
      <c r="AF203" s="10">
        <v>2</v>
      </c>
      <c r="AG203" s="3">
        <f t="shared" si="70"/>
        <v>1</v>
      </c>
      <c r="AH203" s="3">
        <f t="shared" si="71"/>
        <v>0</v>
      </c>
      <c r="AI203" s="4">
        <f t="shared" si="72"/>
        <v>0</v>
      </c>
      <c r="AJ203" s="4">
        <f t="shared" si="73"/>
        <v>2</v>
      </c>
      <c r="AK203" s="4">
        <f t="shared" si="74"/>
        <v>1</v>
      </c>
      <c r="AL203" s="4">
        <f t="shared" si="75"/>
        <v>2</v>
      </c>
      <c r="AM203" s="4">
        <f t="shared" si="76"/>
        <v>1</v>
      </c>
      <c r="AN203" s="4">
        <v>0</v>
      </c>
      <c r="AO203" s="4">
        <v>0</v>
      </c>
      <c r="AP203" s="3" t="s">
        <v>100</v>
      </c>
      <c r="AQ203" s="3" t="s">
        <v>97</v>
      </c>
      <c r="AR203" s="3">
        <v>1</v>
      </c>
      <c r="AS203" s="3" t="s">
        <v>62</v>
      </c>
      <c r="AT203" s="16">
        <f t="shared" ref="AT203:AT234" si="80">AX203/AU203</f>
        <v>0.13934426229508196</v>
      </c>
      <c r="AU203" s="3">
        <v>122</v>
      </c>
      <c r="AV203" s="16">
        <f t="shared" ref="AV203:AV234" si="81">AZ203/AW203</f>
        <v>0.14285714285714285</v>
      </c>
      <c r="AW203" s="3">
        <v>126</v>
      </c>
      <c r="AX203" s="8">
        <v>17</v>
      </c>
      <c r="AY203" s="8">
        <f t="shared" si="78"/>
        <v>105</v>
      </c>
      <c r="AZ203" s="8">
        <v>18</v>
      </c>
      <c r="BA203" s="8">
        <f t="shared" si="79"/>
        <v>108</v>
      </c>
      <c r="BB203" s="3">
        <f t="shared" si="77"/>
        <v>248</v>
      </c>
    </row>
    <row r="204" spans="1:54" x14ac:dyDescent="0.25">
      <c r="A204" s="9" t="str">
        <f t="shared" si="54"/>
        <v>70A</v>
      </c>
      <c r="B204" s="3">
        <v>70</v>
      </c>
      <c r="C204" s="3">
        <v>1</v>
      </c>
      <c r="D204" s="3" t="s">
        <v>65</v>
      </c>
      <c r="E204" s="3">
        <v>1</v>
      </c>
      <c r="F204" s="3">
        <v>0</v>
      </c>
      <c r="G204" s="3">
        <v>0</v>
      </c>
      <c r="H204" s="1" t="s">
        <v>500</v>
      </c>
      <c r="I204" s="1" t="s">
        <v>23</v>
      </c>
      <c r="J204" s="1" t="s">
        <v>203</v>
      </c>
      <c r="K204" s="3">
        <v>1</v>
      </c>
      <c r="L204" s="1" t="s">
        <v>499</v>
      </c>
      <c r="M204" s="1" t="s">
        <v>498</v>
      </c>
      <c r="N204" s="3">
        <v>1</v>
      </c>
      <c r="O204" s="3">
        <v>4</v>
      </c>
      <c r="P204" s="19">
        <f t="shared" si="69"/>
        <v>0.2</v>
      </c>
      <c r="Q204" s="3">
        <v>2016</v>
      </c>
      <c r="R204" s="3" t="s">
        <v>112</v>
      </c>
      <c r="S204" s="3">
        <v>2013</v>
      </c>
      <c r="T204" s="14" t="s">
        <v>101</v>
      </c>
      <c r="U204" s="3">
        <v>0.245</v>
      </c>
      <c r="V204" s="3">
        <v>0.92</v>
      </c>
      <c r="W204" s="3">
        <v>0.89100000000000001</v>
      </c>
      <c r="X204" s="4">
        <v>53291.127689140565</v>
      </c>
      <c r="Y204" s="3">
        <v>0</v>
      </c>
      <c r="Z204" s="3">
        <v>0</v>
      </c>
      <c r="AA204" s="3">
        <v>0</v>
      </c>
      <c r="AB204" s="3" t="s">
        <v>207</v>
      </c>
      <c r="AC204" s="7" t="s">
        <v>61</v>
      </c>
      <c r="AD204" s="3"/>
      <c r="AE204" s="3"/>
      <c r="AF204" s="10">
        <v>2</v>
      </c>
      <c r="AG204" s="3">
        <f t="shared" si="70"/>
        <v>1</v>
      </c>
      <c r="AH204" s="3">
        <f t="shared" si="71"/>
        <v>2</v>
      </c>
      <c r="AI204" s="4">
        <f t="shared" si="72"/>
        <v>1</v>
      </c>
      <c r="AJ204" s="4">
        <f t="shared" si="73"/>
        <v>2</v>
      </c>
      <c r="AK204" s="4">
        <f t="shared" si="74"/>
        <v>1</v>
      </c>
      <c r="AL204" s="4">
        <f t="shared" si="75"/>
        <v>2</v>
      </c>
      <c r="AM204" s="4">
        <f t="shared" si="76"/>
        <v>1</v>
      </c>
      <c r="AN204" s="4">
        <v>0</v>
      </c>
      <c r="AO204" s="4">
        <v>0</v>
      </c>
      <c r="AP204" s="3" t="s">
        <v>61</v>
      </c>
      <c r="AQ204" s="3" t="s">
        <v>97</v>
      </c>
      <c r="AR204" s="3">
        <v>1</v>
      </c>
      <c r="AS204" s="3" t="s">
        <v>62</v>
      </c>
      <c r="AT204" s="16">
        <f t="shared" si="80"/>
        <v>0.11507035860190649</v>
      </c>
      <c r="AU204" s="3">
        <f>SUM(AU205:AU210)</f>
        <v>4406</v>
      </c>
      <c r="AV204" s="16">
        <f t="shared" si="81"/>
        <v>0.10958296362023071</v>
      </c>
      <c r="AW204" s="3">
        <f>SUM(AW205:AW210)</f>
        <v>4508</v>
      </c>
      <c r="AX204" s="3">
        <f>SUM(AX205:AX210)</f>
        <v>507</v>
      </c>
      <c r="AY204" s="8">
        <f>SUM(AY205:AY210)</f>
        <v>3899</v>
      </c>
      <c r="AZ204" s="8">
        <f>SUM(AZ205:AZ210)</f>
        <v>494</v>
      </c>
      <c r="BA204" s="8">
        <f>SUM(BA205:BA210)</f>
        <v>4014</v>
      </c>
      <c r="BB204" s="3">
        <f t="shared" si="77"/>
        <v>8914</v>
      </c>
    </row>
    <row r="205" spans="1:54" x14ac:dyDescent="0.25">
      <c r="A205" s="9" t="str">
        <f t="shared" si="54"/>
        <v>70B</v>
      </c>
      <c r="B205" s="4">
        <v>70</v>
      </c>
      <c r="C205" s="4">
        <v>1</v>
      </c>
      <c r="D205" s="4" t="s">
        <v>66</v>
      </c>
      <c r="E205" s="4">
        <v>0</v>
      </c>
      <c r="F205" s="4">
        <v>1</v>
      </c>
      <c r="G205" s="4">
        <v>0</v>
      </c>
      <c r="H205" s="2" t="s">
        <v>500</v>
      </c>
      <c r="I205" s="2" t="s">
        <v>23</v>
      </c>
      <c r="J205" s="2" t="s">
        <v>203</v>
      </c>
      <c r="K205" s="4">
        <v>1</v>
      </c>
      <c r="L205" s="2" t="s">
        <v>499</v>
      </c>
      <c r="M205" s="1"/>
      <c r="N205" s="4">
        <v>1</v>
      </c>
      <c r="O205" s="4">
        <v>4</v>
      </c>
      <c r="P205" s="20">
        <f t="shared" si="69"/>
        <v>0.2</v>
      </c>
      <c r="Q205" s="4">
        <v>2016</v>
      </c>
      <c r="R205" s="4" t="s">
        <v>112</v>
      </c>
      <c r="S205" s="4">
        <v>2013</v>
      </c>
      <c r="T205" s="12" t="s">
        <v>101</v>
      </c>
      <c r="U205" s="4">
        <v>0.245</v>
      </c>
      <c r="V205" s="4">
        <v>0.92</v>
      </c>
      <c r="W205" s="3">
        <v>0.89100000000000001</v>
      </c>
      <c r="X205" s="4">
        <v>53291.127689140565</v>
      </c>
      <c r="Y205" s="4">
        <v>0</v>
      </c>
      <c r="Z205" s="4">
        <v>0</v>
      </c>
      <c r="AA205" s="4">
        <v>0</v>
      </c>
      <c r="AB205" s="4" t="s">
        <v>207</v>
      </c>
      <c r="AC205" s="17" t="s">
        <v>496</v>
      </c>
      <c r="AD205" s="20">
        <v>5.6000000000000001E-2</v>
      </c>
      <c r="AE205" s="20">
        <v>0.94399999999999995</v>
      </c>
      <c r="AF205" s="10">
        <v>0</v>
      </c>
      <c r="AG205" s="4">
        <f t="shared" si="70"/>
        <v>0</v>
      </c>
      <c r="AH205" s="3">
        <f t="shared" si="71"/>
        <v>0</v>
      </c>
      <c r="AI205" s="4">
        <f t="shared" si="72"/>
        <v>0</v>
      </c>
      <c r="AJ205" s="4">
        <f t="shared" si="73"/>
        <v>0</v>
      </c>
      <c r="AK205" s="4">
        <f t="shared" si="74"/>
        <v>0</v>
      </c>
      <c r="AL205" s="4">
        <f t="shared" si="75"/>
        <v>0</v>
      </c>
      <c r="AM205" s="4">
        <f t="shared" si="76"/>
        <v>0</v>
      </c>
      <c r="AN205" s="4">
        <v>0</v>
      </c>
      <c r="AO205" s="4">
        <v>0</v>
      </c>
      <c r="AP205" s="4" t="s">
        <v>61</v>
      </c>
      <c r="AQ205" s="4" t="s">
        <v>97</v>
      </c>
      <c r="AR205" s="4">
        <v>1</v>
      </c>
      <c r="AS205" s="4" t="s">
        <v>492</v>
      </c>
      <c r="AT205" s="11">
        <f t="shared" si="80"/>
        <v>0.05</v>
      </c>
      <c r="AU205" s="4">
        <v>1020</v>
      </c>
      <c r="AV205" s="11">
        <f t="shared" si="81"/>
        <v>4.9659201557935732E-2</v>
      </c>
      <c r="AW205" s="4">
        <v>1027</v>
      </c>
      <c r="AX205" s="10">
        <v>51</v>
      </c>
      <c r="AY205" s="10">
        <f t="shared" ref="AY205:AY211" si="82">AU205-AX205</f>
        <v>969</v>
      </c>
      <c r="AZ205" s="10">
        <v>51</v>
      </c>
      <c r="BA205" s="10">
        <f t="shared" ref="BA205:BA211" si="83">AW205-AZ205</f>
        <v>976</v>
      </c>
      <c r="BB205" s="10">
        <f t="shared" si="77"/>
        <v>2047</v>
      </c>
    </row>
    <row r="206" spans="1:54" s="1" customFormat="1" x14ac:dyDescent="0.25">
      <c r="A206" s="9" t="str">
        <f t="shared" si="54"/>
        <v>70C</v>
      </c>
      <c r="B206" s="4">
        <v>70</v>
      </c>
      <c r="C206" s="4">
        <v>1</v>
      </c>
      <c r="D206" s="4" t="s">
        <v>67</v>
      </c>
      <c r="E206" s="4">
        <v>0</v>
      </c>
      <c r="F206" s="4">
        <v>1</v>
      </c>
      <c r="G206" s="4">
        <v>0</v>
      </c>
      <c r="H206" s="2" t="s">
        <v>500</v>
      </c>
      <c r="I206" s="2" t="s">
        <v>23</v>
      </c>
      <c r="J206" s="2" t="s">
        <v>203</v>
      </c>
      <c r="K206" s="4">
        <v>1</v>
      </c>
      <c r="L206" s="2" t="s">
        <v>499</v>
      </c>
      <c r="N206" s="4">
        <v>1</v>
      </c>
      <c r="O206" s="4">
        <v>4</v>
      </c>
      <c r="P206" s="20">
        <f t="shared" si="69"/>
        <v>0.2</v>
      </c>
      <c r="Q206" s="4">
        <v>2016</v>
      </c>
      <c r="R206" s="4" t="s">
        <v>112</v>
      </c>
      <c r="S206" s="4">
        <v>2013</v>
      </c>
      <c r="T206" s="12" t="s">
        <v>101</v>
      </c>
      <c r="U206" s="4">
        <v>0.245</v>
      </c>
      <c r="V206" s="4">
        <v>0.92</v>
      </c>
      <c r="W206" s="3">
        <v>0.89100000000000001</v>
      </c>
      <c r="X206" s="4">
        <v>53291.127689140565</v>
      </c>
      <c r="Y206" s="4">
        <v>0</v>
      </c>
      <c r="Z206" s="4">
        <v>0</v>
      </c>
      <c r="AA206" s="4">
        <v>0</v>
      </c>
      <c r="AB206" s="4" t="s">
        <v>207</v>
      </c>
      <c r="AC206" s="17" t="s">
        <v>160</v>
      </c>
      <c r="AD206" s="20">
        <v>0.34200000000000003</v>
      </c>
      <c r="AE206" s="20">
        <v>0.65800000000000003</v>
      </c>
      <c r="AF206" s="10">
        <v>0</v>
      </c>
      <c r="AG206" s="4">
        <f t="shared" si="70"/>
        <v>0</v>
      </c>
      <c r="AH206" s="3">
        <f t="shared" si="71"/>
        <v>0</v>
      </c>
      <c r="AI206" s="4">
        <f t="shared" si="72"/>
        <v>0</v>
      </c>
      <c r="AJ206" s="4">
        <f t="shared" si="73"/>
        <v>0</v>
      </c>
      <c r="AK206" s="4">
        <f t="shared" si="74"/>
        <v>0</v>
      </c>
      <c r="AL206" s="4">
        <f t="shared" si="75"/>
        <v>2</v>
      </c>
      <c r="AM206" s="4">
        <f t="shared" si="76"/>
        <v>1</v>
      </c>
      <c r="AN206" s="4">
        <v>0</v>
      </c>
      <c r="AO206" s="4">
        <v>0</v>
      </c>
      <c r="AP206" s="4" t="s">
        <v>61</v>
      </c>
      <c r="AQ206" s="4" t="s">
        <v>97</v>
      </c>
      <c r="AR206" s="4">
        <v>1</v>
      </c>
      <c r="AS206" s="4" t="s">
        <v>160</v>
      </c>
      <c r="AT206" s="11">
        <f t="shared" si="80"/>
        <v>0.14147521160822249</v>
      </c>
      <c r="AU206" s="4">
        <v>827</v>
      </c>
      <c r="AV206" s="11">
        <f t="shared" si="81"/>
        <v>0.11990407673860912</v>
      </c>
      <c r="AW206" s="4">
        <v>834</v>
      </c>
      <c r="AX206" s="10">
        <v>117</v>
      </c>
      <c r="AY206" s="10">
        <f t="shared" si="82"/>
        <v>710</v>
      </c>
      <c r="AZ206" s="10">
        <v>100</v>
      </c>
      <c r="BA206" s="10">
        <f t="shared" si="83"/>
        <v>734</v>
      </c>
      <c r="BB206" s="4">
        <f t="shared" si="77"/>
        <v>1661</v>
      </c>
    </row>
    <row r="207" spans="1:54" s="1" customFormat="1" x14ac:dyDescent="0.25">
      <c r="A207" s="9" t="str">
        <f t="shared" si="54"/>
        <v>70D</v>
      </c>
      <c r="B207" s="4">
        <v>70</v>
      </c>
      <c r="C207" s="4">
        <v>1</v>
      </c>
      <c r="D207" s="4" t="s">
        <v>68</v>
      </c>
      <c r="E207" s="4">
        <v>0</v>
      </c>
      <c r="F207" s="4">
        <v>1</v>
      </c>
      <c r="G207" s="4">
        <v>0</v>
      </c>
      <c r="H207" s="2" t="s">
        <v>500</v>
      </c>
      <c r="I207" s="2" t="s">
        <v>23</v>
      </c>
      <c r="J207" s="2" t="s">
        <v>203</v>
      </c>
      <c r="K207" s="4">
        <v>1</v>
      </c>
      <c r="L207" s="2" t="s">
        <v>499</v>
      </c>
      <c r="N207" s="4">
        <v>1</v>
      </c>
      <c r="O207" s="4">
        <v>4</v>
      </c>
      <c r="P207" s="20">
        <f t="shared" si="69"/>
        <v>0.2</v>
      </c>
      <c r="Q207" s="4">
        <v>2016</v>
      </c>
      <c r="R207" s="4" t="s">
        <v>112</v>
      </c>
      <c r="S207" s="4">
        <v>2013</v>
      </c>
      <c r="T207" s="12" t="s">
        <v>101</v>
      </c>
      <c r="U207" s="4">
        <v>0.245</v>
      </c>
      <c r="V207" s="4">
        <v>0.92</v>
      </c>
      <c r="W207" s="3">
        <v>0.89100000000000001</v>
      </c>
      <c r="X207" s="4">
        <v>53291.127689140565</v>
      </c>
      <c r="Y207" s="4">
        <v>0</v>
      </c>
      <c r="Z207" s="4">
        <v>0</v>
      </c>
      <c r="AA207" s="4">
        <v>0</v>
      </c>
      <c r="AB207" s="4" t="s">
        <v>207</v>
      </c>
      <c r="AC207" s="17" t="s">
        <v>161</v>
      </c>
      <c r="AD207" s="20">
        <v>0.51400000000000001</v>
      </c>
      <c r="AE207" s="20">
        <v>0.48599999999999999</v>
      </c>
      <c r="AF207" s="10">
        <v>2</v>
      </c>
      <c r="AG207" s="4">
        <f t="shared" si="70"/>
        <v>1</v>
      </c>
      <c r="AH207" s="3">
        <f t="shared" si="71"/>
        <v>2</v>
      </c>
      <c r="AI207" s="4">
        <f t="shared" si="72"/>
        <v>1</v>
      </c>
      <c r="AJ207" s="4">
        <f t="shared" si="73"/>
        <v>2</v>
      </c>
      <c r="AK207" s="4">
        <f t="shared" si="74"/>
        <v>1</v>
      </c>
      <c r="AL207" s="4">
        <f t="shared" si="75"/>
        <v>2</v>
      </c>
      <c r="AM207" s="4">
        <f t="shared" si="76"/>
        <v>1</v>
      </c>
      <c r="AN207" s="4">
        <v>0</v>
      </c>
      <c r="AO207" s="4">
        <v>0</v>
      </c>
      <c r="AP207" s="4" t="s">
        <v>61</v>
      </c>
      <c r="AQ207" s="4" t="s">
        <v>97</v>
      </c>
      <c r="AR207" s="4">
        <v>1</v>
      </c>
      <c r="AS207" s="4" t="s">
        <v>161</v>
      </c>
      <c r="AT207" s="11">
        <f t="shared" si="80"/>
        <v>0.20917225950782997</v>
      </c>
      <c r="AU207" s="4">
        <v>894</v>
      </c>
      <c r="AV207" s="11">
        <f t="shared" si="81"/>
        <v>0.22327044025157233</v>
      </c>
      <c r="AW207" s="4">
        <v>954</v>
      </c>
      <c r="AX207" s="10">
        <v>187</v>
      </c>
      <c r="AY207" s="10">
        <f t="shared" si="82"/>
        <v>707</v>
      </c>
      <c r="AZ207" s="10">
        <v>213</v>
      </c>
      <c r="BA207" s="10">
        <f t="shared" si="83"/>
        <v>741</v>
      </c>
      <c r="BB207" s="4">
        <f t="shared" si="77"/>
        <v>1848</v>
      </c>
    </row>
    <row r="208" spans="1:54" s="1" customFormat="1" x14ac:dyDescent="0.25">
      <c r="A208" s="9" t="str">
        <f t="shared" ref="A208:A271" si="84">B208&amp;D208</f>
        <v>70E</v>
      </c>
      <c r="B208" s="4">
        <v>70</v>
      </c>
      <c r="C208" s="4">
        <v>1</v>
      </c>
      <c r="D208" s="4" t="s">
        <v>102</v>
      </c>
      <c r="E208" s="4">
        <v>0</v>
      </c>
      <c r="F208" s="4">
        <v>1</v>
      </c>
      <c r="G208" s="4">
        <v>0</v>
      </c>
      <c r="H208" s="2" t="s">
        <v>500</v>
      </c>
      <c r="I208" s="2" t="s">
        <v>23</v>
      </c>
      <c r="J208" s="2" t="s">
        <v>203</v>
      </c>
      <c r="K208" s="4">
        <v>1</v>
      </c>
      <c r="L208" s="2" t="s">
        <v>499</v>
      </c>
      <c r="N208" s="4">
        <v>1</v>
      </c>
      <c r="O208" s="4">
        <v>4</v>
      </c>
      <c r="P208" s="20">
        <f t="shared" si="69"/>
        <v>0.2</v>
      </c>
      <c r="Q208" s="4">
        <v>2016</v>
      </c>
      <c r="R208" s="4" t="s">
        <v>112</v>
      </c>
      <c r="S208" s="4">
        <v>2013</v>
      </c>
      <c r="T208" s="12" t="s">
        <v>101</v>
      </c>
      <c r="U208" s="4">
        <v>0.245</v>
      </c>
      <c r="V208" s="4">
        <v>0.92</v>
      </c>
      <c r="W208" s="3">
        <v>0.89100000000000001</v>
      </c>
      <c r="X208" s="4">
        <v>53291.127689140565</v>
      </c>
      <c r="Y208" s="4">
        <v>0</v>
      </c>
      <c r="Z208" s="4">
        <v>0</v>
      </c>
      <c r="AA208" s="4">
        <v>0</v>
      </c>
      <c r="AB208" s="4" t="s">
        <v>207</v>
      </c>
      <c r="AC208" s="17" t="s">
        <v>493</v>
      </c>
      <c r="AD208" s="20">
        <v>0.74322222222222223</v>
      </c>
      <c r="AE208" s="20">
        <v>0.25677777777777783</v>
      </c>
      <c r="AF208" s="10">
        <v>1</v>
      </c>
      <c r="AG208" s="4">
        <f t="shared" si="70"/>
        <v>1</v>
      </c>
      <c r="AH208" s="3">
        <f t="shared" si="71"/>
        <v>1</v>
      </c>
      <c r="AI208" s="4">
        <f t="shared" si="72"/>
        <v>1</v>
      </c>
      <c r="AJ208" s="4">
        <f t="shared" si="73"/>
        <v>1</v>
      </c>
      <c r="AK208" s="4">
        <f t="shared" si="74"/>
        <v>1</v>
      </c>
      <c r="AL208" s="4">
        <f t="shared" si="75"/>
        <v>1</v>
      </c>
      <c r="AM208" s="4">
        <f t="shared" si="76"/>
        <v>1</v>
      </c>
      <c r="AN208" s="4">
        <v>0</v>
      </c>
      <c r="AO208" s="4">
        <v>0</v>
      </c>
      <c r="AP208" s="4" t="s">
        <v>61</v>
      </c>
      <c r="AQ208" s="4" t="s">
        <v>97</v>
      </c>
      <c r="AR208" s="4">
        <v>1</v>
      </c>
      <c r="AS208" s="4" t="s">
        <v>493</v>
      </c>
      <c r="AT208" s="11">
        <f t="shared" si="80"/>
        <v>0.12582781456953643</v>
      </c>
      <c r="AU208" s="4">
        <v>453</v>
      </c>
      <c r="AV208" s="11">
        <f t="shared" si="81"/>
        <v>0.11405295315682282</v>
      </c>
      <c r="AW208" s="4">
        <v>491</v>
      </c>
      <c r="AX208" s="10">
        <v>57</v>
      </c>
      <c r="AY208" s="10">
        <f t="shared" si="82"/>
        <v>396</v>
      </c>
      <c r="AZ208" s="10">
        <v>56</v>
      </c>
      <c r="BA208" s="10">
        <f t="shared" si="83"/>
        <v>435</v>
      </c>
      <c r="BB208" s="4">
        <f t="shared" si="77"/>
        <v>944</v>
      </c>
    </row>
    <row r="209" spans="1:54" s="1" customFormat="1" x14ac:dyDescent="0.25">
      <c r="A209" s="9" t="str">
        <f t="shared" si="84"/>
        <v>70F</v>
      </c>
      <c r="B209" s="4">
        <v>70</v>
      </c>
      <c r="C209" s="4">
        <v>1</v>
      </c>
      <c r="D209" s="4" t="s">
        <v>116</v>
      </c>
      <c r="E209" s="4">
        <v>0</v>
      </c>
      <c r="F209" s="4">
        <v>1</v>
      </c>
      <c r="G209" s="4">
        <v>0</v>
      </c>
      <c r="H209" s="2" t="s">
        <v>500</v>
      </c>
      <c r="I209" s="2" t="s">
        <v>23</v>
      </c>
      <c r="J209" s="2" t="s">
        <v>203</v>
      </c>
      <c r="K209" s="4">
        <v>1</v>
      </c>
      <c r="L209" s="2" t="s">
        <v>499</v>
      </c>
      <c r="N209" s="4">
        <v>1</v>
      </c>
      <c r="O209" s="4">
        <v>4</v>
      </c>
      <c r="P209" s="20">
        <f t="shared" si="69"/>
        <v>0.2</v>
      </c>
      <c r="Q209" s="4">
        <v>2016</v>
      </c>
      <c r="R209" s="4" t="s">
        <v>112</v>
      </c>
      <c r="S209" s="4">
        <v>2013</v>
      </c>
      <c r="T209" s="12" t="s">
        <v>101</v>
      </c>
      <c r="U209" s="4">
        <v>0.245</v>
      </c>
      <c r="V209" s="4">
        <v>0.92</v>
      </c>
      <c r="W209" s="3">
        <v>0.89100000000000001</v>
      </c>
      <c r="X209" s="4">
        <v>53291.127689140565</v>
      </c>
      <c r="Y209" s="4">
        <v>0</v>
      </c>
      <c r="Z209" s="4">
        <v>0</v>
      </c>
      <c r="AA209" s="4">
        <v>0</v>
      </c>
      <c r="AB209" s="4" t="s">
        <v>207</v>
      </c>
      <c r="AC209" s="17" t="s">
        <v>497</v>
      </c>
      <c r="AD209" s="20">
        <v>5.8999999999999997E-2</v>
      </c>
      <c r="AE209" s="20">
        <v>0.94099999999999995</v>
      </c>
      <c r="AF209" s="10">
        <v>0</v>
      </c>
      <c r="AG209" s="4">
        <f t="shared" si="70"/>
        <v>0</v>
      </c>
      <c r="AH209" s="3">
        <f t="shared" si="71"/>
        <v>0</v>
      </c>
      <c r="AI209" s="4">
        <f t="shared" si="72"/>
        <v>0</v>
      </c>
      <c r="AJ209" s="4">
        <f t="shared" si="73"/>
        <v>0</v>
      </c>
      <c r="AK209" s="4">
        <f t="shared" si="74"/>
        <v>0</v>
      </c>
      <c r="AL209" s="4">
        <f t="shared" si="75"/>
        <v>0</v>
      </c>
      <c r="AM209" s="4">
        <f t="shared" si="76"/>
        <v>0</v>
      </c>
      <c r="AN209" s="4">
        <v>0</v>
      </c>
      <c r="AO209" s="4">
        <v>1</v>
      </c>
      <c r="AP209" s="4" t="s">
        <v>61</v>
      </c>
      <c r="AQ209" s="4" t="s">
        <v>97</v>
      </c>
      <c r="AR209" s="4">
        <v>1</v>
      </c>
      <c r="AS209" s="4" t="s">
        <v>494</v>
      </c>
      <c r="AT209" s="11">
        <f t="shared" si="80"/>
        <v>8.1330868761552683E-2</v>
      </c>
      <c r="AU209" s="4">
        <v>541</v>
      </c>
      <c r="AV209" s="11">
        <f t="shared" si="81"/>
        <v>9.2558983666061703E-2</v>
      </c>
      <c r="AW209" s="4">
        <v>551</v>
      </c>
      <c r="AX209" s="10">
        <v>44</v>
      </c>
      <c r="AY209" s="10">
        <f t="shared" si="82"/>
        <v>497</v>
      </c>
      <c r="AZ209" s="10">
        <v>51</v>
      </c>
      <c r="BA209" s="10">
        <f t="shared" si="83"/>
        <v>500</v>
      </c>
      <c r="BB209" s="4">
        <f t="shared" si="77"/>
        <v>1092</v>
      </c>
    </row>
    <row r="210" spans="1:54" s="1" customFormat="1" x14ac:dyDescent="0.25">
      <c r="A210" s="9" t="str">
        <f t="shared" si="84"/>
        <v>70G</v>
      </c>
      <c r="B210" s="4">
        <v>70</v>
      </c>
      <c r="C210" s="4">
        <v>1</v>
      </c>
      <c r="D210" s="4" t="s">
        <v>117</v>
      </c>
      <c r="E210" s="4">
        <v>0</v>
      </c>
      <c r="F210" s="4">
        <v>1</v>
      </c>
      <c r="G210" s="4">
        <v>0</v>
      </c>
      <c r="H210" s="2" t="s">
        <v>500</v>
      </c>
      <c r="I210" s="2" t="s">
        <v>23</v>
      </c>
      <c r="J210" s="2" t="s">
        <v>203</v>
      </c>
      <c r="K210" s="4">
        <v>1</v>
      </c>
      <c r="L210" s="2" t="s">
        <v>499</v>
      </c>
      <c r="N210" s="4">
        <v>1</v>
      </c>
      <c r="O210" s="4">
        <v>4</v>
      </c>
      <c r="P210" s="20">
        <f t="shared" si="69"/>
        <v>0.2</v>
      </c>
      <c r="Q210" s="4">
        <v>2016</v>
      </c>
      <c r="R210" s="4" t="s">
        <v>112</v>
      </c>
      <c r="S210" s="4">
        <v>2013</v>
      </c>
      <c r="T210" s="12" t="s">
        <v>101</v>
      </c>
      <c r="U210" s="4">
        <v>0.245</v>
      </c>
      <c r="V210" s="4">
        <v>0.92</v>
      </c>
      <c r="W210" s="3">
        <v>0.89100000000000001</v>
      </c>
      <c r="X210" s="4">
        <v>53291.127689140565</v>
      </c>
      <c r="Y210" s="4">
        <v>0</v>
      </c>
      <c r="Z210" s="4">
        <v>0</v>
      </c>
      <c r="AA210" s="4">
        <v>0</v>
      </c>
      <c r="AB210" s="4" t="s">
        <v>207</v>
      </c>
      <c r="AC210" s="17" t="s">
        <v>495</v>
      </c>
      <c r="AD210" s="20">
        <v>0.222</v>
      </c>
      <c r="AE210" s="20">
        <v>0.77800000000000002</v>
      </c>
      <c r="AF210" s="10">
        <v>0</v>
      </c>
      <c r="AG210" s="4">
        <f t="shared" si="70"/>
        <v>0</v>
      </c>
      <c r="AH210" s="3">
        <f t="shared" si="71"/>
        <v>0</v>
      </c>
      <c r="AI210" s="4">
        <f t="shared" si="72"/>
        <v>0</v>
      </c>
      <c r="AJ210" s="4">
        <f t="shared" si="73"/>
        <v>0</v>
      </c>
      <c r="AK210" s="4">
        <f t="shared" si="74"/>
        <v>0</v>
      </c>
      <c r="AL210" s="4">
        <f t="shared" si="75"/>
        <v>0</v>
      </c>
      <c r="AM210" s="4">
        <f t="shared" si="76"/>
        <v>0</v>
      </c>
      <c r="AN210" s="4">
        <v>0</v>
      </c>
      <c r="AO210" s="4">
        <v>0</v>
      </c>
      <c r="AP210" s="4" t="s">
        <v>61</v>
      </c>
      <c r="AQ210" s="4" t="s">
        <v>97</v>
      </c>
      <c r="AR210" s="4">
        <v>1</v>
      </c>
      <c r="AS210" s="4" t="s">
        <v>495</v>
      </c>
      <c r="AT210" s="11">
        <f t="shared" si="80"/>
        <v>7.6005961251862889E-2</v>
      </c>
      <c r="AU210" s="4">
        <v>671</v>
      </c>
      <c r="AV210" s="11">
        <f t="shared" si="81"/>
        <v>3.5330261136712747E-2</v>
      </c>
      <c r="AW210" s="4">
        <v>651</v>
      </c>
      <c r="AX210" s="10">
        <v>51</v>
      </c>
      <c r="AY210" s="10">
        <f t="shared" si="82"/>
        <v>620</v>
      </c>
      <c r="AZ210" s="10">
        <v>23</v>
      </c>
      <c r="BA210" s="10">
        <f t="shared" si="83"/>
        <v>628</v>
      </c>
      <c r="BB210" s="4">
        <f t="shared" si="77"/>
        <v>1322</v>
      </c>
    </row>
    <row r="211" spans="1:54" s="1" customFormat="1" x14ac:dyDescent="0.25">
      <c r="A211" s="9" t="str">
        <f t="shared" si="84"/>
        <v>71A</v>
      </c>
      <c r="B211" s="3">
        <v>71</v>
      </c>
      <c r="C211" s="4">
        <v>1</v>
      </c>
      <c r="D211" s="3" t="s">
        <v>65</v>
      </c>
      <c r="E211" s="3">
        <v>1</v>
      </c>
      <c r="F211" s="3">
        <v>1</v>
      </c>
      <c r="G211" s="3">
        <v>0</v>
      </c>
      <c r="H211" s="1" t="s">
        <v>501</v>
      </c>
      <c r="I211" s="1" t="s">
        <v>502</v>
      </c>
      <c r="J211" s="1" t="s">
        <v>229</v>
      </c>
      <c r="K211" s="3">
        <v>1</v>
      </c>
      <c r="L211" s="1" t="s">
        <v>503</v>
      </c>
      <c r="M211" s="1" t="s">
        <v>504</v>
      </c>
      <c r="N211" s="3">
        <v>0</v>
      </c>
      <c r="O211" s="3">
        <v>1</v>
      </c>
      <c r="P211" s="19">
        <f t="shared" si="69"/>
        <v>0</v>
      </c>
      <c r="Q211" s="3">
        <v>2018</v>
      </c>
      <c r="R211" s="3">
        <v>2014</v>
      </c>
      <c r="S211" s="24">
        <v>2014</v>
      </c>
      <c r="T211" s="14" t="s">
        <v>101</v>
      </c>
      <c r="U211" s="3">
        <v>0.23499999999999999</v>
      </c>
      <c r="V211" s="3">
        <v>0.92</v>
      </c>
      <c r="W211" s="3">
        <v>0.89200000000000002</v>
      </c>
      <c r="X211" s="3">
        <v>55123.84978690464</v>
      </c>
      <c r="Y211" s="3">
        <v>0</v>
      </c>
      <c r="Z211" s="3">
        <v>1</v>
      </c>
      <c r="AA211" s="3">
        <v>0</v>
      </c>
      <c r="AB211" s="3" t="s">
        <v>207</v>
      </c>
      <c r="AC211" s="7" t="s">
        <v>697</v>
      </c>
      <c r="AD211" s="19">
        <v>0.38849</v>
      </c>
      <c r="AE211" s="19">
        <v>0.61151</v>
      </c>
      <c r="AF211" s="10">
        <v>2</v>
      </c>
      <c r="AG211" s="3">
        <f t="shared" si="70"/>
        <v>1</v>
      </c>
      <c r="AH211" s="3">
        <f t="shared" si="71"/>
        <v>0</v>
      </c>
      <c r="AI211" s="4">
        <f t="shared" si="72"/>
        <v>0</v>
      </c>
      <c r="AJ211" s="4">
        <f t="shared" si="73"/>
        <v>2</v>
      </c>
      <c r="AK211" s="4">
        <f t="shared" si="74"/>
        <v>1</v>
      </c>
      <c r="AL211" s="4">
        <f t="shared" si="75"/>
        <v>2</v>
      </c>
      <c r="AM211" s="4">
        <f t="shared" si="76"/>
        <v>1</v>
      </c>
      <c r="AN211" s="4">
        <v>0</v>
      </c>
      <c r="AO211" s="4">
        <v>0</v>
      </c>
      <c r="AP211" s="3" t="s">
        <v>233</v>
      </c>
      <c r="AQ211" s="3" t="s">
        <v>97</v>
      </c>
      <c r="AR211" s="3">
        <v>1</v>
      </c>
      <c r="AS211" s="3" t="s">
        <v>62</v>
      </c>
      <c r="AT211" s="16">
        <f t="shared" si="80"/>
        <v>0.20088495575221238</v>
      </c>
      <c r="AU211" s="3">
        <v>1130</v>
      </c>
      <c r="AV211" s="16">
        <f t="shared" si="81"/>
        <v>0.17345132743362832</v>
      </c>
      <c r="AW211" s="3">
        <v>1130</v>
      </c>
      <c r="AX211" s="8">
        <v>227</v>
      </c>
      <c r="AY211" s="8">
        <f t="shared" si="82"/>
        <v>903</v>
      </c>
      <c r="AZ211" s="8">
        <v>196</v>
      </c>
      <c r="BA211" s="8">
        <f t="shared" si="83"/>
        <v>934</v>
      </c>
      <c r="BB211" s="8">
        <f t="shared" si="77"/>
        <v>2260</v>
      </c>
    </row>
    <row r="212" spans="1:54" s="1" customFormat="1" x14ac:dyDescent="0.25">
      <c r="A212" s="9" t="str">
        <f t="shared" si="84"/>
        <v>72A</v>
      </c>
      <c r="B212" s="3">
        <v>72</v>
      </c>
      <c r="C212" s="3">
        <v>1</v>
      </c>
      <c r="D212" s="3" t="s">
        <v>65</v>
      </c>
      <c r="E212" s="3">
        <v>1</v>
      </c>
      <c r="F212" s="3">
        <v>0</v>
      </c>
      <c r="G212" s="3">
        <v>0</v>
      </c>
      <c r="H212" s="1" t="s">
        <v>518</v>
      </c>
      <c r="I212" s="1" t="s">
        <v>519</v>
      </c>
      <c r="J212" s="1" t="s">
        <v>203</v>
      </c>
      <c r="K212" s="3">
        <v>1</v>
      </c>
      <c r="L212" s="1" t="s">
        <v>517</v>
      </c>
      <c r="M212" s="1" t="s">
        <v>516</v>
      </c>
      <c r="N212" s="3">
        <v>1</v>
      </c>
      <c r="O212" s="3">
        <v>1</v>
      </c>
      <c r="P212" s="19">
        <f t="shared" si="69"/>
        <v>0.5</v>
      </c>
      <c r="Q212" s="3">
        <v>2020</v>
      </c>
      <c r="R212" s="3" t="s">
        <v>370</v>
      </c>
      <c r="S212" s="3">
        <v>2017</v>
      </c>
      <c r="T212" s="14" t="s">
        <v>515</v>
      </c>
      <c r="U212" s="16">
        <f>(0.084+0.045+0.048+0.078+0.131)/5</f>
        <v>7.7200000000000005E-2</v>
      </c>
      <c r="V212" s="16">
        <f>(0.945+0.939+0.962+0.901+0.929)/5</f>
        <v>0.93520000000000003</v>
      </c>
      <c r="W212" s="16">
        <f>(0.94+0.909+0.926+0.836+0.913)/5</f>
        <v>0.90480000000000005</v>
      </c>
      <c r="X212" s="4">
        <f>(44652.5891722719+48675.2223350213+75496.7540581998+28185.3213671969+40621.334478632)/5</f>
        <v>47526.244282264386</v>
      </c>
      <c r="Y212" s="3">
        <f>(0.08+0.079+0.124+0.074+0.046)/5</f>
        <v>8.0600000000000005E-2</v>
      </c>
      <c r="Z212" s="3">
        <v>0</v>
      </c>
      <c r="AA212" s="3">
        <v>0</v>
      </c>
      <c r="AB212" s="3" t="s">
        <v>207</v>
      </c>
      <c r="AC212" s="7" t="s">
        <v>61</v>
      </c>
      <c r="AD212" s="3"/>
      <c r="AE212" s="3"/>
      <c r="AF212" s="10">
        <v>2</v>
      </c>
      <c r="AG212" s="4">
        <f t="shared" si="70"/>
        <v>1</v>
      </c>
      <c r="AH212" s="3">
        <f t="shared" si="71"/>
        <v>2</v>
      </c>
      <c r="AI212" s="4">
        <f t="shared" si="72"/>
        <v>1</v>
      </c>
      <c r="AJ212" s="4">
        <f t="shared" si="73"/>
        <v>2</v>
      </c>
      <c r="AK212" s="4">
        <f t="shared" si="74"/>
        <v>1</v>
      </c>
      <c r="AL212" s="4">
        <f t="shared" si="75"/>
        <v>2</v>
      </c>
      <c r="AM212" s="4">
        <f t="shared" si="76"/>
        <v>1</v>
      </c>
      <c r="AN212" s="4">
        <v>0</v>
      </c>
      <c r="AO212" s="4">
        <v>0</v>
      </c>
      <c r="AP212" s="3" t="s">
        <v>61</v>
      </c>
      <c r="AQ212" s="3" t="s">
        <v>97</v>
      </c>
      <c r="AR212" s="3">
        <v>1</v>
      </c>
      <c r="AS212" s="3" t="s">
        <v>62</v>
      </c>
      <c r="AT212" s="16">
        <f t="shared" si="80"/>
        <v>0.33021393599212046</v>
      </c>
      <c r="AU212" s="3">
        <f>SUM(AU213:AU254)</f>
        <v>9722</v>
      </c>
      <c r="AV212" s="16">
        <f t="shared" si="81"/>
        <v>0.30171782068196978</v>
      </c>
      <c r="AW212" s="3">
        <f>SUM(AW213:AW254)</f>
        <v>9407</v>
      </c>
      <c r="AX212" s="8">
        <f>SUM(AX213:AX254)</f>
        <v>3210.3398857153952</v>
      </c>
      <c r="AY212" s="8">
        <f>SUM(AY213:AY254)</f>
        <v>6511.6601142846048</v>
      </c>
      <c r="AZ212" s="8">
        <f>SUM(AZ213:AZ254)</f>
        <v>2838.2595391552895</v>
      </c>
      <c r="BA212" s="8">
        <f>SUM(BA213:BA254)</f>
        <v>6568.7404608447105</v>
      </c>
      <c r="BB212" s="8">
        <f t="shared" si="77"/>
        <v>19129</v>
      </c>
    </row>
    <row r="213" spans="1:54" s="1" customFormat="1" x14ac:dyDescent="0.25">
      <c r="A213" s="9" t="str">
        <f t="shared" si="84"/>
        <v>72B</v>
      </c>
      <c r="B213" s="4">
        <v>72</v>
      </c>
      <c r="C213" s="4">
        <v>1</v>
      </c>
      <c r="D213" s="4" t="s">
        <v>66</v>
      </c>
      <c r="E213" s="4">
        <v>0</v>
      </c>
      <c r="F213" s="4">
        <v>1</v>
      </c>
      <c r="G213" s="4">
        <v>0</v>
      </c>
      <c r="H213" s="2" t="s">
        <v>518</v>
      </c>
      <c r="I213" s="2" t="s">
        <v>519</v>
      </c>
      <c r="J213" s="2" t="s">
        <v>203</v>
      </c>
      <c r="K213" s="4">
        <v>1</v>
      </c>
      <c r="L213" s="2" t="s">
        <v>517</v>
      </c>
      <c r="N213" s="4">
        <v>1</v>
      </c>
      <c r="O213" s="4">
        <v>1</v>
      </c>
      <c r="P213" s="20">
        <f t="shared" si="69"/>
        <v>0.5</v>
      </c>
      <c r="Q213" s="4">
        <v>2020</v>
      </c>
      <c r="R213" s="4" t="s">
        <v>370</v>
      </c>
      <c r="S213" s="4">
        <v>2017</v>
      </c>
      <c r="T213" s="4" t="s">
        <v>371</v>
      </c>
      <c r="U213" s="4">
        <v>8.4000000000000005E-2</v>
      </c>
      <c r="V213" s="4">
        <v>0.94499999999999995</v>
      </c>
      <c r="W213" s="4">
        <v>0.94</v>
      </c>
      <c r="X213" s="4">
        <v>44652.589172271859</v>
      </c>
      <c r="Y213" s="4">
        <v>0.08</v>
      </c>
      <c r="Z213" s="4">
        <v>0</v>
      </c>
      <c r="AA213" s="4">
        <v>0</v>
      </c>
      <c r="AB213" s="4" t="s">
        <v>207</v>
      </c>
      <c r="AC213" s="17" t="s">
        <v>505</v>
      </c>
      <c r="AD213" s="20">
        <v>0.43900889453621345</v>
      </c>
      <c r="AE213" s="20">
        <v>0.56099110546378661</v>
      </c>
      <c r="AF213" s="10">
        <v>1</v>
      </c>
      <c r="AG213" s="4">
        <f t="shared" si="70"/>
        <v>1</v>
      </c>
      <c r="AH213" s="3">
        <f t="shared" si="71"/>
        <v>2</v>
      </c>
      <c r="AI213" s="4">
        <f t="shared" si="72"/>
        <v>1</v>
      </c>
      <c r="AJ213" s="4">
        <f t="shared" si="73"/>
        <v>2</v>
      </c>
      <c r="AK213" s="4">
        <f t="shared" si="74"/>
        <v>1</v>
      </c>
      <c r="AL213" s="4">
        <f t="shared" si="75"/>
        <v>2</v>
      </c>
      <c r="AM213" s="4">
        <f t="shared" si="76"/>
        <v>1</v>
      </c>
      <c r="AN213" s="4">
        <v>0</v>
      </c>
      <c r="AO213" s="4">
        <v>0</v>
      </c>
      <c r="AP213" s="4" t="s">
        <v>233</v>
      </c>
      <c r="AQ213" s="4" t="s">
        <v>97</v>
      </c>
      <c r="AR213" s="4">
        <v>1</v>
      </c>
      <c r="AS213" s="4" t="s">
        <v>505</v>
      </c>
      <c r="AT213" s="11">
        <f t="shared" si="80"/>
        <v>0.65280127363611562</v>
      </c>
      <c r="AU213" s="4">
        <v>258</v>
      </c>
      <c r="AV213" s="11">
        <f t="shared" si="81"/>
        <v>0.62609588855705345</v>
      </c>
      <c r="AW213" s="4">
        <v>238</v>
      </c>
      <c r="AX213" s="10">
        <v>168.42272859811783</v>
      </c>
      <c r="AY213" s="10">
        <f t="shared" ref="AY213:AY256" si="85">AU213-AX213</f>
        <v>89.577271401882172</v>
      </c>
      <c r="AZ213" s="10">
        <v>149.01082147657871</v>
      </c>
      <c r="BA213" s="10">
        <f t="shared" ref="BA213:BA256" si="86">AW213-AZ213</f>
        <v>88.989178523421288</v>
      </c>
      <c r="BB213" s="4">
        <f t="shared" si="77"/>
        <v>496</v>
      </c>
    </row>
    <row r="214" spans="1:54" x14ac:dyDescent="0.25">
      <c r="A214" s="9" t="str">
        <f t="shared" si="84"/>
        <v>72C</v>
      </c>
      <c r="B214" s="4">
        <v>72</v>
      </c>
      <c r="C214" s="4">
        <v>1</v>
      </c>
      <c r="D214" s="4" t="s">
        <v>67</v>
      </c>
      <c r="E214" s="4">
        <v>0</v>
      </c>
      <c r="F214" s="4">
        <v>1</v>
      </c>
      <c r="G214" s="4">
        <v>0</v>
      </c>
      <c r="H214" s="2" t="s">
        <v>518</v>
      </c>
      <c r="I214" s="2" t="s">
        <v>519</v>
      </c>
      <c r="J214" s="2" t="s">
        <v>203</v>
      </c>
      <c r="K214" s="4">
        <v>1</v>
      </c>
      <c r="L214" s="2" t="s">
        <v>517</v>
      </c>
      <c r="M214" s="1"/>
      <c r="N214" s="4">
        <v>1</v>
      </c>
      <c r="O214" s="4">
        <v>1</v>
      </c>
      <c r="P214" s="20">
        <f t="shared" si="69"/>
        <v>0.5</v>
      </c>
      <c r="Q214" s="4">
        <v>2020</v>
      </c>
      <c r="R214" s="4" t="s">
        <v>370</v>
      </c>
      <c r="S214" s="4">
        <v>2017</v>
      </c>
      <c r="T214" s="4" t="s">
        <v>371</v>
      </c>
      <c r="U214" s="4">
        <v>8.4000000000000005E-2</v>
      </c>
      <c r="V214" s="4">
        <v>0.94499999999999995</v>
      </c>
      <c r="W214" s="4">
        <v>0.94</v>
      </c>
      <c r="X214" s="4">
        <v>44652.589172271859</v>
      </c>
      <c r="Y214" s="4">
        <v>0.08</v>
      </c>
      <c r="Z214" s="4">
        <v>0</v>
      </c>
      <c r="AA214" s="4">
        <v>0</v>
      </c>
      <c r="AB214" s="4" t="s">
        <v>207</v>
      </c>
      <c r="AC214" s="17" t="s">
        <v>506</v>
      </c>
      <c r="AD214" s="20">
        <v>0.31133671742808799</v>
      </c>
      <c r="AE214" s="20">
        <v>0.68866328257191201</v>
      </c>
      <c r="AF214" s="10">
        <v>0</v>
      </c>
      <c r="AG214" s="4">
        <f t="shared" si="70"/>
        <v>0</v>
      </c>
      <c r="AH214" s="3">
        <f t="shared" si="71"/>
        <v>0</v>
      </c>
      <c r="AI214" s="4">
        <f t="shared" si="72"/>
        <v>0</v>
      </c>
      <c r="AJ214" s="4">
        <f t="shared" si="73"/>
        <v>0</v>
      </c>
      <c r="AK214" s="4">
        <f t="shared" si="74"/>
        <v>0</v>
      </c>
      <c r="AL214" s="4">
        <f t="shared" si="75"/>
        <v>2</v>
      </c>
      <c r="AM214" s="4">
        <f t="shared" si="76"/>
        <v>1</v>
      </c>
      <c r="AN214" s="4">
        <v>0</v>
      </c>
      <c r="AO214" s="4">
        <v>0</v>
      </c>
      <c r="AP214" s="4" t="s">
        <v>233</v>
      </c>
      <c r="AQ214" s="4" t="s">
        <v>97</v>
      </c>
      <c r="AR214" s="4">
        <v>1</v>
      </c>
      <c r="AS214" s="4" t="s">
        <v>506</v>
      </c>
      <c r="AT214" s="11">
        <f t="shared" si="80"/>
        <v>0.62598425689644699</v>
      </c>
      <c r="AU214" s="4">
        <v>127</v>
      </c>
      <c r="AV214" s="11">
        <f t="shared" si="81"/>
        <v>0.65095766489544227</v>
      </c>
      <c r="AW214" s="4">
        <v>124</v>
      </c>
      <c r="AX214" s="10">
        <v>79.50000062584877</v>
      </c>
      <c r="AY214" s="10">
        <f t="shared" si="85"/>
        <v>47.49999937415123</v>
      </c>
      <c r="AZ214" s="10">
        <v>80.718750447034836</v>
      </c>
      <c r="BA214" s="10">
        <f t="shared" si="86"/>
        <v>43.281249552965164</v>
      </c>
      <c r="BB214" s="4">
        <f t="shared" si="77"/>
        <v>251</v>
      </c>
    </row>
    <row r="215" spans="1:54" x14ac:dyDescent="0.25">
      <c r="A215" s="9" t="str">
        <f t="shared" si="84"/>
        <v>72D</v>
      </c>
      <c r="B215" s="4">
        <v>72</v>
      </c>
      <c r="C215" s="4">
        <v>1</v>
      </c>
      <c r="D215" s="4" t="s">
        <v>68</v>
      </c>
      <c r="E215" s="4">
        <v>0</v>
      </c>
      <c r="F215" s="4">
        <v>1</v>
      </c>
      <c r="G215" s="4">
        <v>0</v>
      </c>
      <c r="H215" s="2" t="s">
        <v>518</v>
      </c>
      <c r="I215" s="2" t="s">
        <v>519</v>
      </c>
      <c r="J215" s="2" t="s">
        <v>203</v>
      </c>
      <c r="K215" s="4">
        <v>1</v>
      </c>
      <c r="L215" s="2" t="s">
        <v>517</v>
      </c>
      <c r="M215" s="1"/>
      <c r="N215" s="4">
        <v>1</v>
      </c>
      <c r="O215" s="4">
        <v>1</v>
      </c>
      <c r="P215" s="20">
        <f t="shared" si="69"/>
        <v>0.5</v>
      </c>
      <c r="Q215" s="4">
        <v>2020</v>
      </c>
      <c r="R215" s="4" t="s">
        <v>370</v>
      </c>
      <c r="S215" s="4">
        <v>2017</v>
      </c>
      <c r="T215" s="4" t="s">
        <v>371</v>
      </c>
      <c r="U215" s="4">
        <v>8.4000000000000005E-2</v>
      </c>
      <c r="V215" s="4">
        <v>0.94499999999999995</v>
      </c>
      <c r="W215" s="4">
        <v>0.94</v>
      </c>
      <c r="X215" s="4">
        <v>44652.589172271859</v>
      </c>
      <c r="Y215" s="4">
        <v>0.08</v>
      </c>
      <c r="Z215" s="4">
        <v>0</v>
      </c>
      <c r="AA215" s="4">
        <v>0</v>
      </c>
      <c r="AB215" s="4" t="s">
        <v>207</v>
      </c>
      <c r="AC215" s="17" t="s">
        <v>507</v>
      </c>
      <c r="AD215" s="20">
        <v>0.34916451721430974</v>
      </c>
      <c r="AE215" s="20">
        <v>0.65083548278569026</v>
      </c>
      <c r="AF215" s="10">
        <v>0</v>
      </c>
      <c r="AG215" s="4">
        <f t="shared" si="70"/>
        <v>0</v>
      </c>
      <c r="AH215" s="3">
        <f t="shared" si="71"/>
        <v>0</v>
      </c>
      <c r="AI215" s="4">
        <f t="shared" si="72"/>
        <v>0</v>
      </c>
      <c r="AJ215" s="4">
        <f t="shared" si="73"/>
        <v>0</v>
      </c>
      <c r="AK215" s="4">
        <f t="shared" si="74"/>
        <v>0</v>
      </c>
      <c r="AL215" s="4">
        <f t="shared" si="75"/>
        <v>2</v>
      </c>
      <c r="AM215" s="4">
        <f t="shared" si="76"/>
        <v>1</v>
      </c>
      <c r="AN215" s="4">
        <v>0</v>
      </c>
      <c r="AO215" s="4">
        <v>0</v>
      </c>
      <c r="AP215" s="4" t="s">
        <v>233</v>
      </c>
      <c r="AQ215" s="4" t="s">
        <v>97</v>
      </c>
      <c r="AR215" s="4">
        <v>1</v>
      </c>
      <c r="AS215" s="4" t="s">
        <v>507</v>
      </c>
      <c r="AT215" s="11">
        <f t="shared" si="80"/>
        <v>0.22567359928177436</v>
      </c>
      <c r="AU215" s="4">
        <v>247</v>
      </c>
      <c r="AV215" s="11">
        <f t="shared" si="81"/>
        <v>0.11994368703704578</v>
      </c>
      <c r="AW215" s="4">
        <v>253</v>
      </c>
      <c r="AX215" s="10">
        <v>55.741379022598267</v>
      </c>
      <c r="AY215" s="10">
        <f t="shared" si="85"/>
        <v>191.25862097740173</v>
      </c>
      <c r="AZ215" s="10">
        <v>30.345752820372581</v>
      </c>
      <c r="BA215" s="10">
        <f t="shared" si="86"/>
        <v>222.65424717962742</v>
      </c>
      <c r="BB215" s="4">
        <f t="shared" si="77"/>
        <v>500</v>
      </c>
    </row>
    <row r="216" spans="1:54" x14ac:dyDescent="0.25">
      <c r="A216" s="9" t="str">
        <f t="shared" si="84"/>
        <v>72E</v>
      </c>
      <c r="B216" s="4">
        <v>72</v>
      </c>
      <c r="C216" s="4">
        <v>1</v>
      </c>
      <c r="D216" s="4" t="s">
        <v>102</v>
      </c>
      <c r="E216" s="4">
        <v>0</v>
      </c>
      <c r="F216" s="4">
        <v>1</v>
      </c>
      <c r="G216" s="4">
        <v>0</v>
      </c>
      <c r="H216" s="2" t="s">
        <v>518</v>
      </c>
      <c r="I216" s="2" t="s">
        <v>519</v>
      </c>
      <c r="J216" s="2" t="s">
        <v>203</v>
      </c>
      <c r="K216" s="4">
        <v>1</v>
      </c>
      <c r="L216" s="2" t="s">
        <v>517</v>
      </c>
      <c r="M216" s="1"/>
      <c r="N216" s="4">
        <v>1</v>
      </c>
      <c r="O216" s="4">
        <v>1</v>
      </c>
      <c r="P216" s="20">
        <f t="shared" si="69"/>
        <v>0.5</v>
      </c>
      <c r="Q216" s="4">
        <v>2020</v>
      </c>
      <c r="R216" s="4" t="s">
        <v>370</v>
      </c>
      <c r="S216" s="4">
        <v>2017</v>
      </c>
      <c r="T216" s="4" t="s">
        <v>371</v>
      </c>
      <c r="U216" s="4">
        <v>8.4000000000000005E-2</v>
      </c>
      <c r="V216" s="4">
        <v>0.94499999999999995</v>
      </c>
      <c r="W216" s="4">
        <v>0.94</v>
      </c>
      <c r="X216" s="4">
        <v>44652.589172271859</v>
      </c>
      <c r="Y216" s="4">
        <v>0.08</v>
      </c>
      <c r="Z216" s="4">
        <v>0</v>
      </c>
      <c r="AA216" s="4">
        <v>0</v>
      </c>
      <c r="AB216" s="4" t="s">
        <v>207</v>
      </c>
      <c r="AC216" s="17" t="s">
        <v>324</v>
      </c>
      <c r="AD216" s="20">
        <v>0.31133671742808799</v>
      </c>
      <c r="AE216" s="20">
        <v>0.68866328257191201</v>
      </c>
      <c r="AF216" s="10">
        <v>0</v>
      </c>
      <c r="AG216" s="4">
        <f t="shared" si="70"/>
        <v>0</v>
      </c>
      <c r="AH216" s="3">
        <f t="shared" si="71"/>
        <v>0</v>
      </c>
      <c r="AI216" s="4">
        <f t="shared" si="72"/>
        <v>0</v>
      </c>
      <c r="AJ216" s="4">
        <f t="shared" si="73"/>
        <v>0</v>
      </c>
      <c r="AK216" s="4">
        <f t="shared" si="74"/>
        <v>0</v>
      </c>
      <c r="AL216" s="4">
        <f t="shared" si="75"/>
        <v>2</v>
      </c>
      <c r="AM216" s="4">
        <f t="shared" si="76"/>
        <v>1</v>
      </c>
      <c r="AN216" s="4">
        <v>0</v>
      </c>
      <c r="AO216" s="4">
        <v>0</v>
      </c>
      <c r="AP216" s="4" t="s">
        <v>233</v>
      </c>
      <c r="AQ216" s="4" t="s">
        <v>97</v>
      </c>
      <c r="AR216" s="4">
        <v>1</v>
      </c>
      <c r="AS216" s="4" t="s">
        <v>324</v>
      </c>
      <c r="AT216" s="11">
        <f t="shared" si="80"/>
        <v>0.66370852024604876</v>
      </c>
      <c r="AU216" s="4">
        <v>240</v>
      </c>
      <c r="AV216" s="11">
        <f t="shared" si="81"/>
        <v>0.55790197907939676</v>
      </c>
      <c r="AW216" s="4">
        <v>254</v>
      </c>
      <c r="AX216" s="10">
        <v>159.2900448590517</v>
      </c>
      <c r="AY216" s="10">
        <f t="shared" si="85"/>
        <v>80.709955140948296</v>
      </c>
      <c r="AZ216" s="10">
        <v>141.70710268616676</v>
      </c>
      <c r="BA216" s="10">
        <f t="shared" si="86"/>
        <v>112.29289731383324</v>
      </c>
      <c r="BB216" s="4">
        <f t="shared" si="77"/>
        <v>494</v>
      </c>
    </row>
    <row r="217" spans="1:54" x14ac:dyDescent="0.25">
      <c r="A217" s="9" t="str">
        <f t="shared" si="84"/>
        <v>72F</v>
      </c>
      <c r="B217" s="4">
        <v>72</v>
      </c>
      <c r="C217" s="4">
        <v>1</v>
      </c>
      <c r="D217" s="4" t="s">
        <v>116</v>
      </c>
      <c r="E217" s="4">
        <v>0</v>
      </c>
      <c r="F217" s="4">
        <v>1</v>
      </c>
      <c r="G217" s="4">
        <v>0</v>
      </c>
      <c r="H217" s="2" t="s">
        <v>518</v>
      </c>
      <c r="I217" s="2" t="s">
        <v>519</v>
      </c>
      <c r="J217" s="2" t="s">
        <v>203</v>
      </c>
      <c r="K217" s="4">
        <v>1</v>
      </c>
      <c r="L217" s="2" t="s">
        <v>517</v>
      </c>
      <c r="M217" s="1"/>
      <c r="N217" s="4">
        <v>1</v>
      </c>
      <c r="O217" s="4">
        <v>1</v>
      </c>
      <c r="P217" s="20">
        <f t="shared" si="69"/>
        <v>0.5</v>
      </c>
      <c r="Q217" s="4">
        <v>2020</v>
      </c>
      <c r="R217" s="4" t="s">
        <v>370</v>
      </c>
      <c r="S217" s="4">
        <v>2017</v>
      </c>
      <c r="T217" s="4" t="s">
        <v>371</v>
      </c>
      <c r="U217" s="4">
        <v>8.4000000000000005E-2</v>
      </c>
      <c r="V217" s="4">
        <v>0.94499999999999995</v>
      </c>
      <c r="W217" s="4">
        <v>0.94</v>
      </c>
      <c r="X217" s="4">
        <v>44652.589172271859</v>
      </c>
      <c r="Y217" s="4">
        <v>0.08</v>
      </c>
      <c r="Z217" s="4">
        <v>0</v>
      </c>
      <c r="AA217" s="4">
        <v>0</v>
      </c>
      <c r="AB217" s="4" t="s">
        <v>207</v>
      </c>
      <c r="AC217" s="17" t="s">
        <v>508</v>
      </c>
      <c r="AD217" s="20">
        <v>0.49716543549218345</v>
      </c>
      <c r="AE217" s="20">
        <v>0.50283456450781649</v>
      </c>
      <c r="AF217" s="10">
        <v>2</v>
      </c>
      <c r="AG217" s="4">
        <f t="shared" si="70"/>
        <v>1</v>
      </c>
      <c r="AH217" s="3">
        <f t="shared" si="71"/>
        <v>2</v>
      </c>
      <c r="AI217" s="4">
        <f t="shared" si="72"/>
        <v>1</v>
      </c>
      <c r="AJ217" s="4">
        <f t="shared" si="73"/>
        <v>2</v>
      </c>
      <c r="AK217" s="4">
        <f t="shared" si="74"/>
        <v>1</v>
      </c>
      <c r="AL217" s="4">
        <f t="shared" si="75"/>
        <v>2</v>
      </c>
      <c r="AM217" s="4">
        <f t="shared" si="76"/>
        <v>1</v>
      </c>
      <c r="AN217" s="4">
        <v>0</v>
      </c>
      <c r="AO217" s="4">
        <v>0</v>
      </c>
      <c r="AP217" s="4" t="s">
        <v>100</v>
      </c>
      <c r="AQ217" s="4" t="s">
        <v>97</v>
      </c>
      <c r="AR217" s="4">
        <v>1</v>
      </c>
      <c r="AS217" s="4" t="s">
        <v>508</v>
      </c>
      <c r="AT217" s="11">
        <f t="shared" si="80"/>
        <v>0.39521285717773774</v>
      </c>
      <c r="AU217" s="4">
        <v>283</v>
      </c>
      <c r="AV217" s="11">
        <f t="shared" si="81"/>
        <v>0.3734342660142782</v>
      </c>
      <c r="AW217" s="4">
        <v>213</v>
      </c>
      <c r="AX217" s="10">
        <v>111.84523858129978</v>
      </c>
      <c r="AY217" s="10">
        <f t="shared" si="85"/>
        <v>171.15476141870022</v>
      </c>
      <c r="AZ217" s="10">
        <v>79.54149866104126</v>
      </c>
      <c r="BA217" s="10">
        <f t="shared" si="86"/>
        <v>133.45850133895874</v>
      </c>
      <c r="BB217" s="4">
        <f t="shared" si="77"/>
        <v>496</v>
      </c>
    </row>
    <row r="218" spans="1:54" s="1" customFormat="1" x14ac:dyDescent="0.25">
      <c r="A218" s="9" t="str">
        <f t="shared" si="84"/>
        <v>72G</v>
      </c>
      <c r="B218" s="4">
        <v>72</v>
      </c>
      <c r="C218" s="4">
        <v>1</v>
      </c>
      <c r="D218" s="4" t="s">
        <v>117</v>
      </c>
      <c r="E218" s="4">
        <v>0</v>
      </c>
      <c r="F218" s="4">
        <v>1</v>
      </c>
      <c r="G218" s="4">
        <v>0</v>
      </c>
      <c r="H218" s="2" t="s">
        <v>518</v>
      </c>
      <c r="I218" s="2" t="s">
        <v>519</v>
      </c>
      <c r="J218" s="2" t="s">
        <v>203</v>
      </c>
      <c r="K218" s="4">
        <v>1</v>
      </c>
      <c r="L218" s="2" t="s">
        <v>517</v>
      </c>
      <c r="N218" s="4">
        <v>1</v>
      </c>
      <c r="O218" s="4">
        <v>1</v>
      </c>
      <c r="P218" s="20">
        <f t="shared" si="69"/>
        <v>0.5</v>
      </c>
      <c r="Q218" s="4">
        <v>2020</v>
      </c>
      <c r="R218" s="4" t="s">
        <v>370</v>
      </c>
      <c r="S218" s="4">
        <v>2017</v>
      </c>
      <c r="T218" s="4" t="s">
        <v>371</v>
      </c>
      <c r="U218" s="4">
        <v>8.4000000000000005E-2</v>
      </c>
      <c r="V218" s="4">
        <v>0.94499999999999995</v>
      </c>
      <c r="W218" s="4">
        <v>0.94</v>
      </c>
      <c r="X218" s="4">
        <v>44652.589172271859</v>
      </c>
      <c r="Y218" s="4">
        <v>0.08</v>
      </c>
      <c r="Z218" s="4">
        <v>0</v>
      </c>
      <c r="AA218" s="4">
        <v>0</v>
      </c>
      <c r="AB218" s="4" t="s">
        <v>207</v>
      </c>
      <c r="AC218" s="17" t="s">
        <v>509</v>
      </c>
      <c r="AD218" s="20">
        <v>0.67482241515390684</v>
      </c>
      <c r="AE218" s="20">
        <v>0.32517758484609316</v>
      </c>
      <c r="AF218" s="10">
        <v>1</v>
      </c>
      <c r="AG218" s="4">
        <f t="shared" si="70"/>
        <v>1</v>
      </c>
      <c r="AH218" s="3">
        <f t="shared" si="71"/>
        <v>1</v>
      </c>
      <c r="AI218" s="4">
        <f t="shared" si="72"/>
        <v>1</v>
      </c>
      <c r="AJ218" s="4">
        <f t="shared" si="73"/>
        <v>1</v>
      </c>
      <c r="AK218" s="4">
        <f t="shared" si="74"/>
        <v>1</v>
      </c>
      <c r="AL218" s="4">
        <f t="shared" si="75"/>
        <v>2</v>
      </c>
      <c r="AM218" s="4">
        <f t="shared" si="76"/>
        <v>1</v>
      </c>
      <c r="AN218" s="4">
        <v>0</v>
      </c>
      <c r="AO218" s="4">
        <v>0</v>
      </c>
      <c r="AP218" s="4" t="s">
        <v>100</v>
      </c>
      <c r="AQ218" s="4" t="s">
        <v>97</v>
      </c>
      <c r="AR218" s="4">
        <v>1</v>
      </c>
      <c r="AS218" s="4" t="s">
        <v>509</v>
      </c>
      <c r="AT218" s="11">
        <f t="shared" si="80"/>
        <v>0.69677870776973849</v>
      </c>
      <c r="AU218" s="4">
        <v>238</v>
      </c>
      <c r="AV218" s="11">
        <f t="shared" si="81"/>
        <v>0.67269485970261478</v>
      </c>
      <c r="AW218" s="4">
        <v>259</v>
      </c>
      <c r="AX218" s="10">
        <v>165.83333244919777</v>
      </c>
      <c r="AY218" s="10">
        <f t="shared" si="85"/>
        <v>72.166667550802231</v>
      </c>
      <c r="AZ218" s="10">
        <v>174.22796866297722</v>
      </c>
      <c r="BA218" s="10">
        <f t="shared" si="86"/>
        <v>84.772031337022781</v>
      </c>
      <c r="BB218" s="4">
        <f t="shared" si="77"/>
        <v>497</v>
      </c>
    </row>
    <row r="219" spans="1:54" x14ac:dyDescent="0.25">
      <c r="A219" s="9" t="str">
        <f t="shared" si="84"/>
        <v>72H</v>
      </c>
      <c r="B219" s="4">
        <v>72</v>
      </c>
      <c r="C219" s="4">
        <v>1</v>
      </c>
      <c r="D219" s="4" t="s">
        <v>118</v>
      </c>
      <c r="E219" s="4">
        <v>0</v>
      </c>
      <c r="F219" s="4">
        <v>1</v>
      </c>
      <c r="G219" s="4">
        <v>0</v>
      </c>
      <c r="H219" s="2" t="s">
        <v>518</v>
      </c>
      <c r="I219" s="2" t="s">
        <v>519</v>
      </c>
      <c r="J219" s="2" t="s">
        <v>203</v>
      </c>
      <c r="K219" s="4">
        <v>1</v>
      </c>
      <c r="L219" s="2" t="s">
        <v>517</v>
      </c>
      <c r="M219" s="1"/>
      <c r="N219" s="4">
        <v>1</v>
      </c>
      <c r="O219" s="4">
        <v>1</v>
      </c>
      <c r="P219" s="20">
        <f t="shared" si="69"/>
        <v>0.5</v>
      </c>
      <c r="Q219" s="4">
        <v>2020</v>
      </c>
      <c r="R219" s="4" t="s">
        <v>370</v>
      </c>
      <c r="S219" s="4">
        <v>2017</v>
      </c>
      <c r="T219" s="4" t="s">
        <v>371</v>
      </c>
      <c r="U219" s="4">
        <v>8.4000000000000005E-2</v>
      </c>
      <c r="V219" s="4">
        <v>0.94499999999999995</v>
      </c>
      <c r="W219" s="4">
        <v>0.94</v>
      </c>
      <c r="X219" s="4">
        <f>44652.5891722719</f>
        <v>44652.589172271902</v>
      </c>
      <c r="Y219" s="4">
        <v>0.08</v>
      </c>
      <c r="Z219" s="4">
        <v>0</v>
      </c>
      <c r="AA219" s="4">
        <v>0</v>
      </c>
      <c r="AB219" s="4" t="s">
        <v>207</v>
      </c>
      <c r="AC219" s="17" t="s">
        <v>510</v>
      </c>
      <c r="AD219" s="20">
        <v>0.49716543549218345</v>
      </c>
      <c r="AE219" s="20">
        <v>0.50283456450781649</v>
      </c>
      <c r="AF219" s="10">
        <v>2</v>
      </c>
      <c r="AG219" s="4">
        <f t="shared" si="70"/>
        <v>1</v>
      </c>
      <c r="AH219" s="3">
        <f t="shared" si="71"/>
        <v>2</v>
      </c>
      <c r="AI219" s="4">
        <f t="shared" si="72"/>
        <v>1</v>
      </c>
      <c r="AJ219" s="4">
        <f t="shared" si="73"/>
        <v>2</v>
      </c>
      <c r="AK219" s="4">
        <f t="shared" si="74"/>
        <v>1</v>
      </c>
      <c r="AL219" s="4">
        <f t="shared" si="75"/>
        <v>2</v>
      </c>
      <c r="AM219" s="4">
        <f t="shared" si="76"/>
        <v>1</v>
      </c>
      <c r="AN219" s="4">
        <v>0</v>
      </c>
      <c r="AO219" s="4">
        <v>0</v>
      </c>
      <c r="AP219" s="4" t="s">
        <v>233</v>
      </c>
      <c r="AQ219" s="4" t="s">
        <v>97</v>
      </c>
      <c r="AR219" s="4">
        <v>1</v>
      </c>
      <c r="AS219" s="4" t="s">
        <v>510</v>
      </c>
      <c r="AT219" s="11">
        <f t="shared" si="80"/>
        <v>0.35697974330450155</v>
      </c>
      <c r="AU219" s="4">
        <v>249</v>
      </c>
      <c r="AV219" s="11">
        <f t="shared" si="81"/>
        <v>0.24595861202217192</v>
      </c>
      <c r="AW219" s="4">
        <v>251</v>
      </c>
      <c r="AX219" s="10">
        <v>88.887956082820892</v>
      </c>
      <c r="AY219" s="10">
        <f t="shared" si="85"/>
        <v>160.11204391717911</v>
      </c>
      <c r="AZ219" s="10">
        <v>61.735611617565155</v>
      </c>
      <c r="BA219" s="10">
        <f t="shared" si="86"/>
        <v>189.26438838243484</v>
      </c>
      <c r="BB219" s="4">
        <f t="shared" si="77"/>
        <v>500</v>
      </c>
    </row>
    <row r="220" spans="1:54" x14ac:dyDescent="0.25">
      <c r="A220" s="9" t="str">
        <f t="shared" si="84"/>
        <v>72I</v>
      </c>
      <c r="B220" s="4">
        <v>72</v>
      </c>
      <c r="C220" s="4">
        <v>1</v>
      </c>
      <c r="D220" s="4" t="s">
        <v>119</v>
      </c>
      <c r="E220" s="4">
        <v>0</v>
      </c>
      <c r="F220" s="4">
        <v>1</v>
      </c>
      <c r="G220" s="4">
        <v>0</v>
      </c>
      <c r="H220" s="2" t="s">
        <v>518</v>
      </c>
      <c r="I220" s="2" t="s">
        <v>519</v>
      </c>
      <c r="J220" s="2" t="s">
        <v>203</v>
      </c>
      <c r="K220" s="4">
        <v>1</v>
      </c>
      <c r="L220" s="2" t="s">
        <v>517</v>
      </c>
      <c r="M220" s="1"/>
      <c r="N220" s="4">
        <v>1</v>
      </c>
      <c r="O220" s="4">
        <v>1</v>
      </c>
      <c r="P220" s="20">
        <f t="shared" si="69"/>
        <v>0.5</v>
      </c>
      <c r="Q220" s="4">
        <v>2020</v>
      </c>
      <c r="R220" s="4" t="s">
        <v>370</v>
      </c>
      <c r="S220" s="4">
        <v>2017</v>
      </c>
      <c r="T220" s="4" t="s">
        <v>272</v>
      </c>
      <c r="U220" s="4">
        <v>4.4999999999999998E-2</v>
      </c>
      <c r="V220" s="4">
        <v>0.93899999999999995</v>
      </c>
      <c r="W220" s="4">
        <v>0.90900000000000003</v>
      </c>
      <c r="X220" s="4">
        <v>48675.222335021303</v>
      </c>
      <c r="Y220" s="4">
        <v>7.9000000000000001E-2</v>
      </c>
      <c r="Z220" s="4">
        <v>0</v>
      </c>
      <c r="AA220" s="4">
        <v>0</v>
      </c>
      <c r="AB220" s="4" t="s">
        <v>207</v>
      </c>
      <c r="AC220" s="17" t="s">
        <v>511</v>
      </c>
      <c r="AD220" s="20">
        <v>0.8571428571428571</v>
      </c>
      <c r="AE220" s="20">
        <v>0.1428571428571429</v>
      </c>
      <c r="AF220" s="10">
        <v>1</v>
      </c>
      <c r="AG220" s="4">
        <f t="shared" si="70"/>
        <v>1</v>
      </c>
      <c r="AH220" s="3">
        <f t="shared" si="71"/>
        <v>1</v>
      </c>
      <c r="AI220" s="4">
        <f t="shared" si="72"/>
        <v>1</v>
      </c>
      <c r="AJ220" s="4">
        <f t="shared" si="73"/>
        <v>1</v>
      </c>
      <c r="AK220" s="4">
        <f t="shared" si="74"/>
        <v>1</v>
      </c>
      <c r="AL220" s="4">
        <f t="shared" si="75"/>
        <v>1</v>
      </c>
      <c r="AM220" s="4">
        <f t="shared" si="76"/>
        <v>1</v>
      </c>
      <c r="AN220" s="4">
        <v>1</v>
      </c>
      <c r="AO220" s="4">
        <v>0</v>
      </c>
      <c r="AP220" s="4" t="s">
        <v>233</v>
      </c>
      <c r="AQ220" s="4" t="s">
        <v>97</v>
      </c>
      <c r="AR220" s="4">
        <v>1</v>
      </c>
      <c r="AS220" s="4" t="s">
        <v>511</v>
      </c>
      <c r="AT220" s="11">
        <f t="shared" si="80"/>
        <v>0.4024390242085224</v>
      </c>
      <c r="AU220" s="4">
        <v>82</v>
      </c>
      <c r="AV220" s="11">
        <f t="shared" si="81"/>
        <v>0.62403101352758183</v>
      </c>
      <c r="AW220" s="4">
        <v>86</v>
      </c>
      <c r="AX220" s="10">
        <v>32.999999985098839</v>
      </c>
      <c r="AY220" s="10">
        <f t="shared" si="85"/>
        <v>49.000000014901161</v>
      </c>
      <c r="AZ220" s="10">
        <v>53.66666716337204</v>
      </c>
      <c r="BA220" s="10">
        <f t="shared" si="86"/>
        <v>32.33333283662796</v>
      </c>
      <c r="BB220" s="4">
        <f t="shared" si="77"/>
        <v>168</v>
      </c>
    </row>
    <row r="221" spans="1:54" x14ac:dyDescent="0.25">
      <c r="A221" s="9" t="str">
        <f t="shared" si="84"/>
        <v>72J</v>
      </c>
      <c r="B221" s="4">
        <v>72</v>
      </c>
      <c r="C221" s="4">
        <v>1</v>
      </c>
      <c r="D221" s="4" t="s">
        <v>169</v>
      </c>
      <c r="E221" s="4">
        <v>0</v>
      </c>
      <c r="F221" s="4">
        <v>1</v>
      </c>
      <c r="G221" s="4">
        <v>0</v>
      </c>
      <c r="H221" s="2" t="s">
        <v>518</v>
      </c>
      <c r="I221" s="2" t="s">
        <v>519</v>
      </c>
      <c r="J221" s="2" t="s">
        <v>203</v>
      </c>
      <c r="K221" s="4">
        <v>1</v>
      </c>
      <c r="L221" s="2" t="s">
        <v>517</v>
      </c>
      <c r="M221" s="1"/>
      <c r="N221" s="4">
        <v>1</v>
      </c>
      <c r="O221" s="4">
        <v>1</v>
      </c>
      <c r="P221" s="20">
        <f t="shared" si="69"/>
        <v>0.5</v>
      </c>
      <c r="Q221" s="4">
        <v>2020</v>
      </c>
      <c r="R221" s="4" t="s">
        <v>370</v>
      </c>
      <c r="S221" s="4">
        <v>2017</v>
      </c>
      <c r="T221" s="4" t="s">
        <v>272</v>
      </c>
      <c r="U221" s="4">
        <v>4.4999999999999998E-2</v>
      </c>
      <c r="V221" s="4">
        <v>0.93899999999999995</v>
      </c>
      <c r="W221" s="4">
        <v>0.90900000000000003</v>
      </c>
      <c r="X221" s="4">
        <v>48675.222335021303</v>
      </c>
      <c r="Y221" s="4">
        <v>7.9000000000000001E-2</v>
      </c>
      <c r="Z221" s="4">
        <v>0</v>
      </c>
      <c r="AA221" s="4">
        <v>0</v>
      </c>
      <c r="AB221" s="4" t="s">
        <v>207</v>
      </c>
      <c r="AC221" s="17" t="s">
        <v>505</v>
      </c>
      <c r="AD221" s="20">
        <v>0.50348027842227383</v>
      </c>
      <c r="AE221" s="20">
        <v>0.49651972157772617</v>
      </c>
      <c r="AF221" s="10">
        <v>1</v>
      </c>
      <c r="AG221" s="4">
        <f t="shared" si="70"/>
        <v>1</v>
      </c>
      <c r="AH221" s="3">
        <f t="shared" si="71"/>
        <v>2</v>
      </c>
      <c r="AI221" s="4">
        <f t="shared" si="72"/>
        <v>1</v>
      </c>
      <c r="AJ221" s="4">
        <f t="shared" si="73"/>
        <v>2</v>
      </c>
      <c r="AK221" s="4">
        <f t="shared" si="74"/>
        <v>1</v>
      </c>
      <c r="AL221" s="4">
        <f t="shared" si="75"/>
        <v>2</v>
      </c>
      <c r="AM221" s="4">
        <f t="shared" si="76"/>
        <v>1</v>
      </c>
      <c r="AN221" s="4">
        <v>0</v>
      </c>
      <c r="AO221" s="4">
        <v>0</v>
      </c>
      <c r="AP221" s="4" t="s">
        <v>233</v>
      </c>
      <c r="AQ221" s="4" t="s">
        <v>97</v>
      </c>
      <c r="AR221" s="4">
        <v>1</v>
      </c>
      <c r="AS221" s="4" t="s">
        <v>505</v>
      </c>
      <c r="AT221" s="11">
        <f t="shared" si="80"/>
        <v>0.64001075029373167</v>
      </c>
      <c r="AU221" s="4">
        <v>440</v>
      </c>
      <c r="AV221" s="11">
        <f t="shared" si="81"/>
        <v>0.6436162085125321</v>
      </c>
      <c r="AW221" s="4">
        <v>418</v>
      </c>
      <c r="AX221" s="10">
        <v>281.60473012924194</v>
      </c>
      <c r="AY221" s="10">
        <f t="shared" si="85"/>
        <v>158.39526987075806</v>
      </c>
      <c r="AZ221" s="10">
        <v>269.03157515823841</v>
      </c>
      <c r="BA221" s="10">
        <f t="shared" si="86"/>
        <v>148.96842484176159</v>
      </c>
      <c r="BB221" s="4">
        <f t="shared" si="77"/>
        <v>858</v>
      </c>
    </row>
    <row r="222" spans="1:54" x14ac:dyDescent="0.25">
      <c r="A222" s="9" t="str">
        <f t="shared" si="84"/>
        <v>72K</v>
      </c>
      <c r="B222" s="4">
        <v>72</v>
      </c>
      <c r="C222" s="4">
        <v>1</v>
      </c>
      <c r="D222" s="4" t="s">
        <v>188</v>
      </c>
      <c r="E222" s="4">
        <v>0</v>
      </c>
      <c r="F222" s="4">
        <v>1</v>
      </c>
      <c r="G222" s="4">
        <v>0</v>
      </c>
      <c r="H222" s="2" t="s">
        <v>518</v>
      </c>
      <c r="I222" s="2" t="s">
        <v>519</v>
      </c>
      <c r="J222" s="2" t="s">
        <v>203</v>
      </c>
      <c r="K222" s="4">
        <v>1</v>
      </c>
      <c r="L222" s="2" t="s">
        <v>517</v>
      </c>
      <c r="M222" s="1"/>
      <c r="N222" s="4">
        <v>1</v>
      </c>
      <c r="O222" s="4">
        <v>1</v>
      </c>
      <c r="P222" s="20">
        <f t="shared" si="69"/>
        <v>0.5</v>
      </c>
      <c r="Q222" s="4">
        <v>2020</v>
      </c>
      <c r="R222" s="4" t="s">
        <v>370</v>
      </c>
      <c r="S222" s="4">
        <v>2017</v>
      </c>
      <c r="T222" s="4" t="s">
        <v>272</v>
      </c>
      <c r="U222" s="4">
        <v>4.4999999999999998E-2</v>
      </c>
      <c r="V222" s="4">
        <v>0.93899999999999995</v>
      </c>
      <c r="W222" s="4">
        <v>0.90900000000000003</v>
      </c>
      <c r="X222" s="4">
        <v>48675.222335021303</v>
      </c>
      <c r="Y222" s="4">
        <v>7.9000000000000001E-2</v>
      </c>
      <c r="Z222" s="4">
        <v>0</v>
      </c>
      <c r="AA222" s="4">
        <v>0</v>
      </c>
      <c r="AB222" s="4" t="s">
        <v>207</v>
      </c>
      <c r="AC222" s="17" t="s">
        <v>512</v>
      </c>
      <c r="AD222" s="20">
        <v>0.80434782608695654</v>
      </c>
      <c r="AE222" s="20">
        <v>0.19565217391304346</v>
      </c>
      <c r="AF222" s="10">
        <v>1</v>
      </c>
      <c r="AG222" s="4">
        <f t="shared" si="70"/>
        <v>1</v>
      </c>
      <c r="AH222" s="3">
        <f t="shared" si="71"/>
        <v>1</v>
      </c>
      <c r="AI222" s="4">
        <f t="shared" si="72"/>
        <v>1</v>
      </c>
      <c r="AJ222" s="4">
        <f t="shared" si="73"/>
        <v>1</v>
      </c>
      <c r="AK222" s="4">
        <f t="shared" si="74"/>
        <v>1</v>
      </c>
      <c r="AL222" s="4">
        <f t="shared" si="75"/>
        <v>1</v>
      </c>
      <c r="AM222" s="4">
        <f t="shared" si="76"/>
        <v>1</v>
      </c>
      <c r="AN222" s="4">
        <v>0</v>
      </c>
      <c r="AO222" s="4">
        <v>0</v>
      </c>
      <c r="AP222" s="4" t="s">
        <v>233</v>
      </c>
      <c r="AQ222" s="4" t="s">
        <v>97</v>
      </c>
      <c r="AR222" s="4">
        <v>1</v>
      </c>
      <c r="AS222" s="4" t="s">
        <v>512</v>
      </c>
      <c r="AT222" s="11">
        <f t="shared" si="80"/>
        <v>0.46902655236488949</v>
      </c>
      <c r="AU222" s="4">
        <v>113</v>
      </c>
      <c r="AV222" s="11">
        <f t="shared" si="81"/>
        <v>0.60714285883558805</v>
      </c>
      <c r="AW222" s="4">
        <v>83</v>
      </c>
      <c r="AX222" s="10">
        <v>53.000000417232513</v>
      </c>
      <c r="AY222" s="10">
        <f t="shared" si="85"/>
        <v>59.999999582767487</v>
      </c>
      <c r="AZ222" s="10">
        <v>50.392857283353806</v>
      </c>
      <c r="BA222" s="10">
        <f t="shared" si="86"/>
        <v>32.607142716646194</v>
      </c>
      <c r="BB222" s="4">
        <f t="shared" si="77"/>
        <v>196</v>
      </c>
    </row>
    <row r="223" spans="1:54" x14ac:dyDescent="0.25">
      <c r="A223" s="9" t="str">
        <f t="shared" si="84"/>
        <v>72L</v>
      </c>
      <c r="B223" s="4">
        <v>72</v>
      </c>
      <c r="C223" s="4">
        <v>1</v>
      </c>
      <c r="D223" s="4" t="s">
        <v>189</v>
      </c>
      <c r="E223" s="4">
        <v>0</v>
      </c>
      <c r="F223" s="4">
        <v>1</v>
      </c>
      <c r="G223" s="4">
        <v>0</v>
      </c>
      <c r="H223" s="2" t="s">
        <v>518</v>
      </c>
      <c r="I223" s="2" t="s">
        <v>519</v>
      </c>
      <c r="J223" s="2" t="s">
        <v>203</v>
      </c>
      <c r="K223" s="4">
        <v>1</v>
      </c>
      <c r="L223" s="2" t="s">
        <v>517</v>
      </c>
      <c r="M223" s="1"/>
      <c r="N223" s="4">
        <v>1</v>
      </c>
      <c r="O223" s="4">
        <v>1</v>
      </c>
      <c r="P223" s="20">
        <f t="shared" si="69"/>
        <v>0.5</v>
      </c>
      <c r="Q223" s="4">
        <v>2020</v>
      </c>
      <c r="R223" s="4" t="s">
        <v>370</v>
      </c>
      <c r="S223" s="4">
        <v>2017</v>
      </c>
      <c r="T223" s="4" t="s">
        <v>272</v>
      </c>
      <c r="U223" s="4">
        <v>4.4999999999999998E-2</v>
      </c>
      <c r="V223" s="4">
        <v>0.93899999999999995</v>
      </c>
      <c r="W223" s="4">
        <v>0.90900000000000003</v>
      </c>
      <c r="X223" s="4">
        <v>48675.222335021303</v>
      </c>
      <c r="Y223" s="4">
        <v>7.9000000000000001E-2</v>
      </c>
      <c r="Z223" s="4">
        <v>0</v>
      </c>
      <c r="AA223" s="4">
        <v>0</v>
      </c>
      <c r="AB223" s="4" t="s">
        <v>207</v>
      </c>
      <c r="AC223" s="17" t="s">
        <v>506</v>
      </c>
      <c r="AD223" s="20">
        <v>0.1875</v>
      </c>
      <c r="AE223" s="20">
        <v>0.8125</v>
      </c>
      <c r="AF223" s="10">
        <v>0</v>
      </c>
      <c r="AG223" s="4">
        <f t="shared" si="70"/>
        <v>0</v>
      </c>
      <c r="AH223" s="3">
        <f t="shared" si="71"/>
        <v>0</v>
      </c>
      <c r="AI223" s="4">
        <f t="shared" si="72"/>
        <v>0</v>
      </c>
      <c r="AJ223" s="4">
        <f t="shared" si="73"/>
        <v>0</v>
      </c>
      <c r="AK223" s="4">
        <f t="shared" si="74"/>
        <v>0</v>
      </c>
      <c r="AL223" s="4">
        <f t="shared" si="75"/>
        <v>0</v>
      </c>
      <c r="AM223" s="4">
        <f t="shared" si="76"/>
        <v>0</v>
      </c>
      <c r="AN223" s="4">
        <v>0</v>
      </c>
      <c r="AO223" s="4">
        <v>0</v>
      </c>
      <c r="AP223" s="4" t="s">
        <v>233</v>
      </c>
      <c r="AQ223" s="4" t="s">
        <v>97</v>
      </c>
      <c r="AR223" s="4">
        <v>1</v>
      </c>
      <c r="AS223" s="4" t="s">
        <v>506</v>
      </c>
      <c r="AT223" s="11">
        <f t="shared" si="80"/>
        <v>0.54357894596300627</v>
      </c>
      <c r="AU223" s="4">
        <v>95</v>
      </c>
      <c r="AV223" s="11">
        <f t="shared" si="81"/>
        <v>0.52380952795783242</v>
      </c>
      <c r="AW223" s="4">
        <v>91</v>
      </c>
      <c r="AX223" s="10">
        <v>51.639999866485596</v>
      </c>
      <c r="AY223" s="10">
        <f t="shared" si="85"/>
        <v>43.360000133514404</v>
      </c>
      <c r="AZ223" s="10">
        <v>47.66666704416275</v>
      </c>
      <c r="BA223" s="10">
        <f t="shared" si="86"/>
        <v>43.33333295583725</v>
      </c>
      <c r="BB223" s="4">
        <f t="shared" si="77"/>
        <v>186</v>
      </c>
    </row>
    <row r="224" spans="1:54" x14ac:dyDescent="0.25">
      <c r="A224" s="9" t="str">
        <f t="shared" si="84"/>
        <v>72M</v>
      </c>
      <c r="B224" s="4">
        <v>72</v>
      </c>
      <c r="C224" s="4">
        <v>1</v>
      </c>
      <c r="D224" s="4" t="s">
        <v>190</v>
      </c>
      <c r="E224" s="4">
        <v>0</v>
      </c>
      <c r="F224" s="4">
        <v>1</v>
      </c>
      <c r="G224" s="4">
        <v>0</v>
      </c>
      <c r="H224" s="2" t="s">
        <v>518</v>
      </c>
      <c r="I224" s="2" t="s">
        <v>519</v>
      </c>
      <c r="J224" s="2" t="s">
        <v>203</v>
      </c>
      <c r="K224" s="4">
        <v>1</v>
      </c>
      <c r="L224" s="2" t="s">
        <v>517</v>
      </c>
      <c r="M224" s="1"/>
      <c r="N224" s="4">
        <v>1</v>
      </c>
      <c r="O224" s="4">
        <v>1</v>
      </c>
      <c r="P224" s="20">
        <f t="shared" si="69"/>
        <v>0.5</v>
      </c>
      <c r="Q224" s="4">
        <v>2020</v>
      </c>
      <c r="R224" s="4" t="s">
        <v>370</v>
      </c>
      <c r="S224" s="4">
        <v>2017</v>
      </c>
      <c r="T224" s="4" t="s">
        <v>272</v>
      </c>
      <c r="U224" s="4">
        <v>4.4999999999999998E-2</v>
      </c>
      <c r="V224" s="4">
        <v>0.93899999999999995</v>
      </c>
      <c r="W224" s="4">
        <v>0.90900000000000003</v>
      </c>
      <c r="X224" s="4">
        <v>48675.222335021303</v>
      </c>
      <c r="Y224" s="4">
        <v>7.9000000000000001E-2</v>
      </c>
      <c r="Z224" s="4">
        <v>0</v>
      </c>
      <c r="AA224" s="4">
        <v>0</v>
      </c>
      <c r="AB224" s="4" t="s">
        <v>207</v>
      </c>
      <c r="AC224" s="17" t="s">
        <v>507</v>
      </c>
      <c r="AD224" s="20">
        <v>0.61971830985915488</v>
      </c>
      <c r="AE224" s="20">
        <v>0.38028169014084512</v>
      </c>
      <c r="AF224" s="10">
        <v>0</v>
      </c>
      <c r="AG224" s="4">
        <f t="shared" si="70"/>
        <v>0</v>
      </c>
      <c r="AH224" s="3">
        <f t="shared" si="71"/>
        <v>1</v>
      </c>
      <c r="AI224" s="4">
        <f t="shared" si="72"/>
        <v>1</v>
      </c>
      <c r="AJ224" s="4">
        <f t="shared" si="73"/>
        <v>2</v>
      </c>
      <c r="AK224" s="4">
        <f t="shared" si="74"/>
        <v>1</v>
      </c>
      <c r="AL224" s="4">
        <f t="shared" si="75"/>
        <v>2</v>
      </c>
      <c r="AM224" s="4">
        <f t="shared" si="76"/>
        <v>1</v>
      </c>
      <c r="AN224" s="4">
        <v>0</v>
      </c>
      <c r="AO224" s="4">
        <v>0</v>
      </c>
      <c r="AP224" s="4" t="s">
        <v>233</v>
      </c>
      <c r="AQ224" s="4" t="s">
        <v>97</v>
      </c>
      <c r="AR224" s="4">
        <v>1</v>
      </c>
      <c r="AS224" s="4" t="s">
        <v>507</v>
      </c>
      <c r="AT224" s="11">
        <f t="shared" si="80"/>
        <v>0.30471286409431031</v>
      </c>
      <c r="AU224" s="4">
        <v>360</v>
      </c>
      <c r="AV224" s="11">
        <f t="shared" si="81"/>
        <v>0.22841967612674291</v>
      </c>
      <c r="AW224" s="4">
        <v>352</v>
      </c>
      <c r="AX224" s="10">
        <v>109.69663107395172</v>
      </c>
      <c r="AY224" s="10">
        <f t="shared" si="85"/>
        <v>250.30336892604828</v>
      </c>
      <c r="AZ224" s="10">
        <v>80.403725996613503</v>
      </c>
      <c r="BA224" s="10">
        <f t="shared" si="86"/>
        <v>271.5962740033865</v>
      </c>
      <c r="BB224" s="4">
        <f t="shared" si="77"/>
        <v>712</v>
      </c>
    </row>
    <row r="225" spans="1:54" x14ac:dyDescent="0.25">
      <c r="A225" s="9" t="str">
        <f t="shared" si="84"/>
        <v>72N</v>
      </c>
      <c r="B225" s="4">
        <v>72</v>
      </c>
      <c r="C225" s="4">
        <v>1</v>
      </c>
      <c r="D225" s="4" t="s">
        <v>308</v>
      </c>
      <c r="E225" s="4">
        <v>0</v>
      </c>
      <c r="F225" s="4">
        <v>1</v>
      </c>
      <c r="G225" s="4">
        <v>0</v>
      </c>
      <c r="H225" s="2" t="s">
        <v>518</v>
      </c>
      <c r="I225" s="2" t="s">
        <v>519</v>
      </c>
      <c r="J225" s="2" t="s">
        <v>203</v>
      </c>
      <c r="K225" s="4">
        <v>1</v>
      </c>
      <c r="L225" s="2" t="s">
        <v>517</v>
      </c>
      <c r="M225" s="1"/>
      <c r="N225" s="4">
        <v>1</v>
      </c>
      <c r="O225" s="4">
        <v>1</v>
      </c>
      <c r="P225" s="20">
        <f t="shared" si="69"/>
        <v>0.5</v>
      </c>
      <c r="Q225" s="4">
        <v>2020</v>
      </c>
      <c r="R225" s="4" t="s">
        <v>370</v>
      </c>
      <c r="S225" s="4">
        <v>2017</v>
      </c>
      <c r="T225" s="4" t="s">
        <v>272</v>
      </c>
      <c r="U225" s="4">
        <v>4.4999999999999998E-2</v>
      </c>
      <c r="V225" s="4">
        <v>0.93899999999999995</v>
      </c>
      <c r="W225" s="4">
        <v>0.90900000000000003</v>
      </c>
      <c r="X225" s="4">
        <v>48675.222335021303</v>
      </c>
      <c r="Y225" s="4">
        <v>7.9000000000000001E-2</v>
      </c>
      <c r="Z225" s="4">
        <v>0</v>
      </c>
      <c r="AA225" s="4">
        <v>0</v>
      </c>
      <c r="AB225" s="4" t="s">
        <v>207</v>
      </c>
      <c r="AC225" s="17" t="s">
        <v>513</v>
      </c>
      <c r="AD225" s="20">
        <v>0.89534883720930236</v>
      </c>
      <c r="AE225" s="20">
        <v>0.10465116279069764</v>
      </c>
      <c r="AF225" s="10">
        <v>1</v>
      </c>
      <c r="AG225" s="4">
        <f t="shared" si="70"/>
        <v>1</v>
      </c>
      <c r="AH225" s="3">
        <f t="shared" si="71"/>
        <v>1</v>
      </c>
      <c r="AI225" s="4">
        <f t="shared" si="72"/>
        <v>1</v>
      </c>
      <c r="AJ225" s="4">
        <f t="shared" si="73"/>
        <v>1</v>
      </c>
      <c r="AK225" s="4">
        <f t="shared" si="74"/>
        <v>1</v>
      </c>
      <c r="AL225" s="4">
        <f t="shared" si="75"/>
        <v>1</v>
      </c>
      <c r="AM225" s="4">
        <f t="shared" si="76"/>
        <v>1</v>
      </c>
      <c r="AN225" s="4">
        <v>1</v>
      </c>
      <c r="AO225" s="4">
        <v>0</v>
      </c>
      <c r="AP225" s="4" t="s">
        <v>233</v>
      </c>
      <c r="AQ225" s="4" t="s">
        <v>97</v>
      </c>
      <c r="AR225" s="4">
        <v>1</v>
      </c>
      <c r="AS225" s="4" t="s">
        <v>513</v>
      </c>
      <c r="AT225" s="11">
        <f t="shared" si="80"/>
        <v>0.50000000551894863</v>
      </c>
      <c r="AU225" s="4">
        <v>54</v>
      </c>
      <c r="AV225" s="11">
        <f t="shared" si="81"/>
        <v>0.55757576064629988</v>
      </c>
      <c r="AW225" s="4">
        <v>55</v>
      </c>
      <c r="AX225" s="10">
        <v>27.000000298023224</v>
      </c>
      <c r="AY225" s="10">
        <f t="shared" si="85"/>
        <v>26.999999701976776</v>
      </c>
      <c r="AZ225" s="10">
        <v>30.666666835546494</v>
      </c>
      <c r="BA225" s="10">
        <f t="shared" si="86"/>
        <v>24.333333164453506</v>
      </c>
      <c r="BB225" s="4">
        <f t="shared" si="77"/>
        <v>109</v>
      </c>
    </row>
    <row r="226" spans="1:54" x14ac:dyDescent="0.25">
      <c r="A226" s="9" t="str">
        <f t="shared" si="84"/>
        <v>72O</v>
      </c>
      <c r="B226" s="4">
        <v>72</v>
      </c>
      <c r="C226" s="4">
        <v>1</v>
      </c>
      <c r="D226" s="4" t="s">
        <v>332</v>
      </c>
      <c r="E226" s="4">
        <v>0</v>
      </c>
      <c r="F226" s="4">
        <v>1</v>
      </c>
      <c r="G226" s="4">
        <v>0</v>
      </c>
      <c r="H226" s="2" t="s">
        <v>518</v>
      </c>
      <c r="I226" s="2" t="s">
        <v>519</v>
      </c>
      <c r="J226" s="2" t="s">
        <v>203</v>
      </c>
      <c r="K226" s="4">
        <v>1</v>
      </c>
      <c r="L226" s="2" t="s">
        <v>517</v>
      </c>
      <c r="M226" s="1"/>
      <c r="N226" s="4">
        <v>1</v>
      </c>
      <c r="O226" s="4">
        <v>1</v>
      </c>
      <c r="P226" s="20">
        <f t="shared" si="69"/>
        <v>0.5</v>
      </c>
      <c r="Q226" s="4">
        <v>2020</v>
      </c>
      <c r="R226" s="4" t="s">
        <v>370</v>
      </c>
      <c r="S226" s="4">
        <v>2017</v>
      </c>
      <c r="T226" s="4" t="s">
        <v>272</v>
      </c>
      <c r="U226" s="4">
        <v>4.4999999999999998E-2</v>
      </c>
      <c r="V226" s="4">
        <v>0.93899999999999995</v>
      </c>
      <c r="W226" s="4">
        <v>0.90900000000000003</v>
      </c>
      <c r="X226" s="4">
        <v>48675.222335021303</v>
      </c>
      <c r="Y226" s="4">
        <v>7.9000000000000001E-2</v>
      </c>
      <c r="Z226" s="4">
        <v>0</v>
      </c>
      <c r="AA226" s="4">
        <v>0</v>
      </c>
      <c r="AB226" s="4" t="s">
        <v>207</v>
      </c>
      <c r="AC226" s="17" t="s">
        <v>324</v>
      </c>
      <c r="AD226" s="20">
        <v>0.25974025974025972</v>
      </c>
      <c r="AE226" s="20">
        <v>0.74025974025974028</v>
      </c>
      <c r="AF226" s="10">
        <v>0</v>
      </c>
      <c r="AG226" s="4">
        <f t="shared" si="70"/>
        <v>0</v>
      </c>
      <c r="AH226" s="3">
        <f t="shared" si="71"/>
        <v>0</v>
      </c>
      <c r="AI226" s="4">
        <f t="shared" si="72"/>
        <v>0</v>
      </c>
      <c r="AJ226" s="4">
        <f t="shared" si="73"/>
        <v>0</v>
      </c>
      <c r="AK226" s="4">
        <f t="shared" si="74"/>
        <v>0</v>
      </c>
      <c r="AL226" s="4">
        <f t="shared" si="75"/>
        <v>0</v>
      </c>
      <c r="AM226" s="4">
        <f t="shared" si="76"/>
        <v>0</v>
      </c>
      <c r="AN226" s="4">
        <v>0</v>
      </c>
      <c r="AO226" s="4">
        <v>0</v>
      </c>
      <c r="AP226" s="4" t="s">
        <v>233</v>
      </c>
      <c r="AQ226" s="4" t="s">
        <v>97</v>
      </c>
      <c r="AR226" s="4">
        <v>1</v>
      </c>
      <c r="AS226" s="4" t="s">
        <v>324</v>
      </c>
      <c r="AT226" s="11">
        <f t="shared" si="80"/>
        <v>0.3241558513600073</v>
      </c>
      <c r="AU226" s="4">
        <v>231</v>
      </c>
      <c r="AV226" s="11">
        <f t="shared" si="81"/>
        <v>0.26045413378705368</v>
      </c>
      <c r="AW226" s="4">
        <v>235</v>
      </c>
      <c r="AX226" s="10">
        <v>74.880001664161682</v>
      </c>
      <c r="AY226" s="10">
        <f t="shared" si="85"/>
        <v>156.11999833583832</v>
      </c>
      <c r="AZ226" s="10">
        <v>61.206721439957619</v>
      </c>
      <c r="BA226" s="10">
        <f t="shared" si="86"/>
        <v>173.79327856004238</v>
      </c>
      <c r="BB226" s="4">
        <f t="shared" si="77"/>
        <v>466</v>
      </c>
    </row>
    <row r="227" spans="1:54" x14ac:dyDescent="0.25">
      <c r="A227" s="9" t="str">
        <f t="shared" si="84"/>
        <v>72P</v>
      </c>
      <c r="B227" s="4">
        <v>72</v>
      </c>
      <c r="C227" s="4">
        <v>1</v>
      </c>
      <c r="D227" s="4" t="s">
        <v>520</v>
      </c>
      <c r="E227" s="4">
        <v>0</v>
      </c>
      <c r="F227" s="4">
        <v>1</v>
      </c>
      <c r="G227" s="4">
        <v>0</v>
      </c>
      <c r="H227" s="2" t="s">
        <v>518</v>
      </c>
      <c r="I227" s="2" t="s">
        <v>519</v>
      </c>
      <c r="J227" s="2" t="s">
        <v>203</v>
      </c>
      <c r="K227" s="4">
        <v>1</v>
      </c>
      <c r="L227" s="2" t="s">
        <v>517</v>
      </c>
      <c r="M227" s="1"/>
      <c r="N227" s="4">
        <v>1</v>
      </c>
      <c r="O227" s="4">
        <v>1</v>
      </c>
      <c r="P227" s="20">
        <f t="shared" si="69"/>
        <v>0.5</v>
      </c>
      <c r="Q227" s="4">
        <v>2020</v>
      </c>
      <c r="R227" s="4" t="s">
        <v>370</v>
      </c>
      <c r="S227" s="4">
        <v>2017</v>
      </c>
      <c r="T227" s="4" t="s">
        <v>272</v>
      </c>
      <c r="U227" s="4">
        <v>4.4999999999999998E-2</v>
      </c>
      <c r="V227" s="4">
        <v>0.93899999999999995</v>
      </c>
      <c r="W227" s="4">
        <v>0.90900000000000003</v>
      </c>
      <c r="X227" s="4">
        <v>48675.222335021303</v>
      </c>
      <c r="Y227" s="4">
        <v>7.9000000000000001E-2</v>
      </c>
      <c r="Z227" s="4">
        <v>0</v>
      </c>
      <c r="AA227" s="4">
        <v>0</v>
      </c>
      <c r="AB227" s="4" t="s">
        <v>207</v>
      </c>
      <c r="AC227" s="17" t="s">
        <v>508</v>
      </c>
      <c r="AD227" s="20">
        <v>0.55145344547734987</v>
      </c>
      <c r="AE227" s="20">
        <v>0.44854655452265013</v>
      </c>
      <c r="AF227" s="10">
        <v>2</v>
      </c>
      <c r="AG227" s="4">
        <f t="shared" si="70"/>
        <v>1</v>
      </c>
      <c r="AH227" s="3">
        <f t="shared" si="71"/>
        <v>2</v>
      </c>
      <c r="AI227" s="4">
        <f t="shared" si="72"/>
        <v>1</v>
      </c>
      <c r="AJ227" s="4">
        <f t="shared" si="73"/>
        <v>2</v>
      </c>
      <c r="AK227" s="4">
        <f t="shared" si="74"/>
        <v>1</v>
      </c>
      <c r="AL227" s="4">
        <f t="shared" si="75"/>
        <v>2</v>
      </c>
      <c r="AM227" s="4">
        <f t="shared" si="76"/>
        <v>1</v>
      </c>
      <c r="AN227" s="4">
        <v>0</v>
      </c>
      <c r="AO227" s="4">
        <v>0</v>
      </c>
      <c r="AP227" s="4" t="s">
        <v>100</v>
      </c>
      <c r="AQ227" s="4" t="s">
        <v>97</v>
      </c>
      <c r="AR227" s="4">
        <v>1</v>
      </c>
      <c r="AS227" s="4" t="s">
        <v>508</v>
      </c>
      <c r="AT227" s="11">
        <f t="shared" si="80"/>
        <v>0.41486156151338588</v>
      </c>
      <c r="AU227" s="4">
        <v>326</v>
      </c>
      <c r="AV227" s="11">
        <f t="shared" si="81"/>
        <v>0.36637547944982846</v>
      </c>
      <c r="AW227" s="4">
        <v>300</v>
      </c>
      <c r="AX227" s="10">
        <v>135.2448690533638</v>
      </c>
      <c r="AY227" s="10">
        <f t="shared" si="85"/>
        <v>190.7551309466362</v>
      </c>
      <c r="AZ227" s="10">
        <v>109.91264383494854</v>
      </c>
      <c r="BA227" s="10">
        <f t="shared" si="86"/>
        <v>190.08735616505146</v>
      </c>
      <c r="BB227" s="4">
        <f t="shared" si="77"/>
        <v>626</v>
      </c>
    </row>
    <row r="228" spans="1:54" x14ac:dyDescent="0.25">
      <c r="A228" s="9" t="str">
        <f t="shared" si="84"/>
        <v>72Q</v>
      </c>
      <c r="B228" s="4">
        <v>72</v>
      </c>
      <c r="C228" s="4">
        <v>1</v>
      </c>
      <c r="D228" s="4" t="s">
        <v>521</v>
      </c>
      <c r="E228" s="4">
        <v>0</v>
      </c>
      <c r="F228" s="4">
        <v>1</v>
      </c>
      <c r="G228" s="4">
        <v>0</v>
      </c>
      <c r="H228" s="2" t="s">
        <v>518</v>
      </c>
      <c r="I228" s="2" t="s">
        <v>519</v>
      </c>
      <c r="J228" s="2" t="s">
        <v>203</v>
      </c>
      <c r="K228" s="4">
        <v>1</v>
      </c>
      <c r="L228" s="2" t="s">
        <v>517</v>
      </c>
      <c r="M228" s="1"/>
      <c r="N228" s="4">
        <v>1</v>
      </c>
      <c r="O228" s="4">
        <v>1</v>
      </c>
      <c r="P228" s="20">
        <f t="shared" si="69"/>
        <v>0.5</v>
      </c>
      <c r="Q228" s="4">
        <v>2020</v>
      </c>
      <c r="R228" s="4" t="s">
        <v>370</v>
      </c>
      <c r="S228" s="4">
        <v>2017</v>
      </c>
      <c r="T228" s="4" t="s">
        <v>272</v>
      </c>
      <c r="U228" s="4">
        <v>4.4999999999999998E-2</v>
      </c>
      <c r="V228" s="4">
        <v>0.93899999999999995</v>
      </c>
      <c r="W228" s="4">
        <v>0.90900000000000003</v>
      </c>
      <c r="X228" s="4">
        <v>48675.222335021303</v>
      </c>
      <c r="Y228" s="4">
        <v>7.9000000000000001E-2</v>
      </c>
      <c r="Z228" s="4">
        <v>0</v>
      </c>
      <c r="AA228" s="4">
        <v>0</v>
      </c>
      <c r="AB228" s="4" t="s">
        <v>207</v>
      </c>
      <c r="AC228" s="17" t="s">
        <v>509</v>
      </c>
      <c r="AD228" s="20">
        <v>0.79326923076923073</v>
      </c>
      <c r="AE228" s="20">
        <v>0.20673076923076927</v>
      </c>
      <c r="AF228" s="10">
        <v>1</v>
      </c>
      <c r="AG228" s="4">
        <f t="shared" si="70"/>
        <v>1</v>
      </c>
      <c r="AH228" s="3">
        <f t="shared" si="71"/>
        <v>1</v>
      </c>
      <c r="AI228" s="4">
        <f t="shared" si="72"/>
        <v>1</v>
      </c>
      <c r="AJ228" s="4">
        <f t="shared" si="73"/>
        <v>1</v>
      </c>
      <c r="AK228" s="4">
        <f t="shared" si="74"/>
        <v>1</v>
      </c>
      <c r="AL228" s="4">
        <f t="shared" si="75"/>
        <v>1</v>
      </c>
      <c r="AM228" s="4">
        <f t="shared" si="76"/>
        <v>1</v>
      </c>
      <c r="AN228" s="4">
        <v>0</v>
      </c>
      <c r="AO228" s="4">
        <v>0</v>
      </c>
      <c r="AP228" s="4" t="s">
        <v>100</v>
      </c>
      <c r="AQ228" s="4" t="s">
        <v>97</v>
      </c>
      <c r="AR228" s="4">
        <v>1</v>
      </c>
      <c r="AS228" s="4" t="s">
        <v>509</v>
      </c>
      <c r="AT228" s="11">
        <f t="shared" si="80"/>
        <v>0.71673929769229261</v>
      </c>
      <c r="AU228" s="4">
        <v>306</v>
      </c>
      <c r="AV228" s="11">
        <f t="shared" si="81"/>
        <v>0.70152664220585204</v>
      </c>
      <c r="AW228" s="4">
        <v>331</v>
      </c>
      <c r="AX228" s="10">
        <v>219.32222509384155</v>
      </c>
      <c r="AY228" s="10">
        <f t="shared" si="85"/>
        <v>86.677774906158447</v>
      </c>
      <c r="AZ228" s="10">
        <v>232.20531857013702</v>
      </c>
      <c r="BA228" s="10">
        <f t="shared" si="86"/>
        <v>98.794681429862976</v>
      </c>
      <c r="BB228" s="4">
        <f t="shared" si="77"/>
        <v>637</v>
      </c>
    </row>
    <row r="229" spans="1:54" x14ac:dyDescent="0.25">
      <c r="A229" s="9" t="str">
        <f t="shared" si="84"/>
        <v>72R</v>
      </c>
      <c r="B229" s="4">
        <v>72</v>
      </c>
      <c r="C229" s="4">
        <v>1</v>
      </c>
      <c r="D229" s="4" t="s">
        <v>522</v>
      </c>
      <c r="E229" s="4">
        <v>0</v>
      </c>
      <c r="F229" s="4">
        <v>1</v>
      </c>
      <c r="G229" s="4">
        <v>0</v>
      </c>
      <c r="H229" s="2" t="s">
        <v>518</v>
      </c>
      <c r="I229" s="2" t="s">
        <v>519</v>
      </c>
      <c r="J229" s="2" t="s">
        <v>203</v>
      </c>
      <c r="K229" s="4">
        <v>1</v>
      </c>
      <c r="L229" s="2" t="s">
        <v>517</v>
      </c>
      <c r="M229" s="1"/>
      <c r="N229" s="4">
        <v>1</v>
      </c>
      <c r="O229" s="4">
        <v>1</v>
      </c>
      <c r="P229" s="20">
        <f t="shared" si="69"/>
        <v>0.5</v>
      </c>
      <c r="Q229" s="4">
        <v>2020</v>
      </c>
      <c r="R229" s="4" t="s">
        <v>370</v>
      </c>
      <c r="S229" s="4">
        <v>2017</v>
      </c>
      <c r="T229" s="4" t="s">
        <v>272</v>
      </c>
      <c r="U229" s="4">
        <v>4.4999999999999998E-2</v>
      </c>
      <c r="V229" s="4">
        <v>0.93899999999999995</v>
      </c>
      <c r="W229" s="4">
        <v>0.90900000000000003</v>
      </c>
      <c r="X229" s="4">
        <v>48675.222335021303</v>
      </c>
      <c r="Y229" s="4">
        <v>7.9000000000000001E-2</v>
      </c>
      <c r="Z229" s="4">
        <v>0</v>
      </c>
      <c r="AA229" s="4">
        <v>0</v>
      </c>
      <c r="AB229" s="4" t="s">
        <v>207</v>
      </c>
      <c r="AC229" s="17" t="s">
        <v>510</v>
      </c>
      <c r="AD229" s="20">
        <v>0.40370370370370373</v>
      </c>
      <c r="AE229" s="20">
        <v>0.59629629629629632</v>
      </c>
      <c r="AF229" s="10">
        <v>2</v>
      </c>
      <c r="AG229" s="4">
        <f t="shared" si="70"/>
        <v>1</v>
      </c>
      <c r="AH229" s="3">
        <f t="shared" si="71"/>
        <v>2</v>
      </c>
      <c r="AI229" s="4">
        <f t="shared" si="72"/>
        <v>1</v>
      </c>
      <c r="AJ229" s="4">
        <f t="shared" si="73"/>
        <v>2</v>
      </c>
      <c r="AK229" s="4">
        <f t="shared" si="74"/>
        <v>1</v>
      </c>
      <c r="AL229" s="4">
        <f t="shared" si="75"/>
        <v>2</v>
      </c>
      <c r="AM229" s="4">
        <f t="shared" si="76"/>
        <v>1</v>
      </c>
      <c r="AN229" s="4">
        <v>0</v>
      </c>
      <c r="AO229" s="4">
        <v>0</v>
      </c>
      <c r="AP229" s="4" t="s">
        <v>233</v>
      </c>
      <c r="AQ229" s="4" t="s">
        <v>97</v>
      </c>
      <c r="AR229" s="4">
        <v>1</v>
      </c>
      <c r="AS229" s="4" t="s">
        <v>510</v>
      </c>
      <c r="AT229" s="11">
        <f t="shared" si="80"/>
        <v>0.33679596033193721</v>
      </c>
      <c r="AU229" s="4">
        <v>257</v>
      </c>
      <c r="AV229" s="11">
        <f t="shared" si="81"/>
        <v>0.21100806646169193</v>
      </c>
      <c r="AW229" s="4">
        <v>248</v>
      </c>
      <c r="AX229" s="10">
        <v>86.556561805307865</v>
      </c>
      <c r="AY229" s="10">
        <f t="shared" si="85"/>
        <v>170.44343819469213</v>
      </c>
      <c r="AZ229" s="10">
        <v>52.330000482499599</v>
      </c>
      <c r="BA229" s="10">
        <f t="shared" si="86"/>
        <v>195.6699995175004</v>
      </c>
      <c r="BB229" s="4">
        <f t="shared" si="77"/>
        <v>505</v>
      </c>
    </row>
    <row r="230" spans="1:54" x14ac:dyDescent="0.25">
      <c r="A230" s="9" t="str">
        <f t="shared" si="84"/>
        <v>72S</v>
      </c>
      <c r="B230" s="4">
        <v>72</v>
      </c>
      <c r="C230" s="4">
        <v>1</v>
      </c>
      <c r="D230" s="4" t="s">
        <v>523</v>
      </c>
      <c r="E230" s="4">
        <v>0</v>
      </c>
      <c r="F230" s="4">
        <v>1</v>
      </c>
      <c r="G230" s="4">
        <v>0</v>
      </c>
      <c r="H230" s="2" t="s">
        <v>518</v>
      </c>
      <c r="I230" s="2" t="s">
        <v>519</v>
      </c>
      <c r="J230" s="2" t="s">
        <v>203</v>
      </c>
      <c r="K230" s="4">
        <v>1</v>
      </c>
      <c r="L230" s="2" t="s">
        <v>517</v>
      </c>
      <c r="M230" s="1"/>
      <c r="N230" s="4">
        <v>1</v>
      </c>
      <c r="O230" s="4">
        <v>1</v>
      </c>
      <c r="P230" s="20">
        <f t="shared" si="69"/>
        <v>0.5</v>
      </c>
      <c r="Q230" s="4">
        <v>2020</v>
      </c>
      <c r="R230" s="4" t="s">
        <v>370</v>
      </c>
      <c r="S230" s="4">
        <v>2017</v>
      </c>
      <c r="T230" s="4" t="s">
        <v>514</v>
      </c>
      <c r="U230" s="4">
        <v>4.8000000000000001E-2</v>
      </c>
      <c r="V230" s="4">
        <v>0.96199999999999997</v>
      </c>
      <c r="W230" s="4">
        <v>0.92600000000000005</v>
      </c>
      <c r="X230" s="4">
        <v>75496.754058199804</v>
      </c>
      <c r="Y230" s="4">
        <v>0.124</v>
      </c>
      <c r="Z230" s="4">
        <v>0</v>
      </c>
      <c r="AA230" s="4">
        <v>0</v>
      </c>
      <c r="AB230" s="4" t="s">
        <v>207</v>
      </c>
      <c r="AC230" s="17" t="s">
        <v>511</v>
      </c>
      <c r="AD230" s="20">
        <v>0.98699999999999999</v>
      </c>
      <c r="AE230" s="20">
        <v>1.3000000000000012E-2</v>
      </c>
      <c r="AF230" s="10">
        <v>1</v>
      </c>
      <c r="AG230" s="4">
        <f t="shared" si="70"/>
        <v>1</v>
      </c>
      <c r="AH230" s="3">
        <f t="shared" si="71"/>
        <v>1</v>
      </c>
      <c r="AI230" s="4">
        <f t="shared" si="72"/>
        <v>1</v>
      </c>
      <c r="AJ230" s="4">
        <f t="shared" si="73"/>
        <v>1</v>
      </c>
      <c r="AK230" s="4">
        <f t="shared" si="74"/>
        <v>1</v>
      </c>
      <c r="AL230" s="4">
        <f t="shared" si="75"/>
        <v>1</v>
      </c>
      <c r="AM230" s="4">
        <f t="shared" si="76"/>
        <v>1</v>
      </c>
      <c r="AN230" s="4">
        <v>1</v>
      </c>
      <c r="AO230" s="4">
        <v>0</v>
      </c>
      <c r="AP230" s="4" t="s">
        <v>233</v>
      </c>
      <c r="AQ230" s="4" t="s">
        <v>97</v>
      </c>
      <c r="AR230" s="4">
        <v>1</v>
      </c>
      <c r="AS230" s="4" t="s">
        <v>511</v>
      </c>
      <c r="AT230" s="11">
        <f t="shared" si="80"/>
        <v>0.31584611547700431</v>
      </c>
      <c r="AU230" s="4">
        <v>118</v>
      </c>
      <c r="AV230" s="11">
        <f t="shared" si="81"/>
        <v>0.3384127010901769</v>
      </c>
      <c r="AW230" s="4">
        <v>105</v>
      </c>
      <c r="AX230" s="10">
        <v>37.269841626286507</v>
      </c>
      <c r="AY230" s="10">
        <f t="shared" si="85"/>
        <v>80.730158373713493</v>
      </c>
      <c r="AZ230" s="10">
        <v>35.533333614468575</v>
      </c>
      <c r="BA230" s="10">
        <f t="shared" si="86"/>
        <v>69.466666385531425</v>
      </c>
      <c r="BB230" s="4">
        <f t="shared" si="77"/>
        <v>223</v>
      </c>
    </row>
    <row r="231" spans="1:54" x14ac:dyDescent="0.25">
      <c r="A231" s="9" t="str">
        <f t="shared" si="84"/>
        <v>72T</v>
      </c>
      <c r="B231" s="4">
        <v>72</v>
      </c>
      <c r="C231" s="4">
        <v>1</v>
      </c>
      <c r="D231" s="4" t="s">
        <v>524</v>
      </c>
      <c r="E231" s="4">
        <v>0</v>
      </c>
      <c r="F231" s="4">
        <v>1</v>
      </c>
      <c r="G231" s="4">
        <v>0</v>
      </c>
      <c r="H231" s="2" t="s">
        <v>518</v>
      </c>
      <c r="I231" s="2" t="s">
        <v>519</v>
      </c>
      <c r="J231" s="2" t="s">
        <v>203</v>
      </c>
      <c r="K231" s="4">
        <v>1</v>
      </c>
      <c r="L231" s="2" t="s">
        <v>517</v>
      </c>
      <c r="M231" s="1"/>
      <c r="N231" s="4">
        <v>1</v>
      </c>
      <c r="O231" s="4">
        <v>1</v>
      </c>
      <c r="P231" s="20">
        <f t="shared" si="69"/>
        <v>0.5</v>
      </c>
      <c r="Q231" s="4">
        <v>2020</v>
      </c>
      <c r="R231" s="4" t="s">
        <v>370</v>
      </c>
      <c r="S231" s="4">
        <v>2017</v>
      </c>
      <c r="T231" s="4" t="s">
        <v>514</v>
      </c>
      <c r="U231" s="4">
        <v>4.8000000000000001E-2</v>
      </c>
      <c r="V231" s="4">
        <v>0.96199999999999997</v>
      </c>
      <c r="W231" s="4">
        <v>0.92600000000000005</v>
      </c>
      <c r="X231" s="4">
        <v>75496.754058199804</v>
      </c>
      <c r="Y231" s="4">
        <v>0.124</v>
      </c>
      <c r="Z231" s="4">
        <v>0</v>
      </c>
      <c r="AA231" s="4">
        <v>0</v>
      </c>
      <c r="AB231" s="4" t="s">
        <v>207</v>
      </c>
      <c r="AC231" s="17" t="s">
        <v>505</v>
      </c>
      <c r="AD231" s="20">
        <v>0.54800000000000004</v>
      </c>
      <c r="AE231" s="20">
        <v>0.45199999999999996</v>
      </c>
      <c r="AF231" s="10">
        <v>1</v>
      </c>
      <c r="AG231" s="4">
        <f t="shared" si="70"/>
        <v>1</v>
      </c>
      <c r="AH231" s="3">
        <f t="shared" si="71"/>
        <v>2</v>
      </c>
      <c r="AI231" s="4">
        <f t="shared" si="72"/>
        <v>1</v>
      </c>
      <c r="AJ231" s="4">
        <f t="shared" si="73"/>
        <v>2</v>
      </c>
      <c r="AK231" s="4">
        <f t="shared" si="74"/>
        <v>1</v>
      </c>
      <c r="AL231" s="4">
        <f t="shared" si="75"/>
        <v>2</v>
      </c>
      <c r="AM231" s="4">
        <f t="shared" si="76"/>
        <v>1</v>
      </c>
      <c r="AN231" s="4">
        <v>0</v>
      </c>
      <c r="AO231" s="4">
        <v>0</v>
      </c>
      <c r="AP231" s="4" t="s">
        <v>233</v>
      </c>
      <c r="AQ231" s="4" t="s">
        <v>97</v>
      </c>
      <c r="AR231" s="4">
        <v>1</v>
      </c>
      <c r="AS231" s="4" t="s">
        <v>505</v>
      </c>
      <c r="AT231" s="11">
        <f t="shared" si="80"/>
        <v>0.31203585026556985</v>
      </c>
      <c r="AU231" s="4">
        <v>171</v>
      </c>
      <c r="AV231" s="11">
        <f t="shared" si="81"/>
        <v>0.22641509851007341</v>
      </c>
      <c r="AW231" s="4">
        <v>159</v>
      </c>
      <c r="AX231" s="10">
        <v>53.358130395412445</v>
      </c>
      <c r="AY231" s="10">
        <f t="shared" si="85"/>
        <v>117.64186960458755</v>
      </c>
      <c r="AZ231" s="10">
        <v>36.000000663101673</v>
      </c>
      <c r="BA231" s="10">
        <f t="shared" si="86"/>
        <v>122.99999933689833</v>
      </c>
      <c r="BB231" s="4">
        <f t="shared" si="77"/>
        <v>330</v>
      </c>
    </row>
    <row r="232" spans="1:54" x14ac:dyDescent="0.25">
      <c r="A232" s="9" t="str">
        <f t="shared" si="84"/>
        <v>72U</v>
      </c>
      <c r="B232" s="4">
        <v>72</v>
      </c>
      <c r="C232" s="4">
        <v>1</v>
      </c>
      <c r="D232" s="4" t="s">
        <v>525</v>
      </c>
      <c r="E232" s="4">
        <v>0</v>
      </c>
      <c r="F232" s="4">
        <v>1</v>
      </c>
      <c r="G232" s="4">
        <v>0</v>
      </c>
      <c r="H232" s="2" t="s">
        <v>518</v>
      </c>
      <c r="I232" s="2" t="s">
        <v>519</v>
      </c>
      <c r="J232" s="2" t="s">
        <v>203</v>
      </c>
      <c r="K232" s="4">
        <v>1</v>
      </c>
      <c r="L232" s="2" t="s">
        <v>517</v>
      </c>
      <c r="M232" s="1"/>
      <c r="N232" s="4">
        <v>1</v>
      </c>
      <c r="O232" s="4">
        <v>1</v>
      </c>
      <c r="P232" s="20">
        <f t="shared" si="69"/>
        <v>0.5</v>
      </c>
      <c r="Q232" s="4">
        <v>2020</v>
      </c>
      <c r="R232" s="4" t="s">
        <v>370</v>
      </c>
      <c r="S232" s="4">
        <v>2017</v>
      </c>
      <c r="T232" s="4" t="s">
        <v>514</v>
      </c>
      <c r="U232" s="4">
        <v>4.8000000000000001E-2</v>
      </c>
      <c r="V232" s="4">
        <v>0.96199999999999997</v>
      </c>
      <c r="W232" s="4">
        <v>0.92600000000000005</v>
      </c>
      <c r="X232" s="4">
        <v>75496.754058199804</v>
      </c>
      <c r="Y232" s="4">
        <v>0.124</v>
      </c>
      <c r="Z232" s="4">
        <v>0</v>
      </c>
      <c r="AA232" s="4">
        <v>0</v>
      </c>
      <c r="AB232" s="4" t="s">
        <v>207</v>
      </c>
      <c r="AC232" s="17" t="s">
        <v>512</v>
      </c>
      <c r="AD232" s="20">
        <v>0.97099999999999997</v>
      </c>
      <c r="AE232" s="20">
        <v>2.9000000000000026E-2</v>
      </c>
      <c r="AF232" s="10">
        <v>1</v>
      </c>
      <c r="AG232" s="4">
        <f t="shared" si="70"/>
        <v>1</v>
      </c>
      <c r="AH232" s="3">
        <f t="shared" si="71"/>
        <v>1</v>
      </c>
      <c r="AI232" s="4">
        <f t="shared" si="72"/>
        <v>1</v>
      </c>
      <c r="AJ232" s="4">
        <f t="shared" si="73"/>
        <v>1</v>
      </c>
      <c r="AK232" s="4">
        <f t="shared" si="74"/>
        <v>1</v>
      </c>
      <c r="AL232" s="4">
        <f t="shared" si="75"/>
        <v>1</v>
      </c>
      <c r="AM232" s="4">
        <f t="shared" si="76"/>
        <v>1</v>
      </c>
      <c r="AN232" s="4">
        <v>0</v>
      </c>
      <c r="AO232" s="4">
        <v>0</v>
      </c>
      <c r="AP232" s="4" t="s">
        <v>233</v>
      </c>
      <c r="AQ232" s="4" t="s">
        <v>97</v>
      </c>
      <c r="AR232" s="4">
        <v>1</v>
      </c>
      <c r="AS232" s="4" t="s">
        <v>512</v>
      </c>
      <c r="AT232" s="11">
        <f t="shared" si="80"/>
        <v>0.32258064644311063</v>
      </c>
      <c r="AU232" s="4">
        <v>93</v>
      </c>
      <c r="AV232" s="11">
        <f t="shared" si="81"/>
        <v>0.43243243907754486</v>
      </c>
      <c r="AW232" s="4">
        <v>74</v>
      </c>
      <c r="AX232" s="10">
        <v>30.00000011920929</v>
      </c>
      <c r="AY232" s="10">
        <f t="shared" si="85"/>
        <v>62.99999988079071</v>
      </c>
      <c r="AZ232" s="10">
        <v>32.000000491738319</v>
      </c>
      <c r="BA232" s="10">
        <f t="shared" si="86"/>
        <v>41.999999508261681</v>
      </c>
      <c r="BB232" s="4">
        <f t="shared" si="77"/>
        <v>167</v>
      </c>
    </row>
    <row r="233" spans="1:54" x14ac:dyDescent="0.25">
      <c r="A233" s="9" t="str">
        <f t="shared" si="84"/>
        <v>72V</v>
      </c>
      <c r="B233" s="4">
        <v>72</v>
      </c>
      <c r="C233" s="4">
        <v>1</v>
      </c>
      <c r="D233" s="4" t="s">
        <v>526</v>
      </c>
      <c r="E233" s="4">
        <v>0</v>
      </c>
      <c r="F233" s="4">
        <v>1</v>
      </c>
      <c r="G233" s="4">
        <v>0</v>
      </c>
      <c r="H233" s="2" t="s">
        <v>518</v>
      </c>
      <c r="I233" s="2" t="s">
        <v>519</v>
      </c>
      <c r="J233" s="2" t="s">
        <v>203</v>
      </c>
      <c r="K233" s="4">
        <v>1</v>
      </c>
      <c r="L233" s="2" t="s">
        <v>517</v>
      </c>
      <c r="M233" s="1"/>
      <c r="N233" s="4">
        <v>1</v>
      </c>
      <c r="O233" s="4">
        <v>1</v>
      </c>
      <c r="P233" s="20">
        <f t="shared" si="69"/>
        <v>0.5</v>
      </c>
      <c r="Q233" s="4">
        <v>2020</v>
      </c>
      <c r="R233" s="4" t="s">
        <v>370</v>
      </c>
      <c r="S233" s="4">
        <v>2017</v>
      </c>
      <c r="T233" s="4" t="s">
        <v>514</v>
      </c>
      <c r="U233" s="4">
        <v>4.8000000000000001E-2</v>
      </c>
      <c r="V233" s="4">
        <v>0.96199999999999997</v>
      </c>
      <c r="W233" s="4">
        <v>0.92600000000000005</v>
      </c>
      <c r="X233" s="4">
        <v>75496.754058199804</v>
      </c>
      <c r="Y233" s="4">
        <v>0.124</v>
      </c>
      <c r="Z233" s="4">
        <v>0</v>
      </c>
      <c r="AA233" s="4">
        <v>0</v>
      </c>
      <c r="AB233" s="4" t="s">
        <v>207</v>
      </c>
      <c r="AC233" s="17" t="s">
        <v>506</v>
      </c>
      <c r="AD233" s="20">
        <v>7.0999999999999994E-2</v>
      </c>
      <c r="AE233" s="20">
        <v>0.92900000000000005</v>
      </c>
      <c r="AF233" s="10">
        <v>0</v>
      </c>
      <c r="AG233" s="4">
        <f t="shared" si="70"/>
        <v>0</v>
      </c>
      <c r="AH233" s="3">
        <f t="shared" si="71"/>
        <v>0</v>
      </c>
      <c r="AI233" s="4">
        <f t="shared" si="72"/>
        <v>0</v>
      </c>
      <c r="AJ233" s="4">
        <f t="shared" si="73"/>
        <v>0</v>
      </c>
      <c r="AK233" s="4">
        <f t="shared" si="74"/>
        <v>0</v>
      </c>
      <c r="AL233" s="4">
        <f t="shared" si="75"/>
        <v>0</v>
      </c>
      <c r="AM233" s="4">
        <f t="shared" si="76"/>
        <v>0</v>
      </c>
      <c r="AN233" s="4">
        <v>0</v>
      </c>
      <c r="AO233" s="4">
        <v>0</v>
      </c>
      <c r="AP233" s="4" t="s">
        <v>233</v>
      </c>
      <c r="AQ233" s="4" t="s">
        <v>97</v>
      </c>
      <c r="AR233" s="4">
        <v>1</v>
      </c>
      <c r="AS233" s="4" t="s">
        <v>506</v>
      </c>
      <c r="AT233" s="11">
        <f t="shared" si="80"/>
        <v>0.58441559099531792</v>
      </c>
      <c r="AU233" s="4">
        <v>77</v>
      </c>
      <c r="AV233" s="11">
        <f t="shared" si="81"/>
        <v>0.44285714541162763</v>
      </c>
      <c r="AW233" s="4">
        <v>70</v>
      </c>
      <c r="AX233" s="10">
        <v>45.000000506639481</v>
      </c>
      <c r="AY233" s="10">
        <f t="shared" si="85"/>
        <v>31.999999493360519</v>
      </c>
      <c r="AZ233" s="10">
        <v>31.000000178813934</v>
      </c>
      <c r="BA233" s="10">
        <f t="shared" si="86"/>
        <v>38.999999821186066</v>
      </c>
      <c r="BB233" s="4">
        <f t="shared" si="77"/>
        <v>147</v>
      </c>
    </row>
    <row r="234" spans="1:54" x14ac:dyDescent="0.25">
      <c r="A234" s="9" t="str">
        <f t="shared" si="84"/>
        <v>72W</v>
      </c>
      <c r="B234" s="4">
        <v>72</v>
      </c>
      <c r="C234" s="4">
        <v>1</v>
      </c>
      <c r="D234" s="4" t="s">
        <v>527</v>
      </c>
      <c r="E234" s="4">
        <v>0</v>
      </c>
      <c r="F234" s="4">
        <v>1</v>
      </c>
      <c r="G234" s="4">
        <v>0</v>
      </c>
      <c r="H234" s="2" t="s">
        <v>518</v>
      </c>
      <c r="I234" s="2" t="s">
        <v>519</v>
      </c>
      <c r="J234" s="2" t="s">
        <v>203</v>
      </c>
      <c r="K234" s="4">
        <v>1</v>
      </c>
      <c r="L234" s="2" t="s">
        <v>517</v>
      </c>
      <c r="M234" s="1"/>
      <c r="N234" s="4">
        <v>1</v>
      </c>
      <c r="O234" s="4">
        <v>1</v>
      </c>
      <c r="P234" s="20">
        <f t="shared" si="69"/>
        <v>0.5</v>
      </c>
      <c r="Q234" s="4">
        <v>2020</v>
      </c>
      <c r="R234" s="4" t="s">
        <v>370</v>
      </c>
      <c r="S234" s="4">
        <v>2017</v>
      </c>
      <c r="T234" s="4" t="s">
        <v>514</v>
      </c>
      <c r="U234" s="4">
        <v>4.8000000000000001E-2</v>
      </c>
      <c r="V234" s="4">
        <v>0.96199999999999997</v>
      </c>
      <c r="W234" s="4">
        <v>0.92600000000000005</v>
      </c>
      <c r="X234" s="4">
        <v>75496.754058199804</v>
      </c>
      <c r="Y234" s="4">
        <v>0.124</v>
      </c>
      <c r="Z234" s="4">
        <v>0</v>
      </c>
      <c r="AA234" s="4">
        <v>0</v>
      </c>
      <c r="AB234" s="4" t="s">
        <v>207</v>
      </c>
      <c r="AC234" s="17" t="s">
        <v>507</v>
      </c>
      <c r="AD234" s="20">
        <v>9.7000000000000003E-2</v>
      </c>
      <c r="AE234" s="20">
        <v>0.90300000000000002</v>
      </c>
      <c r="AF234" s="10">
        <v>0</v>
      </c>
      <c r="AG234" s="4">
        <f t="shared" si="70"/>
        <v>0</v>
      </c>
      <c r="AH234" s="3">
        <f t="shared" si="71"/>
        <v>0</v>
      </c>
      <c r="AI234" s="4">
        <f t="shared" si="72"/>
        <v>0</v>
      </c>
      <c r="AJ234" s="4">
        <f t="shared" si="73"/>
        <v>0</v>
      </c>
      <c r="AK234" s="4">
        <f t="shared" si="74"/>
        <v>0</v>
      </c>
      <c r="AL234" s="4">
        <f t="shared" si="75"/>
        <v>0</v>
      </c>
      <c r="AM234" s="4">
        <f t="shared" si="76"/>
        <v>0</v>
      </c>
      <c r="AN234" s="4">
        <v>0</v>
      </c>
      <c r="AO234" s="4">
        <v>0</v>
      </c>
      <c r="AP234" s="4" t="s">
        <v>233</v>
      </c>
      <c r="AQ234" s="4" t="s">
        <v>97</v>
      </c>
      <c r="AR234" s="4">
        <v>1</v>
      </c>
      <c r="AS234" s="4" t="s">
        <v>507</v>
      </c>
      <c r="AT234" s="11">
        <f t="shared" si="80"/>
        <v>0.15404428118074001</v>
      </c>
      <c r="AU234" s="4">
        <v>197</v>
      </c>
      <c r="AV234" s="11">
        <f t="shared" si="81"/>
        <v>0.15022208469773307</v>
      </c>
      <c r="AW234" s="4">
        <v>197</v>
      </c>
      <c r="AX234" s="10">
        <v>30.346723392605782</v>
      </c>
      <c r="AY234" s="10">
        <f t="shared" si="85"/>
        <v>166.65327660739422</v>
      </c>
      <c r="AZ234" s="10">
        <v>29.593750685453415</v>
      </c>
      <c r="BA234" s="10">
        <f t="shared" si="86"/>
        <v>167.40624931454659</v>
      </c>
      <c r="BB234" s="4">
        <f t="shared" si="77"/>
        <v>394</v>
      </c>
    </row>
    <row r="235" spans="1:54" x14ac:dyDescent="0.25">
      <c r="A235" s="9" t="str">
        <f t="shared" si="84"/>
        <v>72X</v>
      </c>
      <c r="B235" s="4">
        <v>72</v>
      </c>
      <c r="C235" s="4">
        <v>1</v>
      </c>
      <c r="D235" s="4" t="s">
        <v>528</v>
      </c>
      <c r="E235" s="4">
        <v>0</v>
      </c>
      <c r="F235" s="4">
        <v>1</v>
      </c>
      <c r="G235" s="4">
        <v>0</v>
      </c>
      <c r="H235" s="2" t="s">
        <v>518</v>
      </c>
      <c r="I235" s="2" t="s">
        <v>519</v>
      </c>
      <c r="J235" s="2" t="s">
        <v>203</v>
      </c>
      <c r="K235" s="4">
        <v>1</v>
      </c>
      <c r="L235" s="2" t="s">
        <v>517</v>
      </c>
      <c r="M235" s="1"/>
      <c r="N235" s="4">
        <v>1</v>
      </c>
      <c r="O235" s="4">
        <v>1</v>
      </c>
      <c r="P235" s="20">
        <f t="shared" si="69"/>
        <v>0.5</v>
      </c>
      <c r="Q235" s="4">
        <v>2020</v>
      </c>
      <c r="R235" s="4" t="s">
        <v>370</v>
      </c>
      <c r="S235" s="4">
        <v>2017</v>
      </c>
      <c r="T235" s="4" t="s">
        <v>514</v>
      </c>
      <c r="U235" s="4">
        <v>4.8000000000000001E-2</v>
      </c>
      <c r="V235" s="4">
        <v>0.96199999999999997</v>
      </c>
      <c r="W235" s="4">
        <v>0.92600000000000005</v>
      </c>
      <c r="X235" s="4">
        <v>75496.754058199804</v>
      </c>
      <c r="Y235" s="4">
        <v>0.124</v>
      </c>
      <c r="Z235" s="4">
        <v>0</v>
      </c>
      <c r="AA235" s="4">
        <v>0</v>
      </c>
      <c r="AB235" s="4" t="s">
        <v>207</v>
      </c>
      <c r="AC235" s="17" t="s">
        <v>513</v>
      </c>
      <c r="AD235" s="20">
        <v>0.98399999999999999</v>
      </c>
      <c r="AE235" s="20">
        <v>1.6000000000000014E-2</v>
      </c>
      <c r="AF235" s="10">
        <v>1</v>
      </c>
      <c r="AG235" s="4">
        <f t="shared" si="70"/>
        <v>1</v>
      </c>
      <c r="AH235" s="3">
        <f t="shared" si="71"/>
        <v>1</v>
      </c>
      <c r="AI235" s="4">
        <f t="shared" si="72"/>
        <v>1</v>
      </c>
      <c r="AJ235" s="4">
        <f t="shared" si="73"/>
        <v>1</v>
      </c>
      <c r="AK235" s="4">
        <f t="shared" si="74"/>
        <v>1</v>
      </c>
      <c r="AL235" s="4">
        <f t="shared" si="75"/>
        <v>1</v>
      </c>
      <c r="AM235" s="4">
        <f t="shared" si="76"/>
        <v>1</v>
      </c>
      <c r="AN235" s="4">
        <v>1</v>
      </c>
      <c r="AO235" s="4">
        <v>0</v>
      </c>
      <c r="AP235" s="4" t="s">
        <v>233</v>
      </c>
      <c r="AQ235" s="4" t="s">
        <v>97</v>
      </c>
      <c r="AR235" s="4">
        <v>1</v>
      </c>
      <c r="AS235" s="4" t="s">
        <v>513</v>
      </c>
      <c r="AT235" s="11">
        <f t="shared" ref="AT235:AT266" si="87">AX235/AU235</f>
        <v>0.41666667287548381</v>
      </c>
      <c r="AU235" s="4">
        <v>48</v>
      </c>
      <c r="AV235" s="11">
        <f t="shared" ref="AV235:AV266" si="88">AZ235/AW235</f>
        <v>0.45070422136447796</v>
      </c>
      <c r="AW235" s="4">
        <v>71</v>
      </c>
      <c r="AX235" s="10">
        <v>20.000000298023224</v>
      </c>
      <c r="AY235" s="10">
        <f t="shared" si="85"/>
        <v>27.999999701976776</v>
      </c>
      <c r="AZ235" s="10">
        <v>31.999999716877937</v>
      </c>
      <c r="BA235" s="10">
        <f t="shared" si="86"/>
        <v>39.000000283122063</v>
      </c>
      <c r="BB235" s="4">
        <f t="shared" si="77"/>
        <v>119</v>
      </c>
    </row>
    <row r="236" spans="1:54" x14ac:dyDescent="0.25">
      <c r="A236" s="9" t="str">
        <f t="shared" si="84"/>
        <v>72Y</v>
      </c>
      <c r="B236" s="4">
        <v>72</v>
      </c>
      <c r="C236" s="4">
        <v>1</v>
      </c>
      <c r="D236" s="4" t="s">
        <v>529</v>
      </c>
      <c r="E236" s="4">
        <v>0</v>
      </c>
      <c r="F236" s="4">
        <v>1</v>
      </c>
      <c r="G236" s="4">
        <v>0</v>
      </c>
      <c r="H236" s="2" t="s">
        <v>518</v>
      </c>
      <c r="I236" s="2" t="s">
        <v>519</v>
      </c>
      <c r="J236" s="2" t="s">
        <v>203</v>
      </c>
      <c r="K236" s="4">
        <v>1</v>
      </c>
      <c r="L236" s="2" t="s">
        <v>517</v>
      </c>
      <c r="M236" s="1"/>
      <c r="N236" s="4">
        <v>1</v>
      </c>
      <c r="O236" s="4">
        <v>1</v>
      </c>
      <c r="P236" s="20">
        <f t="shared" si="69"/>
        <v>0.5</v>
      </c>
      <c r="Q236" s="4">
        <v>2020</v>
      </c>
      <c r="R236" s="4" t="s">
        <v>370</v>
      </c>
      <c r="S236" s="4">
        <v>2017</v>
      </c>
      <c r="T236" s="4" t="s">
        <v>514</v>
      </c>
      <c r="U236" s="4">
        <v>4.8000000000000001E-2</v>
      </c>
      <c r="V236" s="4">
        <v>0.96199999999999997</v>
      </c>
      <c r="W236" s="4">
        <v>0.92600000000000005</v>
      </c>
      <c r="X236" s="4">
        <v>75496.754058199804</v>
      </c>
      <c r="Y236" s="4">
        <v>0.124</v>
      </c>
      <c r="Z236" s="4">
        <v>0</v>
      </c>
      <c r="AA236" s="4">
        <v>0</v>
      </c>
      <c r="AB236" s="4" t="s">
        <v>207</v>
      </c>
      <c r="AC236" s="17" t="s">
        <v>324</v>
      </c>
      <c r="AD236" s="20">
        <v>0.3715</v>
      </c>
      <c r="AE236" s="20">
        <v>0.62850000000000006</v>
      </c>
      <c r="AF236" s="10">
        <v>0</v>
      </c>
      <c r="AG236" s="4">
        <f t="shared" si="70"/>
        <v>0</v>
      </c>
      <c r="AH236" s="3">
        <f t="shared" si="71"/>
        <v>0</v>
      </c>
      <c r="AI236" s="4">
        <f t="shared" si="72"/>
        <v>0</v>
      </c>
      <c r="AJ236" s="4">
        <f t="shared" si="73"/>
        <v>2</v>
      </c>
      <c r="AK236" s="4">
        <f t="shared" si="74"/>
        <v>1</v>
      </c>
      <c r="AL236" s="4">
        <f t="shared" si="75"/>
        <v>2</v>
      </c>
      <c r="AM236" s="4">
        <f t="shared" si="76"/>
        <v>1</v>
      </c>
      <c r="AN236" s="4">
        <v>0</v>
      </c>
      <c r="AO236" s="4">
        <v>0</v>
      </c>
      <c r="AP236" s="4" t="s">
        <v>233</v>
      </c>
      <c r="AQ236" s="4" t="s">
        <v>97</v>
      </c>
      <c r="AR236" s="4">
        <v>1</v>
      </c>
      <c r="AS236" s="4" t="s">
        <v>324</v>
      </c>
      <c r="AT236" s="11">
        <f t="shared" si="87"/>
        <v>0.22916666915019354</v>
      </c>
      <c r="AU236" s="4">
        <v>48</v>
      </c>
      <c r="AV236" s="11">
        <f t="shared" si="88"/>
        <v>0.27777778026130462</v>
      </c>
      <c r="AW236" s="4">
        <v>36</v>
      </c>
      <c r="AX236" s="10">
        <v>11.00000011920929</v>
      </c>
      <c r="AY236" s="10">
        <f t="shared" si="85"/>
        <v>36.99999988079071</v>
      </c>
      <c r="AZ236" s="10">
        <v>10.000000089406967</v>
      </c>
      <c r="BA236" s="10">
        <f t="shared" si="86"/>
        <v>25.999999910593033</v>
      </c>
      <c r="BB236" s="4">
        <f t="shared" si="77"/>
        <v>84</v>
      </c>
    </row>
    <row r="237" spans="1:54" x14ac:dyDescent="0.25">
      <c r="A237" s="9" t="str">
        <f t="shared" si="84"/>
        <v>72Z</v>
      </c>
      <c r="B237" s="4">
        <v>72</v>
      </c>
      <c r="C237" s="4">
        <v>1</v>
      </c>
      <c r="D237" s="4" t="s">
        <v>530</v>
      </c>
      <c r="E237" s="4">
        <v>0</v>
      </c>
      <c r="F237" s="4">
        <v>1</v>
      </c>
      <c r="G237" s="4">
        <v>0</v>
      </c>
      <c r="H237" s="2" t="s">
        <v>518</v>
      </c>
      <c r="I237" s="2" t="s">
        <v>519</v>
      </c>
      <c r="J237" s="2" t="s">
        <v>203</v>
      </c>
      <c r="K237" s="4">
        <v>1</v>
      </c>
      <c r="L237" s="2" t="s">
        <v>517</v>
      </c>
      <c r="M237" s="1"/>
      <c r="N237" s="4">
        <v>1</v>
      </c>
      <c r="O237" s="4">
        <v>1</v>
      </c>
      <c r="P237" s="20">
        <f t="shared" si="69"/>
        <v>0.5</v>
      </c>
      <c r="Q237" s="4">
        <v>2020</v>
      </c>
      <c r="R237" s="4" t="s">
        <v>370</v>
      </c>
      <c r="S237" s="4">
        <v>2017</v>
      </c>
      <c r="T237" s="4" t="s">
        <v>514</v>
      </c>
      <c r="U237" s="4">
        <v>4.8000000000000001E-2</v>
      </c>
      <c r="V237" s="4">
        <v>0.96199999999999997</v>
      </c>
      <c r="W237" s="4">
        <v>0.92600000000000005</v>
      </c>
      <c r="X237" s="4">
        <v>75496.754058199804</v>
      </c>
      <c r="Y237" s="4">
        <v>0.124</v>
      </c>
      <c r="Z237" s="4">
        <v>0</v>
      </c>
      <c r="AA237" s="4">
        <v>0</v>
      </c>
      <c r="AB237" s="4" t="s">
        <v>207</v>
      </c>
      <c r="AC237" s="17" t="s">
        <v>508</v>
      </c>
      <c r="AD237" s="20">
        <v>0.36699999999999999</v>
      </c>
      <c r="AE237" s="20">
        <v>0.63300000000000001</v>
      </c>
      <c r="AF237" s="10">
        <v>2</v>
      </c>
      <c r="AG237" s="4">
        <f t="shared" si="70"/>
        <v>1</v>
      </c>
      <c r="AH237" s="3">
        <f t="shared" si="71"/>
        <v>0</v>
      </c>
      <c r="AI237" s="4">
        <f t="shared" si="72"/>
        <v>0</v>
      </c>
      <c r="AJ237" s="4">
        <f t="shared" si="73"/>
        <v>2</v>
      </c>
      <c r="AK237" s="4">
        <f t="shared" si="74"/>
        <v>1</v>
      </c>
      <c r="AL237" s="4">
        <f t="shared" si="75"/>
        <v>2</v>
      </c>
      <c r="AM237" s="4">
        <f t="shared" si="76"/>
        <v>1</v>
      </c>
      <c r="AN237" s="4">
        <v>0</v>
      </c>
      <c r="AO237" s="4">
        <v>0</v>
      </c>
      <c r="AP237" s="4" t="s">
        <v>100</v>
      </c>
      <c r="AQ237" s="4" t="s">
        <v>97</v>
      </c>
      <c r="AR237" s="4">
        <v>1</v>
      </c>
      <c r="AS237" s="4" t="s">
        <v>508</v>
      </c>
      <c r="AT237" s="11">
        <f t="shared" si="87"/>
        <v>0.20771087943873506</v>
      </c>
      <c r="AU237" s="4">
        <v>329</v>
      </c>
      <c r="AV237" s="11">
        <f t="shared" si="88"/>
        <v>0.19657501898879229</v>
      </c>
      <c r="AW237" s="4">
        <v>344</v>
      </c>
      <c r="AX237" s="10">
        <v>68.336879335343838</v>
      </c>
      <c r="AY237" s="10">
        <f t="shared" si="85"/>
        <v>260.66312066465616</v>
      </c>
      <c r="AZ237" s="10">
        <v>67.621806532144547</v>
      </c>
      <c r="BA237" s="10">
        <f t="shared" si="86"/>
        <v>276.37819346785545</v>
      </c>
      <c r="BB237" s="4">
        <f t="shared" si="77"/>
        <v>673</v>
      </c>
    </row>
    <row r="238" spans="1:54" x14ac:dyDescent="0.25">
      <c r="A238" s="9" t="str">
        <f t="shared" si="84"/>
        <v>72ZA</v>
      </c>
      <c r="B238" s="4">
        <v>72</v>
      </c>
      <c r="C238" s="4">
        <v>1</v>
      </c>
      <c r="D238" s="4" t="s">
        <v>531</v>
      </c>
      <c r="E238" s="4">
        <v>0</v>
      </c>
      <c r="F238" s="4">
        <v>1</v>
      </c>
      <c r="G238" s="4">
        <v>0</v>
      </c>
      <c r="H238" s="2" t="s">
        <v>518</v>
      </c>
      <c r="I238" s="2" t="s">
        <v>519</v>
      </c>
      <c r="J238" s="2" t="s">
        <v>203</v>
      </c>
      <c r="K238" s="4">
        <v>1</v>
      </c>
      <c r="L238" s="2" t="s">
        <v>517</v>
      </c>
      <c r="M238" s="1"/>
      <c r="N238" s="4">
        <v>1</v>
      </c>
      <c r="O238" s="4">
        <v>1</v>
      </c>
      <c r="P238" s="20">
        <f t="shared" si="69"/>
        <v>0.5</v>
      </c>
      <c r="Q238" s="4">
        <v>2020</v>
      </c>
      <c r="R238" s="4" t="s">
        <v>370</v>
      </c>
      <c r="S238" s="4">
        <v>2017</v>
      </c>
      <c r="T238" s="4" t="s">
        <v>514</v>
      </c>
      <c r="U238" s="4">
        <v>4.8000000000000001E-2</v>
      </c>
      <c r="V238" s="4">
        <v>0.96199999999999997</v>
      </c>
      <c r="W238" s="4">
        <v>0.92600000000000005</v>
      </c>
      <c r="X238" s="4">
        <v>75496.754058199804</v>
      </c>
      <c r="Y238" s="4">
        <v>0.124</v>
      </c>
      <c r="Z238" s="4">
        <v>0</v>
      </c>
      <c r="AA238" s="4">
        <v>0</v>
      </c>
      <c r="AB238" s="4" t="s">
        <v>207</v>
      </c>
      <c r="AC238" s="17" t="s">
        <v>509</v>
      </c>
      <c r="AD238" s="20">
        <v>0.84650000000000003</v>
      </c>
      <c r="AE238" s="20">
        <v>0.15349999999999997</v>
      </c>
      <c r="AF238" s="10">
        <v>1</v>
      </c>
      <c r="AG238" s="4">
        <f t="shared" si="70"/>
        <v>1</v>
      </c>
      <c r="AH238" s="3">
        <f t="shared" si="71"/>
        <v>1</v>
      </c>
      <c r="AI238" s="4">
        <f t="shared" si="72"/>
        <v>1</v>
      </c>
      <c r="AJ238" s="4">
        <f t="shared" si="73"/>
        <v>1</v>
      </c>
      <c r="AK238" s="4">
        <f t="shared" si="74"/>
        <v>1</v>
      </c>
      <c r="AL238" s="4">
        <f t="shared" si="75"/>
        <v>1</v>
      </c>
      <c r="AM238" s="4">
        <f t="shared" si="76"/>
        <v>1</v>
      </c>
      <c r="AN238" s="4">
        <v>0</v>
      </c>
      <c r="AO238" s="4">
        <v>0</v>
      </c>
      <c r="AP238" s="4" t="s">
        <v>100</v>
      </c>
      <c r="AQ238" s="4" t="s">
        <v>97</v>
      </c>
      <c r="AR238" s="4">
        <v>1</v>
      </c>
      <c r="AS238" s="4" t="s">
        <v>509</v>
      </c>
      <c r="AT238" s="11">
        <f t="shared" si="87"/>
        <v>0.48482587866818727</v>
      </c>
      <c r="AU238" s="4">
        <v>201</v>
      </c>
      <c r="AV238" s="11">
        <f t="shared" si="88"/>
        <v>0.47641509694029699</v>
      </c>
      <c r="AW238" s="4">
        <v>212</v>
      </c>
      <c r="AX238" s="10">
        <v>97.450001612305641</v>
      </c>
      <c r="AY238" s="10">
        <f t="shared" si="85"/>
        <v>103.54999838769436</v>
      </c>
      <c r="AZ238" s="10">
        <v>101.00000055134296</v>
      </c>
      <c r="BA238" s="10">
        <f t="shared" si="86"/>
        <v>110.99999944865704</v>
      </c>
      <c r="BB238" s="4">
        <f t="shared" si="77"/>
        <v>413</v>
      </c>
    </row>
    <row r="239" spans="1:54" x14ac:dyDescent="0.25">
      <c r="A239" s="9" t="str">
        <f t="shared" si="84"/>
        <v>72ZB</v>
      </c>
      <c r="B239" s="4">
        <v>72</v>
      </c>
      <c r="C239" s="4">
        <v>1</v>
      </c>
      <c r="D239" s="4" t="s">
        <v>532</v>
      </c>
      <c r="E239" s="4">
        <v>0</v>
      </c>
      <c r="F239" s="4">
        <v>1</v>
      </c>
      <c r="G239" s="4">
        <v>0</v>
      </c>
      <c r="H239" s="2" t="s">
        <v>518</v>
      </c>
      <c r="I239" s="2" t="s">
        <v>519</v>
      </c>
      <c r="J239" s="2" t="s">
        <v>203</v>
      </c>
      <c r="K239" s="4">
        <v>1</v>
      </c>
      <c r="L239" s="2" t="s">
        <v>517</v>
      </c>
      <c r="M239" s="1"/>
      <c r="N239" s="4">
        <v>1</v>
      </c>
      <c r="O239" s="4">
        <v>1</v>
      </c>
      <c r="P239" s="20">
        <f t="shared" si="69"/>
        <v>0.5</v>
      </c>
      <c r="Q239" s="4">
        <v>2020</v>
      </c>
      <c r="R239" s="4" t="s">
        <v>370</v>
      </c>
      <c r="S239" s="4">
        <v>2017</v>
      </c>
      <c r="T239" s="4" t="s">
        <v>514</v>
      </c>
      <c r="U239" s="4">
        <v>4.8000000000000001E-2</v>
      </c>
      <c r="V239" s="4">
        <v>0.96199999999999997</v>
      </c>
      <c r="W239" s="4">
        <v>0.92600000000000005</v>
      </c>
      <c r="X239" s="4">
        <v>75496.754058199804</v>
      </c>
      <c r="Y239" s="4">
        <v>0.124</v>
      </c>
      <c r="Z239" s="4">
        <v>0</v>
      </c>
      <c r="AA239" s="4">
        <v>0</v>
      </c>
      <c r="AB239" s="4" t="s">
        <v>207</v>
      </c>
      <c r="AC239" s="17" t="s">
        <v>510</v>
      </c>
      <c r="AD239" s="20">
        <v>0.35399999999999998</v>
      </c>
      <c r="AE239" s="20">
        <v>0.64600000000000002</v>
      </c>
      <c r="AF239" s="10">
        <v>2</v>
      </c>
      <c r="AG239" s="4">
        <f t="shared" si="70"/>
        <v>1</v>
      </c>
      <c r="AH239" s="3">
        <f t="shared" si="71"/>
        <v>0</v>
      </c>
      <c r="AI239" s="4">
        <f t="shared" si="72"/>
        <v>0</v>
      </c>
      <c r="AJ239" s="4">
        <f t="shared" si="73"/>
        <v>2</v>
      </c>
      <c r="AK239" s="4">
        <f t="shared" si="74"/>
        <v>1</v>
      </c>
      <c r="AL239" s="4">
        <f t="shared" si="75"/>
        <v>2</v>
      </c>
      <c r="AM239" s="4">
        <f t="shared" si="76"/>
        <v>1</v>
      </c>
      <c r="AN239" s="4">
        <v>0</v>
      </c>
      <c r="AO239" s="4">
        <v>0</v>
      </c>
      <c r="AP239" s="4" t="s">
        <v>233</v>
      </c>
      <c r="AQ239" s="4" t="s">
        <v>97</v>
      </c>
      <c r="AR239" s="4">
        <v>1</v>
      </c>
      <c r="AS239" s="4" t="s">
        <v>510</v>
      </c>
      <c r="AT239" s="11">
        <f t="shared" si="87"/>
        <v>0.11842105351388454</v>
      </c>
      <c r="AU239" s="4">
        <v>152</v>
      </c>
      <c r="AV239" s="11">
        <f t="shared" si="88"/>
        <v>5.3333334401249884E-2</v>
      </c>
      <c r="AW239" s="4">
        <v>150</v>
      </c>
      <c r="AX239" s="10">
        <v>18.000000134110451</v>
      </c>
      <c r="AY239" s="10">
        <f t="shared" si="85"/>
        <v>133.99999986588955</v>
      </c>
      <c r="AZ239" s="10">
        <v>8.0000001601874828</v>
      </c>
      <c r="BA239" s="10">
        <f t="shared" si="86"/>
        <v>141.99999983981252</v>
      </c>
      <c r="BB239" s="4">
        <f t="shared" si="77"/>
        <v>302</v>
      </c>
    </row>
    <row r="240" spans="1:54" x14ac:dyDescent="0.25">
      <c r="A240" s="9" t="str">
        <f t="shared" si="84"/>
        <v>72ZC</v>
      </c>
      <c r="B240" s="4">
        <v>72</v>
      </c>
      <c r="C240" s="4">
        <v>1</v>
      </c>
      <c r="D240" s="4" t="s">
        <v>533</v>
      </c>
      <c r="E240" s="4">
        <v>0</v>
      </c>
      <c r="F240" s="4">
        <v>1</v>
      </c>
      <c r="G240" s="4">
        <v>0</v>
      </c>
      <c r="H240" s="2" t="s">
        <v>518</v>
      </c>
      <c r="I240" s="2" t="s">
        <v>519</v>
      </c>
      <c r="J240" s="2" t="s">
        <v>203</v>
      </c>
      <c r="K240" s="4">
        <v>1</v>
      </c>
      <c r="L240" s="2" t="s">
        <v>517</v>
      </c>
      <c r="M240" s="1"/>
      <c r="N240" s="4">
        <v>1</v>
      </c>
      <c r="O240" s="4">
        <v>1</v>
      </c>
      <c r="P240" s="20">
        <f t="shared" si="69"/>
        <v>0.5</v>
      </c>
      <c r="Q240" s="4">
        <v>2020</v>
      </c>
      <c r="R240" s="4" t="s">
        <v>370</v>
      </c>
      <c r="S240" s="4">
        <v>2017</v>
      </c>
      <c r="T240" s="4" t="s">
        <v>286</v>
      </c>
      <c r="U240" s="4">
        <v>7.8E-2</v>
      </c>
      <c r="V240" s="4">
        <v>0.90100000000000002</v>
      </c>
      <c r="W240" s="4">
        <v>0.83599999999999997</v>
      </c>
      <c r="X240" s="4">
        <v>28185.321367196899</v>
      </c>
      <c r="Y240" s="4">
        <v>7.3999999999999996E-2</v>
      </c>
      <c r="Z240" s="4">
        <v>0</v>
      </c>
      <c r="AA240" s="4">
        <v>0</v>
      </c>
      <c r="AB240" s="4" t="s">
        <v>207</v>
      </c>
      <c r="AC240" s="17" t="s">
        <v>505</v>
      </c>
      <c r="AD240" s="20">
        <v>0.56799999999999995</v>
      </c>
      <c r="AE240" s="20">
        <v>0.43200000000000005</v>
      </c>
      <c r="AF240" s="10">
        <v>1</v>
      </c>
      <c r="AG240" s="4">
        <f t="shared" si="70"/>
        <v>1</v>
      </c>
      <c r="AH240" s="3">
        <f t="shared" si="71"/>
        <v>2</v>
      </c>
      <c r="AI240" s="4">
        <f t="shared" si="72"/>
        <v>1</v>
      </c>
      <c r="AJ240" s="4">
        <f t="shared" si="73"/>
        <v>2</v>
      </c>
      <c r="AK240" s="4">
        <f t="shared" si="74"/>
        <v>1</v>
      </c>
      <c r="AL240" s="4">
        <f t="shared" si="75"/>
        <v>2</v>
      </c>
      <c r="AM240" s="4">
        <f t="shared" si="76"/>
        <v>1</v>
      </c>
      <c r="AN240" s="4">
        <v>0</v>
      </c>
      <c r="AO240" s="4">
        <v>0</v>
      </c>
      <c r="AP240" s="4" t="s">
        <v>233</v>
      </c>
      <c r="AQ240" s="4" t="s">
        <v>97</v>
      </c>
      <c r="AR240" s="4">
        <v>1</v>
      </c>
      <c r="AS240" s="4" t="s">
        <v>505</v>
      </c>
      <c r="AT240" s="11">
        <f t="shared" si="87"/>
        <v>0.22408026771634451</v>
      </c>
      <c r="AU240" s="4">
        <v>897</v>
      </c>
      <c r="AV240" s="11">
        <f t="shared" si="88"/>
        <v>0.22797927461139897</v>
      </c>
      <c r="AW240" s="4">
        <v>772</v>
      </c>
      <c r="AX240" s="10">
        <v>201.00000014156103</v>
      </c>
      <c r="AY240" s="10">
        <f t="shared" si="85"/>
        <v>695.99999985843897</v>
      </c>
      <c r="AZ240" s="10">
        <v>176</v>
      </c>
      <c r="BA240" s="10">
        <f t="shared" si="86"/>
        <v>596</v>
      </c>
      <c r="BB240" s="4">
        <f t="shared" si="77"/>
        <v>1669</v>
      </c>
    </row>
    <row r="241" spans="1:54" x14ac:dyDescent="0.25">
      <c r="A241" s="9" t="str">
        <f t="shared" si="84"/>
        <v>72ZE</v>
      </c>
      <c r="B241" s="4">
        <v>72</v>
      </c>
      <c r="C241" s="4">
        <v>1</v>
      </c>
      <c r="D241" s="4" t="s">
        <v>534</v>
      </c>
      <c r="E241" s="4">
        <v>0</v>
      </c>
      <c r="F241" s="4">
        <v>1</v>
      </c>
      <c r="G241" s="4">
        <v>0</v>
      </c>
      <c r="H241" s="2" t="s">
        <v>518</v>
      </c>
      <c r="I241" s="2" t="s">
        <v>519</v>
      </c>
      <c r="J241" s="2" t="s">
        <v>203</v>
      </c>
      <c r="K241" s="4">
        <v>1</v>
      </c>
      <c r="L241" s="2" t="s">
        <v>517</v>
      </c>
      <c r="M241" s="1"/>
      <c r="N241" s="4">
        <v>1</v>
      </c>
      <c r="O241" s="4">
        <v>1</v>
      </c>
      <c r="P241" s="20">
        <f t="shared" si="69"/>
        <v>0.5</v>
      </c>
      <c r="Q241" s="4">
        <v>2020</v>
      </c>
      <c r="R241" s="4" t="s">
        <v>370</v>
      </c>
      <c r="S241" s="4">
        <v>2017</v>
      </c>
      <c r="T241" s="4" t="s">
        <v>286</v>
      </c>
      <c r="U241" s="4">
        <v>7.8E-2</v>
      </c>
      <c r="V241" s="4">
        <v>0.90100000000000002</v>
      </c>
      <c r="W241" s="4">
        <v>0.83599999999999997</v>
      </c>
      <c r="X241" s="4">
        <v>28185.321367196899</v>
      </c>
      <c r="Y241" s="4">
        <v>7.3999999999999996E-2</v>
      </c>
      <c r="Z241" s="4">
        <v>0</v>
      </c>
      <c r="AA241" s="4">
        <v>0</v>
      </c>
      <c r="AB241" s="4" t="s">
        <v>207</v>
      </c>
      <c r="AC241" s="17" t="s">
        <v>506</v>
      </c>
      <c r="AD241" s="20">
        <v>0.39200000000000002</v>
      </c>
      <c r="AE241" s="20">
        <v>0.60799999999999998</v>
      </c>
      <c r="AF241" s="10">
        <v>0</v>
      </c>
      <c r="AG241" s="4">
        <f t="shared" si="70"/>
        <v>0</v>
      </c>
      <c r="AH241" s="3">
        <f t="shared" si="71"/>
        <v>0</v>
      </c>
      <c r="AI241" s="4">
        <f t="shared" si="72"/>
        <v>0</v>
      </c>
      <c r="AJ241" s="4">
        <f t="shared" si="73"/>
        <v>2</v>
      </c>
      <c r="AK241" s="4">
        <f t="shared" si="74"/>
        <v>1</v>
      </c>
      <c r="AL241" s="4">
        <f t="shared" si="75"/>
        <v>2</v>
      </c>
      <c r="AM241" s="4">
        <f t="shared" si="76"/>
        <v>1</v>
      </c>
      <c r="AN241" s="4">
        <v>0</v>
      </c>
      <c r="AO241" s="4">
        <v>0</v>
      </c>
      <c r="AP241" s="4" t="s">
        <v>233</v>
      </c>
      <c r="AQ241" s="4" t="s">
        <v>97</v>
      </c>
      <c r="AR241" s="4">
        <v>1</v>
      </c>
      <c r="AS241" s="4" t="s">
        <v>506</v>
      </c>
      <c r="AT241" s="11">
        <f t="shared" si="87"/>
        <v>0.23408624324832852</v>
      </c>
      <c r="AU241" s="4">
        <v>487</v>
      </c>
      <c r="AV241" s="11">
        <f t="shared" si="88"/>
        <v>0.21932115458321633</v>
      </c>
      <c r="AW241" s="4">
        <v>383</v>
      </c>
      <c r="AX241" s="10">
        <v>114.000000461936</v>
      </c>
      <c r="AY241" s="10">
        <f t="shared" si="85"/>
        <v>372.999999538064</v>
      </c>
      <c r="AZ241" s="10">
        <v>84.000002205371857</v>
      </c>
      <c r="BA241" s="10">
        <f t="shared" si="86"/>
        <v>298.99999779462814</v>
      </c>
      <c r="BB241" s="4">
        <f t="shared" si="77"/>
        <v>870</v>
      </c>
    </row>
    <row r="242" spans="1:54" x14ac:dyDescent="0.25">
      <c r="A242" s="9" t="str">
        <f t="shared" si="84"/>
        <v>72ZF</v>
      </c>
      <c r="B242" s="4">
        <v>72</v>
      </c>
      <c r="C242" s="4">
        <v>1</v>
      </c>
      <c r="D242" s="4" t="s">
        <v>535</v>
      </c>
      <c r="E242" s="4">
        <v>0</v>
      </c>
      <c r="F242" s="4">
        <v>1</v>
      </c>
      <c r="G242" s="4">
        <v>0</v>
      </c>
      <c r="H242" s="2" t="s">
        <v>518</v>
      </c>
      <c r="I242" s="2" t="s">
        <v>519</v>
      </c>
      <c r="J242" s="2" t="s">
        <v>203</v>
      </c>
      <c r="K242" s="4">
        <v>1</v>
      </c>
      <c r="L242" s="2" t="s">
        <v>517</v>
      </c>
      <c r="M242" s="1"/>
      <c r="N242" s="4">
        <v>1</v>
      </c>
      <c r="O242" s="4">
        <v>1</v>
      </c>
      <c r="P242" s="20">
        <f t="shared" si="69"/>
        <v>0.5</v>
      </c>
      <c r="Q242" s="4">
        <v>2020</v>
      </c>
      <c r="R242" s="4" t="s">
        <v>370</v>
      </c>
      <c r="S242" s="4">
        <v>2017</v>
      </c>
      <c r="T242" s="4" t="s">
        <v>286</v>
      </c>
      <c r="U242" s="4">
        <v>7.8E-2</v>
      </c>
      <c r="V242" s="4">
        <v>0.90100000000000002</v>
      </c>
      <c r="W242" s="4">
        <v>0.83599999999999997</v>
      </c>
      <c r="X242" s="4">
        <v>28185.321367196899</v>
      </c>
      <c r="Y242" s="4">
        <v>7.3999999999999996E-2</v>
      </c>
      <c r="Z242" s="4">
        <v>0</v>
      </c>
      <c r="AA242" s="4">
        <v>0</v>
      </c>
      <c r="AB242" s="4" t="s">
        <v>207</v>
      </c>
      <c r="AC242" s="17" t="s">
        <v>507</v>
      </c>
      <c r="AD242" s="20">
        <v>0.499</v>
      </c>
      <c r="AE242" s="20">
        <v>0.501</v>
      </c>
      <c r="AF242" s="10">
        <v>0</v>
      </c>
      <c r="AG242" s="4">
        <f t="shared" si="70"/>
        <v>0</v>
      </c>
      <c r="AH242" s="3">
        <f t="shared" si="71"/>
        <v>2</v>
      </c>
      <c r="AI242" s="4">
        <f t="shared" si="72"/>
        <v>1</v>
      </c>
      <c r="AJ242" s="4">
        <f t="shared" si="73"/>
        <v>2</v>
      </c>
      <c r="AK242" s="4">
        <f t="shared" si="74"/>
        <v>1</v>
      </c>
      <c r="AL242" s="4">
        <f t="shared" si="75"/>
        <v>2</v>
      </c>
      <c r="AM242" s="4">
        <f t="shared" si="76"/>
        <v>1</v>
      </c>
      <c r="AN242" s="4">
        <v>0</v>
      </c>
      <c r="AO242" s="4">
        <v>0</v>
      </c>
      <c r="AP242" s="4" t="s">
        <v>233</v>
      </c>
      <c r="AQ242" s="4" t="s">
        <v>97</v>
      </c>
      <c r="AR242" s="4">
        <v>1</v>
      </c>
      <c r="AS242" s="4" t="s">
        <v>507</v>
      </c>
      <c r="AT242" s="11">
        <f t="shared" si="87"/>
        <v>0.20833333661747083</v>
      </c>
      <c r="AU242" s="4">
        <v>456</v>
      </c>
      <c r="AV242" s="11">
        <f t="shared" si="88"/>
        <v>0.17195767487483049</v>
      </c>
      <c r="AW242" s="4">
        <v>378</v>
      </c>
      <c r="AX242" s="10">
        <v>95.0000014975667</v>
      </c>
      <c r="AY242" s="10">
        <f t="shared" si="85"/>
        <v>360.9999985024333</v>
      </c>
      <c r="AZ242" s="10">
        <v>65.000001102685928</v>
      </c>
      <c r="BA242" s="10">
        <f t="shared" si="86"/>
        <v>312.99999889731407</v>
      </c>
      <c r="BB242" s="4">
        <f t="shared" si="77"/>
        <v>834</v>
      </c>
    </row>
    <row r="243" spans="1:54" x14ac:dyDescent="0.25">
      <c r="A243" s="9" t="str">
        <f t="shared" si="84"/>
        <v>72ZG</v>
      </c>
      <c r="B243" s="4">
        <v>72</v>
      </c>
      <c r="C243" s="4">
        <v>1</v>
      </c>
      <c r="D243" s="4" t="s">
        <v>536</v>
      </c>
      <c r="E243" s="4">
        <v>0</v>
      </c>
      <c r="F243" s="4">
        <v>1</v>
      </c>
      <c r="G243" s="4">
        <v>0</v>
      </c>
      <c r="H243" s="2" t="s">
        <v>518</v>
      </c>
      <c r="I243" s="2" t="s">
        <v>519</v>
      </c>
      <c r="J243" s="2" t="s">
        <v>203</v>
      </c>
      <c r="K243" s="4">
        <v>1</v>
      </c>
      <c r="L243" s="2" t="s">
        <v>517</v>
      </c>
      <c r="M243" s="1"/>
      <c r="N243" s="4">
        <v>1</v>
      </c>
      <c r="O243" s="4">
        <v>1</v>
      </c>
      <c r="P243" s="20">
        <f t="shared" si="69"/>
        <v>0.5</v>
      </c>
      <c r="Q243" s="4">
        <v>2020</v>
      </c>
      <c r="R243" s="4" t="s">
        <v>370</v>
      </c>
      <c r="S243" s="4">
        <v>2017</v>
      </c>
      <c r="T243" s="4" t="s">
        <v>286</v>
      </c>
      <c r="U243" s="4">
        <v>7.8E-2</v>
      </c>
      <c r="V243" s="4">
        <v>0.90100000000000002</v>
      </c>
      <c r="W243" s="4">
        <v>0.83599999999999997</v>
      </c>
      <c r="X243" s="4">
        <v>28185.321367196899</v>
      </c>
      <c r="Y243" s="4">
        <v>7.3999999999999996E-2</v>
      </c>
      <c r="Z243" s="4">
        <v>0</v>
      </c>
      <c r="AA243" s="4">
        <v>0</v>
      </c>
      <c r="AB243" s="4" t="s">
        <v>207</v>
      </c>
      <c r="AC243" s="17" t="s">
        <v>324</v>
      </c>
      <c r="AD243" s="20">
        <v>0.33200000000000002</v>
      </c>
      <c r="AE243" s="20">
        <v>0.66799999999999993</v>
      </c>
      <c r="AF243" s="10">
        <v>0</v>
      </c>
      <c r="AG243" s="4">
        <f t="shared" si="70"/>
        <v>0</v>
      </c>
      <c r="AH243" s="3">
        <f t="shared" si="71"/>
        <v>0</v>
      </c>
      <c r="AI243" s="4">
        <f t="shared" si="72"/>
        <v>0</v>
      </c>
      <c r="AJ243" s="4">
        <f t="shared" si="73"/>
        <v>0</v>
      </c>
      <c r="AK243" s="4">
        <f t="shared" si="74"/>
        <v>0</v>
      </c>
      <c r="AL243" s="4">
        <f t="shared" si="75"/>
        <v>2</v>
      </c>
      <c r="AM243" s="4">
        <f t="shared" si="76"/>
        <v>1</v>
      </c>
      <c r="AN243" s="4">
        <v>0</v>
      </c>
      <c r="AO243" s="4">
        <v>0</v>
      </c>
      <c r="AP243" s="4" t="s">
        <v>233</v>
      </c>
      <c r="AQ243" s="4" t="s">
        <v>97</v>
      </c>
      <c r="AR243" s="4">
        <v>1</v>
      </c>
      <c r="AS243" s="4" t="s">
        <v>324</v>
      </c>
      <c r="AT243" s="11">
        <f t="shared" si="87"/>
        <v>0.17600000312924385</v>
      </c>
      <c r="AU243" s="4">
        <v>250</v>
      </c>
      <c r="AV243" s="11">
        <f t="shared" si="88"/>
        <v>7.6655053433017858E-2</v>
      </c>
      <c r="AW243" s="4">
        <v>287</v>
      </c>
      <c r="AX243" s="10">
        <v>44.000000782310963</v>
      </c>
      <c r="AY243" s="10">
        <f t="shared" si="85"/>
        <v>205.99999921768904</v>
      </c>
      <c r="AZ243" s="10">
        <v>22.000000335276127</v>
      </c>
      <c r="BA243" s="10">
        <f t="shared" si="86"/>
        <v>264.99999966472387</v>
      </c>
      <c r="BB243" s="4">
        <f t="shared" si="77"/>
        <v>537</v>
      </c>
    </row>
    <row r="244" spans="1:54" x14ac:dyDescent="0.25">
      <c r="A244" s="9" t="str">
        <f t="shared" si="84"/>
        <v>72ZH</v>
      </c>
      <c r="B244" s="4">
        <v>72</v>
      </c>
      <c r="C244" s="4">
        <v>1</v>
      </c>
      <c r="D244" s="4" t="s">
        <v>537</v>
      </c>
      <c r="E244" s="4">
        <v>0</v>
      </c>
      <c r="F244" s="4">
        <v>1</v>
      </c>
      <c r="G244" s="4">
        <v>0</v>
      </c>
      <c r="H244" s="2" t="s">
        <v>518</v>
      </c>
      <c r="I244" s="2" t="s">
        <v>519</v>
      </c>
      <c r="J244" s="2" t="s">
        <v>203</v>
      </c>
      <c r="K244" s="4">
        <v>1</v>
      </c>
      <c r="L244" s="2" t="s">
        <v>517</v>
      </c>
      <c r="M244" s="1"/>
      <c r="N244" s="4">
        <v>1</v>
      </c>
      <c r="O244" s="4">
        <v>1</v>
      </c>
      <c r="P244" s="20">
        <f t="shared" si="69"/>
        <v>0.5</v>
      </c>
      <c r="Q244" s="4">
        <v>2020</v>
      </c>
      <c r="R244" s="4" t="s">
        <v>370</v>
      </c>
      <c r="S244" s="4">
        <v>2017</v>
      </c>
      <c r="T244" s="4" t="s">
        <v>286</v>
      </c>
      <c r="U244" s="4">
        <v>7.8E-2</v>
      </c>
      <c r="V244" s="4">
        <v>0.90100000000000002</v>
      </c>
      <c r="W244" s="4">
        <v>0.83599999999999997</v>
      </c>
      <c r="X244" s="4">
        <v>28185.321367196899</v>
      </c>
      <c r="Y244" s="4">
        <v>7.3999999999999996E-2</v>
      </c>
      <c r="Z244" s="4">
        <v>0</v>
      </c>
      <c r="AA244" s="4">
        <v>0</v>
      </c>
      <c r="AB244" s="4" t="s">
        <v>207</v>
      </c>
      <c r="AC244" s="17" t="s">
        <v>508</v>
      </c>
      <c r="AD244" s="20">
        <v>0.56699999999999995</v>
      </c>
      <c r="AE244" s="20">
        <v>0.43300000000000005</v>
      </c>
      <c r="AF244" s="10">
        <v>2</v>
      </c>
      <c r="AG244" s="4">
        <f t="shared" si="70"/>
        <v>1</v>
      </c>
      <c r="AH244" s="3">
        <f t="shared" si="71"/>
        <v>2</v>
      </c>
      <c r="AI244" s="4">
        <f t="shared" si="72"/>
        <v>1</v>
      </c>
      <c r="AJ244" s="4">
        <f t="shared" si="73"/>
        <v>2</v>
      </c>
      <c r="AK244" s="4">
        <f t="shared" si="74"/>
        <v>1</v>
      </c>
      <c r="AL244" s="4">
        <f t="shared" si="75"/>
        <v>2</v>
      </c>
      <c r="AM244" s="4">
        <f t="shared" si="76"/>
        <v>1</v>
      </c>
      <c r="AN244" s="4">
        <v>0</v>
      </c>
      <c r="AO244" s="4">
        <v>0</v>
      </c>
      <c r="AP244" s="4" t="s">
        <v>100</v>
      </c>
      <c r="AQ244" s="4" t="s">
        <v>97</v>
      </c>
      <c r="AR244" s="4">
        <v>1</v>
      </c>
      <c r="AS244" s="4" t="s">
        <v>508</v>
      </c>
      <c r="AT244" s="11">
        <f t="shared" si="87"/>
        <v>0.22857143112591335</v>
      </c>
      <c r="AU244" s="4">
        <v>140</v>
      </c>
      <c r="AV244" s="11">
        <f t="shared" si="88"/>
        <v>0.2926829316751744</v>
      </c>
      <c r="AW244" s="4">
        <v>123</v>
      </c>
      <c r="AX244" s="10">
        <v>32.000000357627869</v>
      </c>
      <c r="AY244" s="10">
        <f t="shared" si="85"/>
        <v>107.99999964237213</v>
      </c>
      <c r="AZ244" s="10">
        <v>36.000000596046448</v>
      </c>
      <c r="BA244" s="10">
        <f t="shared" si="86"/>
        <v>86.999999403953552</v>
      </c>
      <c r="BB244" s="4">
        <f t="shared" si="77"/>
        <v>263</v>
      </c>
    </row>
    <row r="245" spans="1:54" x14ac:dyDescent="0.25">
      <c r="A245" s="9" t="str">
        <f t="shared" si="84"/>
        <v>72ZI</v>
      </c>
      <c r="B245" s="4">
        <v>72</v>
      </c>
      <c r="C245" s="4">
        <v>1</v>
      </c>
      <c r="D245" s="4" t="s">
        <v>538</v>
      </c>
      <c r="E245" s="4">
        <v>0</v>
      </c>
      <c r="F245" s="4">
        <v>1</v>
      </c>
      <c r="G245" s="4">
        <v>0</v>
      </c>
      <c r="H245" s="2" t="s">
        <v>518</v>
      </c>
      <c r="I245" s="2" t="s">
        <v>519</v>
      </c>
      <c r="J245" s="2" t="s">
        <v>203</v>
      </c>
      <c r="K245" s="4">
        <v>1</v>
      </c>
      <c r="L245" s="2" t="s">
        <v>517</v>
      </c>
      <c r="M245" s="1"/>
      <c r="N245" s="4">
        <v>1</v>
      </c>
      <c r="O245" s="4">
        <v>1</v>
      </c>
      <c r="P245" s="20">
        <f t="shared" si="69"/>
        <v>0.5</v>
      </c>
      <c r="Q245" s="4">
        <v>2020</v>
      </c>
      <c r="R245" s="4" t="s">
        <v>370</v>
      </c>
      <c r="S245" s="4">
        <v>2017</v>
      </c>
      <c r="T245" s="4" t="s">
        <v>286</v>
      </c>
      <c r="U245" s="4">
        <v>7.8E-2</v>
      </c>
      <c r="V245" s="4">
        <v>0.90100000000000002</v>
      </c>
      <c r="W245" s="4">
        <v>0.83599999999999997</v>
      </c>
      <c r="X245" s="4">
        <v>28185.321367196899</v>
      </c>
      <c r="Y245" s="4">
        <v>7.3999999999999996E-2</v>
      </c>
      <c r="Z245" s="4">
        <v>0</v>
      </c>
      <c r="AA245" s="4">
        <v>0</v>
      </c>
      <c r="AB245" s="4" t="s">
        <v>207</v>
      </c>
      <c r="AC245" s="17" t="s">
        <v>509</v>
      </c>
      <c r="AD245" s="20">
        <v>0.80300000000000005</v>
      </c>
      <c r="AE245" s="20">
        <v>0.19699999999999995</v>
      </c>
      <c r="AF245" s="10">
        <v>1</v>
      </c>
      <c r="AG245" s="4">
        <f t="shared" si="70"/>
        <v>1</v>
      </c>
      <c r="AH245" s="3">
        <f t="shared" si="71"/>
        <v>1</v>
      </c>
      <c r="AI245" s="4">
        <f t="shared" si="72"/>
        <v>1</v>
      </c>
      <c r="AJ245" s="4">
        <f t="shared" si="73"/>
        <v>1</v>
      </c>
      <c r="AK245" s="4">
        <f t="shared" si="74"/>
        <v>1</v>
      </c>
      <c r="AL245" s="4">
        <f t="shared" si="75"/>
        <v>1</v>
      </c>
      <c r="AM245" s="4">
        <f t="shared" si="76"/>
        <v>1</v>
      </c>
      <c r="AN245" s="4">
        <v>0</v>
      </c>
      <c r="AO245" s="4">
        <v>0</v>
      </c>
      <c r="AP245" s="4" t="s">
        <v>100</v>
      </c>
      <c r="AQ245" s="4" t="s">
        <v>97</v>
      </c>
      <c r="AR245" s="4">
        <v>1</v>
      </c>
      <c r="AS245" s="4" t="s">
        <v>509</v>
      </c>
      <c r="AT245" s="11">
        <f t="shared" si="87"/>
        <v>0.5156250037252903</v>
      </c>
      <c r="AU245" s="4">
        <v>128</v>
      </c>
      <c r="AV245" s="11">
        <f t="shared" si="88"/>
        <v>0.52136752875442183</v>
      </c>
      <c r="AW245" s="4">
        <v>117</v>
      </c>
      <c r="AX245" s="10">
        <v>66.000000476837158</v>
      </c>
      <c r="AY245" s="10">
        <f t="shared" si="85"/>
        <v>61.999999523162842</v>
      </c>
      <c r="AZ245" s="10">
        <v>61.000000864267349</v>
      </c>
      <c r="BA245" s="10">
        <f t="shared" si="86"/>
        <v>55.999999135732651</v>
      </c>
      <c r="BB245" s="4">
        <f t="shared" si="77"/>
        <v>245</v>
      </c>
    </row>
    <row r="246" spans="1:54" x14ac:dyDescent="0.25">
      <c r="A246" s="9" t="str">
        <f t="shared" si="84"/>
        <v>72ZJ</v>
      </c>
      <c r="B246" s="4">
        <v>72</v>
      </c>
      <c r="C246" s="4">
        <v>1</v>
      </c>
      <c r="D246" s="4" t="s">
        <v>539</v>
      </c>
      <c r="E246" s="4">
        <v>0</v>
      </c>
      <c r="F246" s="4">
        <v>1</v>
      </c>
      <c r="G246" s="4">
        <v>0</v>
      </c>
      <c r="H246" s="2" t="s">
        <v>518</v>
      </c>
      <c r="I246" s="2" t="s">
        <v>519</v>
      </c>
      <c r="J246" s="2" t="s">
        <v>203</v>
      </c>
      <c r="K246" s="4">
        <v>1</v>
      </c>
      <c r="L246" s="2" t="s">
        <v>517</v>
      </c>
      <c r="M246" s="1"/>
      <c r="N246" s="4">
        <v>1</v>
      </c>
      <c r="O246" s="4">
        <v>1</v>
      </c>
      <c r="P246" s="20">
        <f t="shared" si="69"/>
        <v>0.5</v>
      </c>
      <c r="Q246" s="4">
        <v>2020</v>
      </c>
      <c r="R246" s="4" t="s">
        <v>370</v>
      </c>
      <c r="S246" s="4">
        <v>2017</v>
      </c>
      <c r="T246" s="4" t="s">
        <v>286</v>
      </c>
      <c r="U246" s="4">
        <v>7.8E-2</v>
      </c>
      <c r="V246" s="4">
        <v>0.90100000000000002</v>
      </c>
      <c r="W246" s="4">
        <v>0.83599999999999997</v>
      </c>
      <c r="X246" s="4">
        <v>28185.321367196899</v>
      </c>
      <c r="Y246" s="4">
        <v>7.3999999999999996E-2</v>
      </c>
      <c r="Z246" s="4">
        <v>0</v>
      </c>
      <c r="AA246" s="4">
        <v>0</v>
      </c>
      <c r="AB246" s="4" t="s">
        <v>207</v>
      </c>
      <c r="AC246" s="17" t="s">
        <v>510</v>
      </c>
      <c r="AD246" s="20">
        <v>0.27500000000000002</v>
      </c>
      <c r="AE246" s="20">
        <v>0.72499999999999998</v>
      </c>
      <c r="AF246" s="10">
        <v>2</v>
      </c>
      <c r="AG246" s="4">
        <f t="shared" si="70"/>
        <v>1</v>
      </c>
      <c r="AH246" s="3">
        <f t="shared" si="71"/>
        <v>0</v>
      </c>
      <c r="AI246" s="4">
        <f t="shared" si="72"/>
        <v>0</v>
      </c>
      <c r="AJ246" s="4">
        <f t="shared" si="73"/>
        <v>0</v>
      </c>
      <c r="AK246" s="4">
        <f t="shared" si="74"/>
        <v>0</v>
      </c>
      <c r="AL246" s="4">
        <f t="shared" si="75"/>
        <v>0</v>
      </c>
      <c r="AM246" s="4">
        <f t="shared" si="76"/>
        <v>0</v>
      </c>
      <c r="AN246" s="4">
        <v>0</v>
      </c>
      <c r="AO246" s="4">
        <v>0</v>
      </c>
      <c r="AP246" s="4" t="s">
        <v>233</v>
      </c>
      <c r="AQ246" s="4" t="s">
        <v>97</v>
      </c>
      <c r="AR246" s="4">
        <v>1</v>
      </c>
      <c r="AS246" s="4" t="s">
        <v>510</v>
      </c>
      <c r="AT246" s="11">
        <f t="shared" si="87"/>
        <v>0.1092636600189849</v>
      </c>
      <c r="AU246" s="4">
        <v>421</v>
      </c>
      <c r="AV246" s="11">
        <f t="shared" si="88"/>
        <v>7.2139304821652858E-2</v>
      </c>
      <c r="AW246" s="4">
        <v>402</v>
      </c>
      <c r="AX246" s="10">
        <v>46.00000086799264</v>
      </c>
      <c r="AY246" s="10">
        <f t="shared" si="85"/>
        <v>374.99999913200736</v>
      </c>
      <c r="AZ246" s="10">
        <v>29.000000538304448</v>
      </c>
      <c r="BA246" s="10">
        <f t="shared" si="86"/>
        <v>372.99999946169555</v>
      </c>
      <c r="BB246" s="4">
        <f t="shared" si="77"/>
        <v>823</v>
      </c>
    </row>
    <row r="247" spans="1:54" x14ac:dyDescent="0.25">
      <c r="A247" s="9" t="str">
        <f t="shared" si="84"/>
        <v>72ZK</v>
      </c>
      <c r="B247" s="4">
        <v>72</v>
      </c>
      <c r="C247" s="4">
        <v>1</v>
      </c>
      <c r="D247" s="4" t="s">
        <v>540</v>
      </c>
      <c r="E247" s="4">
        <v>0</v>
      </c>
      <c r="F247" s="4">
        <v>1</v>
      </c>
      <c r="G247" s="4">
        <v>0</v>
      </c>
      <c r="H247" s="2" t="s">
        <v>518</v>
      </c>
      <c r="I247" s="2" t="s">
        <v>519</v>
      </c>
      <c r="J247" s="2" t="s">
        <v>203</v>
      </c>
      <c r="K247" s="4">
        <v>1</v>
      </c>
      <c r="L247" s="2" t="s">
        <v>517</v>
      </c>
      <c r="M247" s="1"/>
      <c r="N247" s="4">
        <v>1</v>
      </c>
      <c r="O247" s="4">
        <v>1</v>
      </c>
      <c r="P247" s="20">
        <f t="shared" si="69"/>
        <v>0.5</v>
      </c>
      <c r="Q247" s="4">
        <v>2020</v>
      </c>
      <c r="R247" s="4" t="s">
        <v>370</v>
      </c>
      <c r="S247" s="4">
        <v>2017</v>
      </c>
      <c r="T247" s="4" t="s">
        <v>133</v>
      </c>
      <c r="U247" s="4">
        <v>0.13100000000000001</v>
      </c>
      <c r="V247" s="4">
        <v>0.92900000000000005</v>
      </c>
      <c r="W247" s="4">
        <v>0.91300000000000003</v>
      </c>
      <c r="X247" s="4">
        <v>40621.334478632001</v>
      </c>
      <c r="Y247" s="4">
        <v>4.5999999999999999E-2</v>
      </c>
      <c r="Z247" s="4">
        <v>0</v>
      </c>
      <c r="AA247" s="4">
        <v>0</v>
      </c>
      <c r="AB247" s="4" t="s">
        <v>207</v>
      </c>
      <c r="AC247" s="17" t="s">
        <v>505</v>
      </c>
      <c r="AD247" s="20">
        <v>0.28504111852722086</v>
      </c>
      <c r="AE247" s="20">
        <v>0.7149588814727792</v>
      </c>
      <c r="AF247" s="10">
        <v>1</v>
      </c>
      <c r="AG247" s="4">
        <f t="shared" si="70"/>
        <v>1</v>
      </c>
      <c r="AH247" s="3">
        <f t="shared" si="71"/>
        <v>0</v>
      </c>
      <c r="AI247" s="4">
        <f t="shared" si="72"/>
        <v>0</v>
      </c>
      <c r="AJ247" s="4">
        <f t="shared" si="73"/>
        <v>0</v>
      </c>
      <c r="AK247" s="4">
        <f t="shared" si="74"/>
        <v>0</v>
      </c>
      <c r="AL247" s="4">
        <f t="shared" si="75"/>
        <v>0</v>
      </c>
      <c r="AM247" s="4">
        <f t="shared" si="76"/>
        <v>0</v>
      </c>
      <c r="AN247" s="4">
        <v>0</v>
      </c>
      <c r="AO247" s="4">
        <v>0</v>
      </c>
      <c r="AP247" s="4" t="s">
        <v>233</v>
      </c>
      <c r="AQ247" s="4" t="s">
        <v>97</v>
      </c>
      <c r="AR247" s="4">
        <v>1</v>
      </c>
      <c r="AS247" s="4" t="s">
        <v>505</v>
      </c>
      <c r="AT247" s="11">
        <f t="shared" si="87"/>
        <v>0.2691546296947217</v>
      </c>
      <c r="AU247" s="4">
        <v>189</v>
      </c>
      <c r="AV247" s="11">
        <f t="shared" si="88"/>
        <v>0.28169545092593845</v>
      </c>
      <c r="AW247" s="4">
        <v>214</v>
      </c>
      <c r="AX247" s="10">
        <v>50.870225012302399</v>
      </c>
      <c r="AY247" s="10">
        <f t="shared" si="85"/>
        <v>138.1297749876976</v>
      </c>
      <c r="AZ247" s="10">
        <v>60.282826498150826</v>
      </c>
      <c r="BA247" s="10">
        <f t="shared" si="86"/>
        <v>153.71717350184917</v>
      </c>
      <c r="BB247" s="4">
        <f t="shared" si="77"/>
        <v>403</v>
      </c>
    </row>
    <row r="248" spans="1:54" x14ac:dyDescent="0.25">
      <c r="A248" s="9" t="str">
        <f t="shared" si="84"/>
        <v>72ZL</v>
      </c>
      <c r="B248" s="4">
        <v>72</v>
      </c>
      <c r="C248" s="4">
        <v>1</v>
      </c>
      <c r="D248" s="4" t="s">
        <v>541</v>
      </c>
      <c r="E248" s="4">
        <v>0</v>
      </c>
      <c r="F248" s="4">
        <v>1</v>
      </c>
      <c r="G248" s="4">
        <v>0</v>
      </c>
      <c r="H248" s="2" t="s">
        <v>518</v>
      </c>
      <c r="I248" s="2" t="s">
        <v>519</v>
      </c>
      <c r="J248" s="2" t="s">
        <v>203</v>
      </c>
      <c r="K248" s="4">
        <v>1</v>
      </c>
      <c r="L248" s="2" t="s">
        <v>517</v>
      </c>
      <c r="M248" s="1"/>
      <c r="N248" s="4">
        <v>1</v>
      </c>
      <c r="O248" s="4">
        <v>1</v>
      </c>
      <c r="P248" s="20">
        <f t="shared" si="69"/>
        <v>0.5</v>
      </c>
      <c r="Q248" s="4">
        <v>2020</v>
      </c>
      <c r="R248" s="4" t="s">
        <v>370</v>
      </c>
      <c r="S248" s="4">
        <v>2017</v>
      </c>
      <c r="T248" s="4" t="s">
        <v>133</v>
      </c>
      <c r="U248" s="4">
        <v>0.13100000000000001</v>
      </c>
      <c r="V248" s="4">
        <v>0.92900000000000005</v>
      </c>
      <c r="W248" s="4">
        <v>0.91300000000000003</v>
      </c>
      <c r="X248" s="4">
        <v>40621.334478632001</v>
      </c>
      <c r="Y248" s="4">
        <v>4.5999999999999999E-2</v>
      </c>
      <c r="Z248" s="4">
        <v>0</v>
      </c>
      <c r="AA248" s="4">
        <v>0</v>
      </c>
      <c r="AB248" s="4" t="s">
        <v>207</v>
      </c>
      <c r="AC248" s="17" t="s">
        <v>512</v>
      </c>
      <c r="AD248" s="20">
        <v>0.98670389073031828</v>
      </c>
      <c r="AE248" s="20">
        <v>1.3296109269681722E-2</v>
      </c>
      <c r="AF248" s="10">
        <v>1</v>
      </c>
      <c r="AG248" s="4">
        <f t="shared" si="70"/>
        <v>1</v>
      </c>
      <c r="AH248" s="3">
        <f t="shared" si="71"/>
        <v>1</v>
      </c>
      <c r="AI248" s="4">
        <f t="shared" si="72"/>
        <v>1</v>
      </c>
      <c r="AJ248" s="4">
        <f t="shared" si="73"/>
        <v>1</v>
      </c>
      <c r="AK248" s="4">
        <f t="shared" si="74"/>
        <v>1</v>
      </c>
      <c r="AL248" s="4">
        <f t="shared" si="75"/>
        <v>1</v>
      </c>
      <c r="AM248" s="4">
        <f t="shared" si="76"/>
        <v>1</v>
      </c>
      <c r="AN248" s="4">
        <v>0</v>
      </c>
      <c r="AO248" s="4">
        <v>0</v>
      </c>
      <c r="AP248" s="4" t="s">
        <v>233</v>
      </c>
      <c r="AQ248" s="4" t="s">
        <v>97</v>
      </c>
      <c r="AR248" s="4">
        <v>1</v>
      </c>
      <c r="AS248" s="4" t="s">
        <v>512</v>
      </c>
      <c r="AT248" s="11">
        <f t="shared" si="87"/>
        <v>0.2</v>
      </c>
      <c r="AU248" s="4">
        <v>15</v>
      </c>
      <c r="AV248" s="11">
        <f t="shared" si="88"/>
        <v>0.23529411940013661</v>
      </c>
      <c r="AW248" s="4">
        <v>17</v>
      </c>
      <c r="AX248" s="10">
        <v>3</v>
      </c>
      <c r="AY248" s="10">
        <f t="shared" si="85"/>
        <v>12</v>
      </c>
      <c r="AZ248" s="10">
        <v>4.0000000298023224</v>
      </c>
      <c r="BA248" s="10">
        <f t="shared" si="86"/>
        <v>12.999999970197678</v>
      </c>
      <c r="BB248" s="4">
        <f t="shared" si="77"/>
        <v>32</v>
      </c>
    </row>
    <row r="249" spans="1:54" x14ac:dyDescent="0.25">
      <c r="A249" s="9" t="str">
        <f t="shared" si="84"/>
        <v>72ZM</v>
      </c>
      <c r="B249" s="4">
        <v>72</v>
      </c>
      <c r="C249" s="4">
        <v>1</v>
      </c>
      <c r="D249" s="4" t="s">
        <v>542</v>
      </c>
      <c r="E249" s="4">
        <v>0</v>
      </c>
      <c r="F249" s="4">
        <v>1</v>
      </c>
      <c r="G249" s="4">
        <v>0</v>
      </c>
      <c r="H249" s="2" t="s">
        <v>518</v>
      </c>
      <c r="I249" s="2" t="s">
        <v>519</v>
      </c>
      <c r="J249" s="2" t="s">
        <v>203</v>
      </c>
      <c r="K249" s="4">
        <v>1</v>
      </c>
      <c r="L249" s="2" t="s">
        <v>517</v>
      </c>
      <c r="M249" s="1"/>
      <c r="N249" s="4">
        <v>1</v>
      </c>
      <c r="O249" s="4">
        <v>1</v>
      </c>
      <c r="P249" s="20">
        <f t="shared" si="69"/>
        <v>0.5</v>
      </c>
      <c r="Q249" s="4">
        <v>2020</v>
      </c>
      <c r="R249" s="4" t="s">
        <v>370</v>
      </c>
      <c r="S249" s="4">
        <v>2017</v>
      </c>
      <c r="T249" s="4" t="s">
        <v>133</v>
      </c>
      <c r="U249" s="4">
        <v>0.13100000000000001</v>
      </c>
      <c r="V249" s="4">
        <v>0.92900000000000005</v>
      </c>
      <c r="W249" s="4">
        <v>0.91300000000000003</v>
      </c>
      <c r="X249" s="4">
        <v>40621.334478632001</v>
      </c>
      <c r="Y249" s="4">
        <v>4.5999999999999999E-2</v>
      </c>
      <c r="Z249" s="4">
        <v>0</v>
      </c>
      <c r="AA249" s="4">
        <v>0</v>
      </c>
      <c r="AB249" s="4" t="s">
        <v>207</v>
      </c>
      <c r="AC249" s="17" t="s">
        <v>507</v>
      </c>
      <c r="AD249" s="20">
        <v>0.34621964719582499</v>
      </c>
      <c r="AE249" s="20">
        <v>0.65378035280417501</v>
      </c>
      <c r="AF249" s="10">
        <v>0</v>
      </c>
      <c r="AG249" s="4">
        <f t="shared" si="70"/>
        <v>0</v>
      </c>
      <c r="AH249" s="3">
        <f t="shared" si="71"/>
        <v>0</v>
      </c>
      <c r="AI249" s="4">
        <f t="shared" si="72"/>
        <v>0</v>
      </c>
      <c r="AJ249" s="4">
        <f t="shared" si="73"/>
        <v>0</v>
      </c>
      <c r="AK249" s="4">
        <f t="shared" si="74"/>
        <v>0</v>
      </c>
      <c r="AL249" s="4">
        <f t="shared" si="75"/>
        <v>2</v>
      </c>
      <c r="AM249" s="4">
        <f t="shared" si="76"/>
        <v>1</v>
      </c>
      <c r="AN249" s="4">
        <v>0</v>
      </c>
      <c r="AO249" s="4">
        <v>0</v>
      </c>
      <c r="AP249" s="4" t="s">
        <v>233</v>
      </c>
      <c r="AQ249" s="4" t="s">
        <v>97</v>
      </c>
      <c r="AR249" s="4">
        <v>1</v>
      </c>
      <c r="AS249" s="4" t="s">
        <v>507</v>
      </c>
      <c r="AT249" s="11">
        <f t="shared" si="87"/>
        <v>0.1373864392646485</v>
      </c>
      <c r="AU249" s="4">
        <v>432</v>
      </c>
      <c r="AV249" s="11">
        <f t="shared" si="88"/>
        <v>8.8851151346796151E-2</v>
      </c>
      <c r="AW249" s="4">
        <v>491</v>
      </c>
      <c r="AX249" s="10">
        <v>59.350941762328148</v>
      </c>
      <c r="AY249" s="10">
        <f t="shared" si="85"/>
        <v>372.64905823767185</v>
      </c>
      <c r="AZ249" s="10">
        <v>43.625915311276913</v>
      </c>
      <c r="BA249" s="10">
        <f t="shared" si="86"/>
        <v>447.37408468872309</v>
      </c>
      <c r="BB249" s="4">
        <f t="shared" si="77"/>
        <v>923</v>
      </c>
    </row>
    <row r="250" spans="1:54" x14ac:dyDescent="0.25">
      <c r="A250" s="9" t="str">
        <f t="shared" si="84"/>
        <v>72ZN</v>
      </c>
      <c r="B250" s="4">
        <v>72</v>
      </c>
      <c r="C250" s="4">
        <v>1</v>
      </c>
      <c r="D250" s="4" t="s">
        <v>543</v>
      </c>
      <c r="E250" s="4">
        <v>0</v>
      </c>
      <c r="F250" s="4">
        <v>1</v>
      </c>
      <c r="G250" s="4">
        <v>0</v>
      </c>
      <c r="H250" s="2" t="s">
        <v>518</v>
      </c>
      <c r="I250" s="2" t="s">
        <v>519</v>
      </c>
      <c r="J250" s="2" t="s">
        <v>203</v>
      </c>
      <c r="K250" s="4">
        <v>1</v>
      </c>
      <c r="L250" s="2" t="s">
        <v>517</v>
      </c>
      <c r="M250" s="1"/>
      <c r="N250" s="4">
        <v>1</v>
      </c>
      <c r="O250" s="4">
        <v>1</v>
      </c>
      <c r="P250" s="20">
        <f t="shared" si="69"/>
        <v>0.5</v>
      </c>
      <c r="Q250" s="4">
        <v>2020</v>
      </c>
      <c r="R250" s="4" t="s">
        <v>370</v>
      </c>
      <c r="S250" s="4">
        <v>2017</v>
      </c>
      <c r="T250" s="4" t="s">
        <v>133</v>
      </c>
      <c r="U250" s="4">
        <v>0.13100000000000001</v>
      </c>
      <c r="V250" s="4">
        <v>0.92900000000000005</v>
      </c>
      <c r="W250" s="4">
        <v>0.91300000000000003</v>
      </c>
      <c r="X250" s="4">
        <v>40621.334478632001</v>
      </c>
      <c r="Y250" s="4">
        <v>4.5999999999999999E-2</v>
      </c>
      <c r="Z250" s="4">
        <v>0</v>
      </c>
      <c r="AA250" s="4">
        <v>0</v>
      </c>
      <c r="AB250" s="4" t="s">
        <v>207</v>
      </c>
      <c r="AC250" s="17" t="s">
        <v>513</v>
      </c>
      <c r="AD250" s="20">
        <v>0.99578019406929252</v>
      </c>
      <c r="AE250" s="20">
        <v>4.2198059307074764E-3</v>
      </c>
      <c r="AF250" s="10">
        <v>1</v>
      </c>
      <c r="AG250" s="4">
        <f t="shared" si="70"/>
        <v>1</v>
      </c>
      <c r="AH250" s="3">
        <f t="shared" si="71"/>
        <v>1</v>
      </c>
      <c r="AI250" s="4">
        <f t="shared" si="72"/>
        <v>1</v>
      </c>
      <c r="AJ250" s="4">
        <f t="shared" si="73"/>
        <v>1</v>
      </c>
      <c r="AK250" s="4">
        <f t="shared" si="74"/>
        <v>1</v>
      </c>
      <c r="AL250" s="4">
        <f t="shared" si="75"/>
        <v>1</v>
      </c>
      <c r="AM250" s="4">
        <f t="shared" si="76"/>
        <v>1</v>
      </c>
      <c r="AN250" s="4">
        <v>1</v>
      </c>
      <c r="AO250" s="4">
        <v>0</v>
      </c>
      <c r="AP250" s="4" t="s">
        <v>233</v>
      </c>
      <c r="AQ250" s="4" t="s">
        <v>97</v>
      </c>
      <c r="AR250" s="4">
        <v>1</v>
      </c>
      <c r="AS250" s="4" t="s">
        <v>513</v>
      </c>
      <c r="AT250" s="11">
        <f t="shared" si="87"/>
        <v>0.2</v>
      </c>
      <c r="AU250" s="4">
        <v>5</v>
      </c>
      <c r="AV250" s="11">
        <f t="shared" si="88"/>
        <v>0.33333333830038708</v>
      </c>
      <c r="AW250" s="4">
        <v>12</v>
      </c>
      <c r="AX250" s="10">
        <v>1</v>
      </c>
      <c r="AY250" s="10">
        <f t="shared" si="85"/>
        <v>4</v>
      </c>
      <c r="AZ250" s="10">
        <v>4.0000000596046448</v>
      </c>
      <c r="BA250" s="10">
        <f t="shared" si="86"/>
        <v>7.9999999403953552</v>
      </c>
      <c r="BB250" s="4">
        <f t="shared" si="77"/>
        <v>17</v>
      </c>
    </row>
    <row r="251" spans="1:54" x14ac:dyDescent="0.25">
      <c r="A251" s="9" t="str">
        <f t="shared" si="84"/>
        <v>72ZO</v>
      </c>
      <c r="B251" s="4">
        <v>72</v>
      </c>
      <c r="C251" s="4">
        <v>1</v>
      </c>
      <c r="D251" s="4" t="s">
        <v>544</v>
      </c>
      <c r="E251" s="4">
        <v>0</v>
      </c>
      <c r="F251" s="4">
        <v>1</v>
      </c>
      <c r="G251" s="4">
        <v>0</v>
      </c>
      <c r="H251" s="2" t="s">
        <v>518</v>
      </c>
      <c r="I251" s="2" t="s">
        <v>519</v>
      </c>
      <c r="J251" s="2" t="s">
        <v>203</v>
      </c>
      <c r="K251" s="4">
        <v>1</v>
      </c>
      <c r="L251" s="2" t="s">
        <v>517</v>
      </c>
      <c r="M251" s="1"/>
      <c r="N251" s="4">
        <v>1</v>
      </c>
      <c r="O251" s="4">
        <v>1</v>
      </c>
      <c r="P251" s="20">
        <f t="shared" si="69"/>
        <v>0.5</v>
      </c>
      <c r="Q251" s="4">
        <v>2020</v>
      </c>
      <c r="R251" s="4" t="s">
        <v>370</v>
      </c>
      <c r="S251" s="4">
        <v>2017</v>
      </c>
      <c r="T251" s="4" t="s">
        <v>133</v>
      </c>
      <c r="U251" s="4">
        <v>0.13100000000000001</v>
      </c>
      <c r="V251" s="4">
        <v>0.92900000000000005</v>
      </c>
      <c r="W251" s="4">
        <v>0.91300000000000003</v>
      </c>
      <c r="X251" s="4">
        <v>40621.334478632001</v>
      </c>
      <c r="Y251" s="4">
        <v>4.5999999999999999E-2</v>
      </c>
      <c r="Z251" s="4">
        <v>0</v>
      </c>
      <c r="AA251" s="4">
        <v>0</v>
      </c>
      <c r="AB251" s="4" t="s">
        <v>207</v>
      </c>
      <c r="AC251" s="17" t="s">
        <v>324</v>
      </c>
      <c r="AD251" s="20">
        <v>0.10842901297798997</v>
      </c>
      <c r="AE251" s="20">
        <v>0.89157098702200999</v>
      </c>
      <c r="AF251" s="10">
        <v>0</v>
      </c>
      <c r="AG251" s="4">
        <f t="shared" si="70"/>
        <v>0</v>
      </c>
      <c r="AH251" s="3">
        <f t="shared" si="71"/>
        <v>0</v>
      </c>
      <c r="AI251" s="4">
        <f t="shared" si="72"/>
        <v>0</v>
      </c>
      <c r="AJ251" s="4">
        <f t="shared" si="73"/>
        <v>0</v>
      </c>
      <c r="AK251" s="4">
        <f t="shared" si="74"/>
        <v>0</v>
      </c>
      <c r="AL251" s="4">
        <f t="shared" si="75"/>
        <v>0</v>
      </c>
      <c r="AM251" s="4">
        <f t="shared" si="76"/>
        <v>0</v>
      </c>
      <c r="AN251" s="4">
        <v>0</v>
      </c>
      <c r="AO251" s="4">
        <v>0</v>
      </c>
      <c r="AP251" s="4" t="s">
        <v>233</v>
      </c>
      <c r="AQ251" s="4" t="s">
        <v>97</v>
      </c>
      <c r="AR251" s="4">
        <v>1</v>
      </c>
      <c r="AS251" s="4" t="s">
        <v>324</v>
      </c>
      <c r="AT251" s="11">
        <f t="shared" si="87"/>
        <v>0.10702312884710295</v>
      </c>
      <c r="AU251" s="4">
        <v>223</v>
      </c>
      <c r="AV251" s="11">
        <f t="shared" si="88"/>
        <v>0.11048363334617239</v>
      </c>
      <c r="AW251" s="4">
        <v>229</v>
      </c>
      <c r="AX251" s="10">
        <v>23.866157732903957</v>
      </c>
      <c r="AY251" s="10">
        <f t="shared" si="85"/>
        <v>199.13384226709604</v>
      </c>
      <c r="AZ251" s="10">
        <v>25.300752036273479</v>
      </c>
      <c r="BA251" s="10">
        <f t="shared" si="86"/>
        <v>203.69924796372652</v>
      </c>
      <c r="BB251" s="4">
        <f t="shared" si="77"/>
        <v>452</v>
      </c>
    </row>
    <row r="252" spans="1:54" x14ac:dyDescent="0.25">
      <c r="A252" s="9" t="str">
        <f t="shared" si="84"/>
        <v>72ZP</v>
      </c>
      <c r="B252" s="4">
        <v>72</v>
      </c>
      <c r="C252" s="4">
        <v>1</v>
      </c>
      <c r="D252" s="4" t="s">
        <v>545</v>
      </c>
      <c r="E252" s="4">
        <v>0</v>
      </c>
      <c r="F252" s="4">
        <v>1</v>
      </c>
      <c r="G252" s="4">
        <v>0</v>
      </c>
      <c r="H252" s="2" t="s">
        <v>518</v>
      </c>
      <c r="I252" s="2" t="s">
        <v>519</v>
      </c>
      <c r="J252" s="2" t="s">
        <v>203</v>
      </c>
      <c r="K252" s="4">
        <v>1</v>
      </c>
      <c r="L252" s="2" t="s">
        <v>517</v>
      </c>
      <c r="M252" s="1"/>
      <c r="N252" s="4">
        <v>1</v>
      </c>
      <c r="O252" s="4">
        <v>1</v>
      </c>
      <c r="P252" s="20">
        <f t="shared" si="69"/>
        <v>0.5</v>
      </c>
      <c r="Q252" s="4">
        <v>2020</v>
      </c>
      <c r="R252" s="4" t="s">
        <v>370</v>
      </c>
      <c r="S252" s="4">
        <v>2017</v>
      </c>
      <c r="T252" s="4" t="s">
        <v>133</v>
      </c>
      <c r="U252" s="4">
        <v>0.13100000000000001</v>
      </c>
      <c r="V252" s="4">
        <v>0.92900000000000005</v>
      </c>
      <c r="W252" s="4">
        <v>0.91300000000000003</v>
      </c>
      <c r="X252" s="4">
        <v>40621.334478632001</v>
      </c>
      <c r="Y252" s="4">
        <v>4.5999999999999999E-2</v>
      </c>
      <c r="Z252" s="4">
        <v>0</v>
      </c>
      <c r="AA252" s="4">
        <v>0</v>
      </c>
      <c r="AB252" s="4" t="s">
        <v>207</v>
      </c>
      <c r="AC252" s="17" t="s">
        <v>508</v>
      </c>
      <c r="AD252" s="20">
        <v>0.53943254076514657</v>
      </c>
      <c r="AE252" s="20">
        <v>0.46056745923485343</v>
      </c>
      <c r="AF252" s="10">
        <v>2</v>
      </c>
      <c r="AG252" s="4">
        <f t="shared" si="70"/>
        <v>1</v>
      </c>
      <c r="AH252" s="3">
        <f t="shared" si="71"/>
        <v>2</v>
      </c>
      <c r="AI252" s="4">
        <f t="shared" si="72"/>
        <v>1</v>
      </c>
      <c r="AJ252" s="4">
        <f t="shared" si="73"/>
        <v>2</v>
      </c>
      <c r="AK252" s="4">
        <f t="shared" si="74"/>
        <v>1</v>
      </c>
      <c r="AL252" s="4">
        <f t="shared" si="75"/>
        <v>2</v>
      </c>
      <c r="AM252" s="4">
        <f t="shared" si="76"/>
        <v>1</v>
      </c>
      <c r="AN252" s="4">
        <v>0</v>
      </c>
      <c r="AO252" s="4">
        <v>0</v>
      </c>
      <c r="AP252" s="4" t="s">
        <v>100</v>
      </c>
      <c r="AQ252" s="4" t="s">
        <v>97</v>
      </c>
      <c r="AR252" s="4">
        <v>1</v>
      </c>
      <c r="AS252" s="4" t="s">
        <v>508</v>
      </c>
      <c r="AT252" s="11">
        <f t="shared" si="87"/>
        <v>0.17430074860118197</v>
      </c>
      <c r="AU252" s="4">
        <v>279</v>
      </c>
      <c r="AV252" s="11">
        <f t="shared" si="88"/>
        <v>0.11788113749065957</v>
      </c>
      <c r="AW252" s="4">
        <v>308</v>
      </c>
      <c r="AX252" s="10">
        <v>48.629908859729767</v>
      </c>
      <c r="AY252" s="10">
        <f t="shared" si="85"/>
        <v>230.37009114027023</v>
      </c>
      <c r="AZ252" s="10">
        <v>36.307390347123146</v>
      </c>
      <c r="BA252" s="10">
        <f t="shared" si="86"/>
        <v>271.69260965287685</v>
      </c>
      <c r="BB252" s="4">
        <f t="shared" si="77"/>
        <v>587</v>
      </c>
    </row>
    <row r="253" spans="1:54" x14ac:dyDescent="0.25">
      <c r="A253" s="9" t="str">
        <f t="shared" si="84"/>
        <v>72ZQ</v>
      </c>
      <c r="B253" s="4">
        <v>72</v>
      </c>
      <c r="C253" s="4">
        <v>1</v>
      </c>
      <c r="D253" s="4" t="s">
        <v>546</v>
      </c>
      <c r="E253" s="4">
        <v>0</v>
      </c>
      <c r="F253" s="4">
        <v>1</v>
      </c>
      <c r="G253" s="4">
        <v>0</v>
      </c>
      <c r="H253" s="2" t="s">
        <v>518</v>
      </c>
      <c r="I253" s="2" t="s">
        <v>519</v>
      </c>
      <c r="J253" s="2" t="s">
        <v>203</v>
      </c>
      <c r="K253" s="4">
        <v>1</v>
      </c>
      <c r="L253" s="2" t="s">
        <v>517</v>
      </c>
      <c r="M253" s="1"/>
      <c r="N253" s="4">
        <v>1</v>
      </c>
      <c r="O253" s="4">
        <v>1</v>
      </c>
      <c r="P253" s="20">
        <f t="shared" si="69"/>
        <v>0.5</v>
      </c>
      <c r="Q253" s="4">
        <v>2020</v>
      </c>
      <c r="R253" s="4" t="s">
        <v>370</v>
      </c>
      <c r="S253" s="4">
        <v>2017</v>
      </c>
      <c r="T253" s="4" t="s">
        <v>133</v>
      </c>
      <c r="U253" s="4">
        <v>0.13100000000000001</v>
      </c>
      <c r="V253" s="4">
        <v>0.92900000000000005</v>
      </c>
      <c r="W253" s="4">
        <v>0.91300000000000003</v>
      </c>
      <c r="X253" s="4">
        <v>40621.334478632001</v>
      </c>
      <c r="Y253" s="4">
        <v>4.5999999999999999E-2</v>
      </c>
      <c r="Z253" s="4">
        <v>0</v>
      </c>
      <c r="AA253" s="4">
        <v>0</v>
      </c>
      <c r="AB253" s="4" t="s">
        <v>207</v>
      </c>
      <c r="AC253" s="17" t="s">
        <v>509</v>
      </c>
      <c r="AD253" s="20">
        <v>0.87710256691230859</v>
      </c>
      <c r="AE253" s="20">
        <v>0.12289743308769141</v>
      </c>
      <c r="AF253" s="10">
        <v>1</v>
      </c>
      <c r="AG253" s="4">
        <f t="shared" si="70"/>
        <v>1</v>
      </c>
      <c r="AH253" s="3">
        <f t="shared" si="71"/>
        <v>1</v>
      </c>
      <c r="AI253" s="4">
        <f t="shared" si="72"/>
        <v>1</v>
      </c>
      <c r="AJ253" s="4">
        <f t="shared" si="73"/>
        <v>1</v>
      </c>
      <c r="AK253" s="4">
        <f t="shared" si="74"/>
        <v>1</v>
      </c>
      <c r="AL253" s="4">
        <f t="shared" si="75"/>
        <v>1</v>
      </c>
      <c r="AM253" s="4">
        <f t="shared" si="76"/>
        <v>1</v>
      </c>
      <c r="AN253" s="4">
        <v>0</v>
      </c>
      <c r="AO253" s="4">
        <v>0</v>
      </c>
      <c r="AP253" s="4" t="s">
        <v>100</v>
      </c>
      <c r="AQ253" s="4" t="s">
        <v>97</v>
      </c>
      <c r="AR253" s="4">
        <v>1</v>
      </c>
      <c r="AS253" s="4" t="s">
        <v>509</v>
      </c>
      <c r="AT253" s="11">
        <f t="shared" si="87"/>
        <v>0.31494289393729574</v>
      </c>
      <c r="AU253" s="4">
        <v>227</v>
      </c>
      <c r="AV253" s="11">
        <f t="shared" si="88"/>
        <v>0.23967602618543779</v>
      </c>
      <c r="AW253" s="4">
        <v>236</v>
      </c>
      <c r="AX253" s="10">
        <v>71.492036923766136</v>
      </c>
      <c r="AY253" s="10">
        <f t="shared" si="85"/>
        <v>155.50796307623386</v>
      </c>
      <c r="AZ253" s="10">
        <v>56.563542179763317</v>
      </c>
      <c r="BA253" s="10">
        <f t="shared" si="86"/>
        <v>179.43645782023668</v>
      </c>
      <c r="BB253" s="4">
        <f t="shared" si="77"/>
        <v>463</v>
      </c>
    </row>
    <row r="254" spans="1:54" x14ac:dyDescent="0.25">
      <c r="A254" s="9" t="str">
        <f t="shared" si="84"/>
        <v>72ZR</v>
      </c>
      <c r="B254" s="4">
        <v>72</v>
      </c>
      <c r="C254" s="4">
        <v>1</v>
      </c>
      <c r="D254" s="4" t="s">
        <v>547</v>
      </c>
      <c r="E254" s="4">
        <v>0</v>
      </c>
      <c r="F254" s="4">
        <v>1</v>
      </c>
      <c r="G254" s="4">
        <v>0</v>
      </c>
      <c r="H254" s="2" t="s">
        <v>518</v>
      </c>
      <c r="I254" s="2" t="s">
        <v>519</v>
      </c>
      <c r="J254" s="2" t="s">
        <v>203</v>
      </c>
      <c r="K254" s="4">
        <v>1</v>
      </c>
      <c r="L254" s="2" t="s">
        <v>517</v>
      </c>
      <c r="M254" s="1"/>
      <c r="N254" s="4">
        <v>1</v>
      </c>
      <c r="O254" s="4">
        <v>1</v>
      </c>
      <c r="P254" s="20">
        <f t="shared" si="69"/>
        <v>0.5</v>
      </c>
      <c r="Q254" s="4">
        <v>2020</v>
      </c>
      <c r="R254" s="4" t="s">
        <v>370</v>
      </c>
      <c r="S254" s="4">
        <v>2017</v>
      </c>
      <c r="T254" s="4" t="s">
        <v>133</v>
      </c>
      <c r="U254" s="4">
        <v>0.13100000000000001</v>
      </c>
      <c r="V254" s="4">
        <v>0.92900000000000005</v>
      </c>
      <c r="W254" s="4">
        <v>0.91300000000000003</v>
      </c>
      <c r="X254" s="4">
        <v>40621.334478632001</v>
      </c>
      <c r="Y254" s="4">
        <v>4.5999999999999999E-2</v>
      </c>
      <c r="Z254" s="4">
        <v>0</v>
      </c>
      <c r="AA254" s="4">
        <v>0</v>
      </c>
      <c r="AB254" s="4" t="s">
        <v>207</v>
      </c>
      <c r="AC254" s="17" t="s">
        <v>510</v>
      </c>
      <c r="AD254" s="20">
        <v>0.35849487470381797</v>
      </c>
      <c r="AE254" s="20">
        <v>0.64150512529618209</v>
      </c>
      <c r="AF254" s="10">
        <v>2</v>
      </c>
      <c r="AG254" s="4">
        <f t="shared" si="70"/>
        <v>1</v>
      </c>
      <c r="AH254" s="3">
        <f t="shared" si="71"/>
        <v>0</v>
      </c>
      <c r="AI254" s="4">
        <f t="shared" si="72"/>
        <v>0</v>
      </c>
      <c r="AJ254" s="4">
        <f t="shared" si="73"/>
        <v>2</v>
      </c>
      <c r="AK254" s="4">
        <f t="shared" si="74"/>
        <v>1</v>
      </c>
      <c r="AL254" s="4">
        <f t="shared" si="75"/>
        <v>2</v>
      </c>
      <c r="AM254" s="4">
        <f t="shared" si="76"/>
        <v>1</v>
      </c>
      <c r="AN254" s="4">
        <v>0</v>
      </c>
      <c r="AO254" s="4">
        <v>0</v>
      </c>
      <c r="AP254" s="4" t="s">
        <v>233</v>
      </c>
      <c r="AQ254" s="4" t="s">
        <v>97</v>
      </c>
      <c r="AR254" s="4">
        <v>1</v>
      </c>
      <c r="AS254" s="4" t="s">
        <v>510</v>
      </c>
      <c r="AT254" s="11">
        <f t="shared" si="87"/>
        <v>0.17984263387872426</v>
      </c>
      <c r="AU254" s="4">
        <v>233</v>
      </c>
      <c r="AV254" s="11">
        <f t="shared" si="88"/>
        <v>0.20812167767353973</v>
      </c>
      <c r="AW254" s="4">
        <v>229</v>
      </c>
      <c r="AX254" s="10">
        <v>41.903333693742752</v>
      </c>
      <c r="AY254" s="10">
        <f t="shared" si="85"/>
        <v>191.09666630625725</v>
      </c>
      <c r="AZ254" s="10">
        <v>47.659864187240601</v>
      </c>
      <c r="BA254" s="10">
        <f t="shared" si="86"/>
        <v>181.3401358127594</v>
      </c>
      <c r="BB254" s="4">
        <f t="shared" si="77"/>
        <v>462</v>
      </c>
    </row>
    <row r="255" spans="1:54" x14ac:dyDescent="0.25">
      <c r="A255" s="9" t="str">
        <f t="shared" si="84"/>
        <v>73A</v>
      </c>
      <c r="B255" s="3">
        <v>73</v>
      </c>
      <c r="C255" s="3">
        <v>1</v>
      </c>
      <c r="D255" s="3" t="s">
        <v>65</v>
      </c>
      <c r="E255" s="3">
        <v>1</v>
      </c>
      <c r="F255" s="3">
        <v>1</v>
      </c>
      <c r="G255" s="3">
        <v>0</v>
      </c>
      <c r="H255" s="1" t="s">
        <v>589</v>
      </c>
      <c r="I255" s="1" t="s">
        <v>590</v>
      </c>
      <c r="J255" s="1" t="s">
        <v>203</v>
      </c>
      <c r="K255" s="3">
        <v>1</v>
      </c>
      <c r="L255" s="1" t="s">
        <v>588</v>
      </c>
      <c r="M255" s="1" t="s">
        <v>587</v>
      </c>
      <c r="N255" s="3">
        <v>3</v>
      </c>
      <c r="O255" s="3">
        <v>0</v>
      </c>
      <c r="P255" s="19">
        <f t="shared" si="69"/>
        <v>1</v>
      </c>
      <c r="Q255" s="3">
        <v>2012</v>
      </c>
      <c r="R255" s="3" t="s">
        <v>287</v>
      </c>
      <c r="S255" s="3">
        <v>2005</v>
      </c>
      <c r="T255" s="3" t="s">
        <v>272</v>
      </c>
      <c r="U255" s="3">
        <v>8.3000000000000004E-2</v>
      </c>
      <c r="V255" s="3">
        <v>0.91700000000000004</v>
      </c>
      <c r="W255" s="3">
        <v>0.84399999999999997</v>
      </c>
      <c r="X255" s="3">
        <v>41994.713530523222</v>
      </c>
      <c r="Y255" s="3">
        <v>7.9000000000000001E-2</v>
      </c>
      <c r="Z255" s="3">
        <v>0</v>
      </c>
      <c r="AA255" s="3">
        <v>0</v>
      </c>
      <c r="AB255" s="3" t="s">
        <v>207</v>
      </c>
      <c r="AC255" s="7" t="s">
        <v>693</v>
      </c>
      <c r="AD255" s="19">
        <v>0.42408709482411189</v>
      </c>
      <c r="AE255" s="19">
        <v>0.57591290517588811</v>
      </c>
      <c r="AF255" s="10">
        <v>2</v>
      </c>
      <c r="AG255" s="3">
        <f t="shared" si="70"/>
        <v>1</v>
      </c>
      <c r="AH255" s="3">
        <f t="shared" si="71"/>
        <v>2</v>
      </c>
      <c r="AI255" s="4">
        <f t="shared" si="72"/>
        <v>1</v>
      </c>
      <c r="AJ255" s="4">
        <f t="shared" si="73"/>
        <v>2</v>
      </c>
      <c r="AK255" s="4">
        <f t="shared" si="74"/>
        <v>1</v>
      </c>
      <c r="AL255" s="4">
        <f t="shared" si="75"/>
        <v>2</v>
      </c>
      <c r="AM255" s="4">
        <f t="shared" si="76"/>
        <v>1</v>
      </c>
      <c r="AN255" s="4">
        <v>0</v>
      </c>
      <c r="AO255" s="4">
        <v>0</v>
      </c>
      <c r="AP255" s="3" t="s">
        <v>259</v>
      </c>
      <c r="AQ255" s="3" t="s">
        <v>63</v>
      </c>
      <c r="AR255" s="3">
        <v>1</v>
      </c>
      <c r="AS255" s="3" t="s">
        <v>62</v>
      </c>
      <c r="AT255" s="16">
        <f t="shared" si="87"/>
        <v>0.18627450980392157</v>
      </c>
      <c r="AU255" s="3">
        <v>102</v>
      </c>
      <c r="AV255" s="16">
        <f t="shared" si="88"/>
        <v>0.19607843137254902</v>
      </c>
      <c r="AW255" s="3">
        <v>102</v>
      </c>
      <c r="AX255" s="8">
        <v>19</v>
      </c>
      <c r="AY255" s="8">
        <f t="shared" si="85"/>
        <v>83</v>
      </c>
      <c r="AZ255" s="8">
        <v>20</v>
      </c>
      <c r="BA255" s="8">
        <f t="shared" si="86"/>
        <v>82</v>
      </c>
      <c r="BB255" s="3">
        <f t="shared" si="77"/>
        <v>204</v>
      </c>
    </row>
    <row r="256" spans="1:54" s="1" customFormat="1" x14ac:dyDescent="0.25">
      <c r="A256" s="9" t="str">
        <f t="shared" si="84"/>
        <v>74A</v>
      </c>
      <c r="B256" s="3">
        <v>74</v>
      </c>
      <c r="C256" s="3">
        <v>1</v>
      </c>
      <c r="D256" s="3" t="s">
        <v>65</v>
      </c>
      <c r="E256" s="3">
        <v>1</v>
      </c>
      <c r="F256" s="3">
        <v>1</v>
      </c>
      <c r="G256" s="3">
        <v>0</v>
      </c>
      <c r="H256" s="1" t="s">
        <v>593</v>
      </c>
      <c r="I256" s="1" t="s">
        <v>592</v>
      </c>
      <c r="J256" s="1" t="s">
        <v>264</v>
      </c>
      <c r="K256" s="3">
        <v>1</v>
      </c>
      <c r="L256" s="1" t="s">
        <v>591</v>
      </c>
      <c r="M256" s="1" t="s">
        <v>617</v>
      </c>
      <c r="N256" s="3">
        <v>0</v>
      </c>
      <c r="O256" s="3">
        <v>1</v>
      </c>
      <c r="P256" s="19">
        <f t="shared" si="69"/>
        <v>0</v>
      </c>
      <c r="Q256" s="3">
        <v>2011</v>
      </c>
      <c r="R256" s="3" t="s">
        <v>136</v>
      </c>
      <c r="S256" s="3">
        <v>2008</v>
      </c>
      <c r="T256" s="3" t="s">
        <v>291</v>
      </c>
      <c r="U256" s="3">
        <v>0.13200000000000001</v>
      </c>
      <c r="V256" s="3">
        <v>0.91100000000000003</v>
      </c>
      <c r="W256" s="3">
        <v>0.83599999999999997</v>
      </c>
      <c r="X256" s="3">
        <v>46710.505575901334</v>
      </c>
      <c r="Y256" s="3">
        <v>2.5999999999999999E-2</v>
      </c>
      <c r="Z256" s="3">
        <v>0</v>
      </c>
      <c r="AA256" s="3">
        <v>0</v>
      </c>
      <c r="AB256" s="3" t="s">
        <v>207</v>
      </c>
      <c r="AC256" s="7" t="s">
        <v>61</v>
      </c>
      <c r="AD256" s="19">
        <v>0.52843606087587192</v>
      </c>
      <c r="AE256" s="19">
        <v>0.47156393912412808</v>
      </c>
      <c r="AF256" s="10">
        <v>2</v>
      </c>
      <c r="AG256" s="4">
        <f t="shared" si="70"/>
        <v>1</v>
      </c>
      <c r="AH256" s="3">
        <f t="shared" si="71"/>
        <v>2</v>
      </c>
      <c r="AI256" s="4">
        <f t="shared" si="72"/>
        <v>1</v>
      </c>
      <c r="AJ256" s="4">
        <f t="shared" si="73"/>
        <v>2</v>
      </c>
      <c r="AK256" s="4">
        <f t="shared" si="74"/>
        <v>1</v>
      </c>
      <c r="AL256" s="4">
        <f t="shared" si="75"/>
        <v>2</v>
      </c>
      <c r="AM256" s="4">
        <f t="shared" si="76"/>
        <v>1</v>
      </c>
      <c r="AN256" s="4">
        <v>0</v>
      </c>
      <c r="AO256" s="4">
        <v>0</v>
      </c>
      <c r="AP256" s="3" t="s">
        <v>100</v>
      </c>
      <c r="AQ256" s="3" t="s">
        <v>97</v>
      </c>
      <c r="AR256" s="3">
        <v>1</v>
      </c>
      <c r="AS256" s="3" t="s">
        <v>62</v>
      </c>
      <c r="AT256" s="16">
        <f t="shared" si="87"/>
        <v>0.10918227501142073</v>
      </c>
      <c r="AU256" s="3">
        <v>6567</v>
      </c>
      <c r="AV256" s="16">
        <f t="shared" si="88"/>
        <v>8.9389878606337694E-2</v>
      </c>
      <c r="AW256" s="3">
        <f>6343</f>
        <v>6343</v>
      </c>
      <c r="AX256" s="3">
        <v>717</v>
      </c>
      <c r="AY256" s="8">
        <f t="shared" si="85"/>
        <v>5850</v>
      </c>
      <c r="AZ256" s="3">
        <v>567</v>
      </c>
      <c r="BA256" s="8">
        <f t="shared" si="86"/>
        <v>5776</v>
      </c>
      <c r="BB256" s="3">
        <f t="shared" si="77"/>
        <v>12910</v>
      </c>
    </row>
    <row r="257" spans="1:54" s="1" customFormat="1" x14ac:dyDescent="0.25">
      <c r="A257" s="9" t="str">
        <f t="shared" si="84"/>
        <v>75A</v>
      </c>
      <c r="B257" s="3">
        <v>75</v>
      </c>
      <c r="C257" s="3">
        <v>1</v>
      </c>
      <c r="D257" s="3" t="s">
        <v>65</v>
      </c>
      <c r="E257" s="3">
        <v>1</v>
      </c>
      <c r="F257" s="3">
        <v>0</v>
      </c>
      <c r="G257" s="3">
        <v>0</v>
      </c>
      <c r="H257" s="1" t="s">
        <v>598</v>
      </c>
      <c r="I257" s="1" t="s">
        <v>364</v>
      </c>
      <c r="J257" s="1" t="s">
        <v>264</v>
      </c>
      <c r="K257" s="3">
        <v>0</v>
      </c>
      <c r="L257" s="1" t="s">
        <v>597</v>
      </c>
      <c r="M257" s="1" t="s">
        <v>596</v>
      </c>
      <c r="N257" s="3">
        <v>0</v>
      </c>
      <c r="O257" s="3">
        <v>3</v>
      </c>
      <c r="P257" s="19">
        <f t="shared" si="69"/>
        <v>0</v>
      </c>
      <c r="Q257" s="3">
        <v>2013</v>
      </c>
      <c r="R257" s="3" t="s">
        <v>434</v>
      </c>
      <c r="S257" s="3">
        <v>2011</v>
      </c>
      <c r="T257" s="3" t="s">
        <v>125</v>
      </c>
      <c r="U257" s="3">
        <v>0.189</v>
      </c>
      <c r="V257" s="3">
        <v>0.69099999999999995</v>
      </c>
      <c r="W257" s="3">
        <v>0.63</v>
      </c>
      <c r="X257" s="3">
        <v>5614.352135225744</v>
      </c>
      <c r="Y257" s="3">
        <v>0.15</v>
      </c>
      <c r="Z257" s="3">
        <v>1</v>
      </c>
      <c r="AA257" s="3">
        <v>0</v>
      </c>
      <c r="AB257" s="3" t="s">
        <v>207</v>
      </c>
      <c r="AC257" s="7" t="s">
        <v>61</v>
      </c>
      <c r="AD257" s="3"/>
      <c r="AE257" s="3"/>
      <c r="AF257" s="10">
        <v>2</v>
      </c>
      <c r="AG257" s="4">
        <f t="shared" si="70"/>
        <v>1</v>
      </c>
      <c r="AH257" s="3">
        <f t="shared" si="71"/>
        <v>2</v>
      </c>
      <c r="AI257" s="4">
        <f t="shared" si="72"/>
        <v>1</v>
      </c>
      <c r="AJ257" s="4">
        <f t="shared" si="73"/>
        <v>2</v>
      </c>
      <c r="AK257" s="4">
        <f t="shared" si="74"/>
        <v>1</v>
      </c>
      <c r="AL257" s="4">
        <f t="shared" si="75"/>
        <v>2</v>
      </c>
      <c r="AM257" s="4">
        <f t="shared" si="76"/>
        <v>1</v>
      </c>
      <c r="AN257" s="4">
        <v>0</v>
      </c>
      <c r="AO257" s="4">
        <v>0</v>
      </c>
      <c r="AP257" s="3" t="s">
        <v>61</v>
      </c>
      <c r="AQ257" s="3" t="s">
        <v>97</v>
      </c>
      <c r="AR257" s="3">
        <v>1</v>
      </c>
      <c r="AS257" s="3" t="s">
        <v>62</v>
      </c>
      <c r="AT257" s="16">
        <f t="shared" si="87"/>
        <v>6.7328802927339254E-2</v>
      </c>
      <c r="AU257" s="3">
        <f>SUM(AU258:AU261)</f>
        <v>9565</v>
      </c>
      <c r="AV257" s="16">
        <f t="shared" si="88"/>
        <v>4.8823836905384214E-2</v>
      </c>
      <c r="AW257" s="3">
        <f>SUM(AW258:AW261)</f>
        <v>9565</v>
      </c>
      <c r="AX257" s="8">
        <f>SUM(AX258:AX261)</f>
        <v>644</v>
      </c>
      <c r="AY257" s="8">
        <f>SUM(AY258:AY261)</f>
        <v>8921</v>
      </c>
      <c r="AZ257" s="8">
        <f>SUM(AZ258:AZ261)</f>
        <v>467</v>
      </c>
      <c r="BA257" s="8">
        <f>SUM(BA258:BA261)</f>
        <v>9098</v>
      </c>
      <c r="BB257" s="8">
        <f t="shared" si="77"/>
        <v>19130</v>
      </c>
    </row>
    <row r="258" spans="1:54" s="1" customFormat="1" x14ac:dyDescent="0.25">
      <c r="A258" s="9" t="str">
        <f t="shared" si="84"/>
        <v>75B</v>
      </c>
      <c r="B258" s="4">
        <v>75</v>
      </c>
      <c r="C258" s="4">
        <v>1</v>
      </c>
      <c r="D258" s="4" t="s">
        <v>66</v>
      </c>
      <c r="E258" s="4">
        <v>0</v>
      </c>
      <c r="F258" s="4">
        <v>1</v>
      </c>
      <c r="G258" s="4">
        <v>0</v>
      </c>
      <c r="H258" s="2" t="s">
        <v>598</v>
      </c>
      <c r="I258" s="2" t="s">
        <v>364</v>
      </c>
      <c r="J258" s="2" t="s">
        <v>264</v>
      </c>
      <c r="K258" s="4">
        <v>0</v>
      </c>
      <c r="L258" s="2" t="s">
        <v>597</v>
      </c>
      <c r="N258" s="4">
        <v>0</v>
      </c>
      <c r="O258" s="4">
        <v>3</v>
      </c>
      <c r="P258" s="20">
        <f t="shared" ref="P258:P274" si="89">N258/SUM(N258:O258)</f>
        <v>0</v>
      </c>
      <c r="Q258" s="4">
        <v>2013</v>
      </c>
      <c r="R258" s="4" t="s">
        <v>434</v>
      </c>
      <c r="S258" s="4">
        <v>2011</v>
      </c>
      <c r="T258" s="4" t="s">
        <v>125</v>
      </c>
      <c r="U258" s="4">
        <v>0.189</v>
      </c>
      <c r="V258" s="4">
        <v>0.69099999999999995</v>
      </c>
      <c r="W258" s="4">
        <v>0.63</v>
      </c>
      <c r="X258" s="4">
        <v>5614.352135225744</v>
      </c>
      <c r="Y258" s="4">
        <v>0.15</v>
      </c>
      <c r="Z258" s="4">
        <v>1</v>
      </c>
      <c r="AA258" s="4">
        <v>0</v>
      </c>
      <c r="AB258" s="4" t="s">
        <v>207</v>
      </c>
      <c r="AC258" s="17" t="s">
        <v>595</v>
      </c>
      <c r="AD258" s="20">
        <v>0.48899999999999999</v>
      </c>
      <c r="AE258" s="20">
        <v>0.51100000000000001</v>
      </c>
      <c r="AF258" s="10">
        <v>1</v>
      </c>
      <c r="AG258" s="4">
        <f t="shared" ref="AG258:AG274" si="90">IF(AF258=0,0,1)</f>
        <v>1</v>
      </c>
      <c r="AH258" s="3">
        <f t="shared" ref="AH258:AH274" si="91">IF(ISBLANK(AE258),2,IF(AE258&gt;0.6,0,IF(AE258&lt;0.4,1,2)))</f>
        <v>2</v>
      </c>
      <c r="AI258" s="4">
        <f t="shared" ref="AI258:AI274" si="92">IF(AH258=0,0,1)</f>
        <v>1</v>
      </c>
      <c r="AJ258" s="4">
        <f t="shared" ref="AJ258:AJ274" si="93">IF(ISBLANK(AE258),2,IF(AE258&gt;0.65,0,IF(AE258&lt;0.35,1,2)))</f>
        <v>2</v>
      </c>
      <c r="AK258" s="4">
        <f t="shared" ref="AK258:AK274" si="94">IF(AJ258=0,0,1)</f>
        <v>1</v>
      </c>
      <c r="AL258" s="4">
        <f t="shared" ref="AL258:AL274" si="95">IF(ISBLANK(AE258),2,IF(AE258&gt;0.7,0,IF(AE258&lt;0.3,1,2)))</f>
        <v>2</v>
      </c>
      <c r="AM258" s="4">
        <f t="shared" ref="AM258:AM274" si="96">IF(AL258=0,0,1)</f>
        <v>1</v>
      </c>
      <c r="AN258" s="4">
        <v>0</v>
      </c>
      <c r="AO258" s="4">
        <v>0</v>
      </c>
      <c r="AP258" s="4" t="s">
        <v>61</v>
      </c>
      <c r="AQ258" s="4" t="s">
        <v>97</v>
      </c>
      <c r="AR258" s="4">
        <v>1</v>
      </c>
      <c r="AS258" s="4" t="s">
        <v>493</v>
      </c>
      <c r="AT258" s="11">
        <f t="shared" si="87"/>
        <v>0.12708333333333333</v>
      </c>
      <c r="AU258" s="4">
        <f>2880/2</f>
        <v>1440</v>
      </c>
      <c r="AV258" s="11">
        <f t="shared" si="88"/>
        <v>0.10486111111111111</v>
      </c>
      <c r="AW258" s="4">
        <f>2880/2</f>
        <v>1440</v>
      </c>
      <c r="AX258" s="10">
        <v>183</v>
      </c>
      <c r="AY258" s="10">
        <f t="shared" ref="AY258:AY269" si="97">AU258-AX258</f>
        <v>1257</v>
      </c>
      <c r="AZ258" s="10">
        <v>151</v>
      </c>
      <c r="BA258" s="10">
        <f t="shared" ref="BA258:BA269" si="98">AW258-AZ258</f>
        <v>1289</v>
      </c>
      <c r="BB258" s="10">
        <f t="shared" ref="BB258:BB271" si="99">SUM(AX258:BA258)</f>
        <v>2880</v>
      </c>
    </row>
    <row r="259" spans="1:54" x14ac:dyDescent="0.25">
      <c r="A259" s="9" t="str">
        <f t="shared" si="84"/>
        <v>75C</v>
      </c>
      <c r="B259" s="4">
        <v>75</v>
      </c>
      <c r="C259" s="4">
        <v>1</v>
      </c>
      <c r="D259" s="4" t="s">
        <v>67</v>
      </c>
      <c r="E259" s="4">
        <v>0</v>
      </c>
      <c r="F259" s="4">
        <v>1</v>
      </c>
      <c r="G259" s="4">
        <v>0</v>
      </c>
      <c r="H259" s="2" t="s">
        <v>598</v>
      </c>
      <c r="I259" s="2" t="s">
        <v>364</v>
      </c>
      <c r="J259" s="2" t="s">
        <v>264</v>
      </c>
      <c r="K259" s="4">
        <v>0</v>
      </c>
      <c r="L259" s="2" t="s">
        <v>597</v>
      </c>
      <c r="M259" s="1"/>
      <c r="N259" s="4">
        <v>0</v>
      </c>
      <c r="O259" s="4">
        <v>3</v>
      </c>
      <c r="P259" s="20">
        <f t="shared" si="89"/>
        <v>0</v>
      </c>
      <c r="Q259" s="4">
        <v>2013</v>
      </c>
      <c r="R259" s="4" t="s">
        <v>434</v>
      </c>
      <c r="S259" s="4">
        <v>2011</v>
      </c>
      <c r="T259" s="4" t="s">
        <v>125</v>
      </c>
      <c r="U259" s="4">
        <v>0.189</v>
      </c>
      <c r="V259" s="4">
        <v>0.69099999999999995</v>
      </c>
      <c r="W259" s="4">
        <v>0.63</v>
      </c>
      <c r="X259" s="4">
        <v>5614.352135225744</v>
      </c>
      <c r="Y259" s="4">
        <v>0.15</v>
      </c>
      <c r="Z259" s="4">
        <v>1</v>
      </c>
      <c r="AA259" s="4">
        <v>0</v>
      </c>
      <c r="AB259" s="4" t="s">
        <v>207</v>
      </c>
      <c r="AC259" s="17" t="s">
        <v>147</v>
      </c>
      <c r="AD259" s="20">
        <v>0.48899999999999999</v>
      </c>
      <c r="AE259" s="20">
        <v>0.51100000000000001</v>
      </c>
      <c r="AF259" s="10">
        <v>2</v>
      </c>
      <c r="AG259" s="4">
        <f t="shared" si="90"/>
        <v>1</v>
      </c>
      <c r="AH259" s="3">
        <f t="shared" si="91"/>
        <v>2</v>
      </c>
      <c r="AI259" s="4">
        <f t="shared" si="92"/>
        <v>1</v>
      </c>
      <c r="AJ259" s="4">
        <f t="shared" si="93"/>
        <v>2</v>
      </c>
      <c r="AK259" s="4">
        <f t="shared" si="94"/>
        <v>1</v>
      </c>
      <c r="AL259" s="4">
        <f t="shared" si="95"/>
        <v>2</v>
      </c>
      <c r="AM259" s="4">
        <f t="shared" si="96"/>
        <v>1</v>
      </c>
      <c r="AN259" s="4">
        <v>0</v>
      </c>
      <c r="AO259" s="4">
        <v>0</v>
      </c>
      <c r="AP259" s="4" t="s">
        <v>61</v>
      </c>
      <c r="AQ259" s="4" t="s">
        <v>97</v>
      </c>
      <c r="AR259" s="4">
        <v>1</v>
      </c>
      <c r="AS259" s="4" t="s">
        <v>147</v>
      </c>
      <c r="AT259" s="11">
        <f t="shared" si="87"/>
        <v>2.7881040892193308E-2</v>
      </c>
      <c r="AU259" s="4">
        <f>6456/2</f>
        <v>3228</v>
      </c>
      <c r="AV259" s="11">
        <f t="shared" si="88"/>
        <v>3.3457249070631967E-2</v>
      </c>
      <c r="AW259" s="4">
        <f>6456/2</f>
        <v>3228</v>
      </c>
      <c r="AX259" s="10">
        <v>90</v>
      </c>
      <c r="AY259" s="10">
        <f t="shared" si="97"/>
        <v>3138</v>
      </c>
      <c r="AZ259" s="10">
        <v>108</v>
      </c>
      <c r="BA259" s="10">
        <f t="shared" si="98"/>
        <v>3120</v>
      </c>
      <c r="BB259" s="10">
        <f t="shared" si="99"/>
        <v>6456</v>
      </c>
    </row>
    <row r="260" spans="1:54" x14ac:dyDescent="0.25">
      <c r="A260" s="9" t="str">
        <f t="shared" si="84"/>
        <v>75D</v>
      </c>
      <c r="B260" s="4">
        <v>75</v>
      </c>
      <c r="C260" s="4">
        <v>1</v>
      </c>
      <c r="D260" s="4" t="s">
        <v>68</v>
      </c>
      <c r="E260" s="4">
        <v>0</v>
      </c>
      <c r="F260" s="4">
        <v>1</v>
      </c>
      <c r="G260" s="4">
        <v>0</v>
      </c>
      <c r="H260" s="2" t="s">
        <v>598</v>
      </c>
      <c r="I260" s="2" t="s">
        <v>364</v>
      </c>
      <c r="J260" s="2" t="s">
        <v>264</v>
      </c>
      <c r="K260" s="4">
        <v>0</v>
      </c>
      <c r="L260" s="2" t="s">
        <v>597</v>
      </c>
      <c r="M260" s="1"/>
      <c r="N260" s="4">
        <v>0</v>
      </c>
      <c r="O260" s="4">
        <v>3</v>
      </c>
      <c r="P260" s="20">
        <f t="shared" si="89"/>
        <v>0</v>
      </c>
      <c r="Q260" s="4">
        <v>2013</v>
      </c>
      <c r="R260" s="4" t="s">
        <v>434</v>
      </c>
      <c r="S260" s="4">
        <v>2011</v>
      </c>
      <c r="T260" s="4" t="s">
        <v>125</v>
      </c>
      <c r="U260" s="4">
        <v>0.189</v>
      </c>
      <c r="V260" s="4">
        <v>0.69099999999999995</v>
      </c>
      <c r="W260" s="4">
        <v>0.63</v>
      </c>
      <c r="X260" s="4">
        <v>5614.352135225744</v>
      </c>
      <c r="Y260" s="4">
        <v>0.15</v>
      </c>
      <c r="Z260" s="4">
        <v>1</v>
      </c>
      <c r="AA260" s="4">
        <v>0</v>
      </c>
      <c r="AB260" s="4" t="s">
        <v>207</v>
      </c>
      <c r="AC260" s="17" t="s">
        <v>594</v>
      </c>
      <c r="AD260" s="20">
        <v>0.48899999999999999</v>
      </c>
      <c r="AE260" s="20">
        <v>0.51100000000000001</v>
      </c>
      <c r="AF260" s="10">
        <v>2</v>
      </c>
      <c r="AG260" s="4">
        <f t="shared" si="90"/>
        <v>1</v>
      </c>
      <c r="AH260" s="3">
        <f t="shared" si="91"/>
        <v>2</v>
      </c>
      <c r="AI260" s="4">
        <f t="shared" si="92"/>
        <v>1</v>
      </c>
      <c r="AJ260" s="4">
        <f t="shared" si="93"/>
        <v>2</v>
      </c>
      <c r="AK260" s="4">
        <f t="shared" si="94"/>
        <v>1</v>
      </c>
      <c r="AL260" s="4">
        <f t="shared" si="95"/>
        <v>2</v>
      </c>
      <c r="AM260" s="4">
        <f t="shared" si="96"/>
        <v>1</v>
      </c>
      <c r="AN260" s="4">
        <v>0</v>
      </c>
      <c r="AO260" s="4">
        <v>0</v>
      </c>
      <c r="AP260" s="4" t="s">
        <v>61</v>
      </c>
      <c r="AQ260" s="4" t="s">
        <v>97</v>
      </c>
      <c r="AR260" s="4">
        <v>1</v>
      </c>
      <c r="AS260" s="4" t="s">
        <v>594</v>
      </c>
      <c r="AT260" s="11">
        <f t="shared" si="87"/>
        <v>9.0789473684210531E-2</v>
      </c>
      <c r="AU260" s="4">
        <f>4560/2</f>
        <v>2280</v>
      </c>
      <c r="AV260" s="11">
        <f t="shared" si="88"/>
        <v>6.0526315789473685E-2</v>
      </c>
      <c r="AW260" s="4">
        <f>4560/2</f>
        <v>2280</v>
      </c>
      <c r="AX260" s="10">
        <v>207</v>
      </c>
      <c r="AY260" s="10">
        <f t="shared" si="97"/>
        <v>2073</v>
      </c>
      <c r="AZ260" s="10">
        <v>138</v>
      </c>
      <c r="BA260" s="10">
        <f t="shared" si="98"/>
        <v>2142</v>
      </c>
      <c r="BB260" s="10">
        <f t="shared" si="99"/>
        <v>4560</v>
      </c>
    </row>
    <row r="261" spans="1:54" x14ac:dyDescent="0.25">
      <c r="A261" s="9" t="str">
        <f t="shared" si="84"/>
        <v>75E</v>
      </c>
      <c r="B261" s="4">
        <v>75</v>
      </c>
      <c r="C261" s="4">
        <v>1</v>
      </c>
      <c r="D261" s="4" t="s">
        <v>102</v>
      </c>
      <c r="E261" s="4">
        <v>0</v>
      </c>
      <c r="F261" s="4">
        <v>1</v>
      </c>
      <c r="G261" s="4">
        <v>0</v>
      </c>
      <c r="H261" s="2" t="s">
        <v>598</v>
      </c>
      <c r="I261" s="2" t="s">
        <v>364</v>
      </c>
      <c r="J261" s="2" t="s">
        <v>264</v>
      </c>
      <c r="K261" s="4">
        <v>0</v>
      </c>
      <c r="L261" s="2" t="s">
        <v>597</v>
      </c>
      <c r="M261" s="1"/>
      <c r="N261" s="4">
        <v>0</v>
      </c>
      <c r="O261" s="4">
        <v>3</v>
      </c>
      <c r="P261" s="20">
        <f t="shared" si="89"/>
        <v>0</v>
      </c>
      <c r="Q261" s="4">
        <v>2013</v>
      </c>
      <c r="R261" s="4" t="s">
        <v>434</v>
      </c>
      <c r="S261" s="4">
        <v>2011</v>
      </c>
      <c r="T261" s="4" t="s">
        <v>125</v>
      </c>
      <c r="U261" s="4">
        <v>0.189</v>
      </c>
      <c r="V261" s="4">
        <v>0.69099999999999995</v>
      </c>
      <c r="W261" s="4">
        <v>0.63</v>
      </c>
      <c r="X261" s="4">
        <v>5614.352135225744</v>
      </c>
      <c r="Y261" s="4">
        <v>0.15</v>
      </c>
      <c r="Z261" s="4">
        <v>1</v>
      </c>
      <c r="AA261" s="4">
        <v>0</v>
      </c>
      <c r="AB261" s="4" t="s">
        <v>207</v>
      </c>
      <c r="AC261" s="17" t="s">
        <v>150</v>
      </c>
      <c r="AD261" s="20">
        <v>0.67</v>
      </c>
      <c r="AE261" s="20">
        <v>0.32999999999999996</v>
      </c>
      <c r="AF261" s="10">
        <v>0</v>
      </c>
      <c r="AG261" s="4">
        <f t="shared" si="90"/>
        <v>0</v>
      </c>
      <c r="AH261" s="3">
        <f t="shared" si="91"/>
        <v>1</v>
      </c>
      <c r="AI261" s="4">
        <f t="shared" si="92"/>
        <v>1</v>
      </c>
      <c r="AJ261" s="4">
        <f t="shared" si="93"/>
        <v>1</v>
      </c>
      <c r="AK261" s="4">
        <f t="shared" si="94"/>
        <v>1</v>
      </c>
      <c r="AL261" s="4">
        <f t="shared" si="95"/>
        <v>2</v>
      </c>
      <c r="AM261" s="4">
        <f t="shared" si="96"/>
        <v>1</v>
      </c>
      <c r="AN261" s="4">
        <v>0</v>
      </c>
      <c r="AO261" s="4">
        <v>0</v>
      </c>
      <c r="AP261" s="4" t="s">
        <v>61</v>
      </c>
      <c r="AQ261" s="4" t="s">
        <v>97</v>
      </c>
      <c r="AR261" s="4">
        <v>1</v>
      </c>
      <c r="AS261" s="4" t="s">
        <v>150</v>
      </c>
      <c r="AT261" s="11">
        <f t="shared" si="87"/>
        <v>6.2667176155903712E-2</v>
      </c>
      <c r="AU261" s="4">
        <f>5234/2</f>
        <v>2617</v>
      </c>
      <c r="AV261" s="11">
        <f t="shared" si="88"/>
        <v>2.6748184944593044E-2</v>
      </c>
      <c r="AW261" s="4">
        <f>5234/2</f>
        <v>2617</v>
      </c>
      <c r="AX261" s="10">
        <v>164</v>
      </c>
      <c r="AY261" s="10">
        <f t="shared" si="97"/>
        <v>2453</v>
      </c>
      <c r="AZ261" s="10">
        <v>70</v>
      </c>
      <c r="BA261" s="10">
        <f t="shared" si="98"/>
        <v>2547</v>
      </c>
      <c r="BB261" s="10">
        <f t="shared" si="99"/>
        <v>5234</v>
      </c>
    </row>
    <row r="262" spans="1:54" x14ac:dyDescent="0.25">
      <c r="A262" s="9" t="str">
        <f t="shared" si="84"/>
        <v>76A</v>
      </c>
      <c r="B262" s="3">
        <v>76</v>
      </c>
      <c r="C262" s="3">
        <v>1</v>
      </c>
      <c r="D262" s="3" t="s">
        <v>65</v>
      </c>
      <c r="E262" s="3">
        <v>1</v>
      </c>
      <c r="F262" s="3">
        <v>1</v>
      </c>
      <c r="G262" s="3">
        <v>0</v>
      </c>
      <c r="H262" s="1" t="s">
        <v>609</v>
      </c>
      <c r="I262" s="1" t="s">
        <v>407</v>
      </c>
      <c r="J262" s="1" t="s">
        <v>203</v>
      </c>
      <c r="K262" s="3">
        <v>1</v>
      </c>
      <c r="L262" s="1" t="s">
        <v>608</v>
      </c>
      <c r="M262" s="1" t="s">
        <v>607</v>
      </c>
      <c r="N262" s="3">
        <v>1</v>
      </c>
      <c r="O262" s="3">
        <v>0</v>
      </c>
      <c r="P262" s="19">
        <f t="shared" si="89"/>
        <v>1</v>
      </c>
      <c r="Q262" s="3">
        <v>2020</v>
      </c>
      <c r="R262" s="3" t="s">
        <v>370</v>
      </c>
      <c r="S262" s="3">
        <v>2016</v>
      </c>
      <c r="T262" s="3" t="s">
        <v>101</v>
      </c>
      <c r="U262" s="3">
        <v>0.23599999999999999</v>
      </c>
      <c r="V262" s="3">
        <v>0.92</v>
      </c>
      <c r="W262" s="3">
        <v>0.89600000000000002</v>
      </c>
      <c r="X262" s="3">
        <v>57866.744934109141</v>
      </c>
      <c r="Y262" s="3">
        <v>0</v>
      </c>
      <c r="Z262" s="3">
        <v>0</v>
      </c>
      <c r="AA262" s="3">
        <v>0</v>
      </c>
      <c r="AB262" s="3" t="s">
        <v>207</v>
      </c>
      <c r="AC262" s="7" t="s">
        <v>606</v>
      </c>
      <c r="AD262" s="19">
        <v>0.47366666666666662</v>
      </c>
      <c r="AE262" s="19">
        <v>0.52633333333333332</v>
      </c>
      <c r="AF262" s="10">
        <v>2</v>
      </c>
      <c r="AG262" s="3">
        <f t="shared" si="90"/>
        <v>1</v>
      </c>
      <c r="AH262" s="3">
        <f t="shared" si="91"/>
        <v>2</v>
      </c>
      <c r="AI262" s="4">
        <f t="shared" si="92"/>
        <v>1</v>
      </c>
      <c r="AJ262" s="4">
        <f t="shared" si="93"/>
        <v>2</v>
      </c>
      <c r="AK262" s="4">
        <f t="shared" si="94"/>
        <v>1</v>
      </c>
      <c r="AL262" s="4">
        <f t="shared" si="95"/>
        <v>2</v>
      </c>
      <c r="AM262" s="4">
        <f t="shared" si="96"/>
        <v>1</v>
      </c>
      <c r="AN262" s="4">
        <v>0</v>
      </c>
      <c r="AO262" s="4">
        <v>0</v>
      </c>
      <c r="AP262" s="3" t="s">
        <v>61</v>
      </c>
      <c r="AQ262" s="3" t="s">
        <v>97</v>
      </c>
      <c r="AR262" s="3">
        <v>1</v>
      </c>
      <c r="AS262" s="3" t="s">
        <v>62</v>
      </c>
      <c r="AT262" s="16">
        <f t="shared" si="87"/>
        <v>0.20596458527493011</v>
      </c>
      <c r="AU262" s="3">
        <v>1073</v>
      </c>
      <c r="AV262" s="16">
        <f t="shared" si="88"/>
        <v>0.17575187969924813</v>
      </c>
      <c r="AW262" s="3">
        <v>1064</v>
      </c>
      <c r="AX262" s="8">
        <v>221</v>
      </c>
      <c r="AY262" s="8">
        <f t="shared" si="97"/>
        <v>852</v>
      </c>
      <c r="AZ262" s="8">
        <v>187</v>
      </c>
      <c r="BA262" s="8">
        <f t="shared" si="98"/>
        <v>877</v>
      </c>
      <c r="BB262" s="8">
        <f t="shared" si="99"/>
        <v>2137</v>
      </c>
    </row>
    <row r="263" spans="1:54" s="1" customFormat="1" x14ac:dyDescent="0.25">
      <c r="A263" s="9" t="str">
        <f t="shared" si="84"/>
        <v>77A</v>
      </c>
      <c r="B263" s="3">
        <v>77</v>
      </c>
      <c r="C263" s="3">
        <v>1</v>
      </c>
      <c r="D263" s="3" t="s">
        <v>65</v>
      </c>
      <c r="E263" s="3">
        <v>1</v>
      </c>
      <c r="F263" s="3">
        <v>1</v>
      </c>
      <c r="G263" s="3">
        <v>0</v>
      </c>
      <c r="H263" s="1" t="s">
        <v>612</v>
      </c>
      <c r="I263" s="1" t="s">
        <v>613</v>
      </c>
      <c r="J263" s="1" t="s">
        <v>203</v>
      </c>
      <c r="K263" s="3">
        <v>1</v>
      </c>
      <c r="L263" s="1" t="s">
        <v>611</v>
      </c>
      <c r="M263" s="1" t="s">
        <v>607</v>
      </c>
      <c r="N263" s="3">
        <v>2</v>
      </c>
      <c r="O263" s="3">
        <v>0</v>
      </c>
      <c r="P263" s="19">
        <f t="shared" si="89"/>
        <v>1</v>
      </c>
      <c r="Q263" s="3">
        <v>2021</v>
      </c>
      <c r="R263" s="3" t="s">
        <v>610</v>
      </c>
      <c r="S263" s="3">
        <v>2017</v>
      </c>
      <c r="T263" s="3" t="s">
        <v>286</v>
      </c>
      <c r="U263" s="3">
        <v>7.8E-2</v>
      </c>
      <c r="V263" s="3">
        <v>0.90100000000000002</v>
      </c>
      <c r="W263" s="3">
        <v>0.83599999999999997</v>
      </c>
      <c r="X263" s="3">
        <v>28185.321367196899</v>
      </c>
      <c r="Y263" s="3">
        <v>7.3999999999999996E-2</v>
      </c>
      <c r="Z263" s="3">
        <v>1</v>
      </c>
      <c r="AA263" s="3">
        <v>0</v>
      </c>
      <c r="AB263" s="3" t="s">
        <v>207</v>
      </c>
      <c r="AC263" s="7" t="s">
        <v>606</v>
      </c>
      <c r="AD263" s="19">
        <v>0.47100000000000003</v>
      </c>
      <c r="AE263" s="19">
        <v>0.52899999999999991</v>
      </c>
      <c r="AF263" s="10">
        <v>2</v>
      </c>
      <c r="AG263" s="3">
        <f t="shared" si="90"/>
        <v>1</v>
      </c>
      <c r="AH263" s="3">
        <f t="shared" si="91"/>
        <v>2</v>
      </c>
      <c r="AI263" s="4">
        <f t="shared" si="92"/>
        <v>1</v>
      </c>
      <c r="AJ263" s="4">
        <f t="shared" si="93"/>
        <v>2</v>
      </c>
      <c r="AK263" s="4">
        <f t="shared" si="94"/>
        <v>1</v>
      </c>
      <c r="AL263" s="4">
        <f t="shared" si="95"/>
        <v>2</v>
      </c>
      <c r="AM263" s="4">
        <f t="shared" si="96"/>
        <v>1</v>
      </c>
      <c r="AN263" s="4">
        <v>0</v>
      </c>
      <c r="AO263" s="4">
        <v>0</v>
      </c>
      <c r="AP263" s="3" t="s">
        <v>61</v>
      </c>
      <c r="AQ263" s="3" t="s">
        <v>97</v>
      </c>
      <c r="AR263" s="3">
        <v>1</v>
      </c>
      <c r="AS263" s="3" t="s">
        <v>62</v>
      </c>
      <c r="AT263" s="16">
        <f t="shared" si="87"/>
        <v>0.21970705725699069</v>
      </c>
      <c r="AU263" s="3">
        <v>751</v>
      </c>
      <c r="AV263" s="16">
        <f t="shared" si="88"/>
        <v>0.18718592964824121</v>
      </c>
      <c r="AW263" s="3">
        <v>796</v>
      </c>
      <c r="AX263" s="8">
        <v>165</v>
      </c>
      <c r="AY263" s="8">
        <f t="shared" si="97"/>
        <v>586</v>
      </c>
      <c r="AZ263" s="8">
        <v>149</v>
      </c>
      <c r="BA263" s="8">
        <f t="shared" si="98"/>
        <v>647</v>
      </c>
      <c r="BB263" s="8">
        <f t="shared" si="99"/>
        <v>1547</v>
      </c>
    </row>
    <row r="264" spans="1:54" s="1" customFormat="1" x14ac:dyDescent="0.25">
      <c r="A264" s="9" t="str">
        <f t="shared" si="84"/>
        <v>78A</v>
      </c>
      <c r="B264" s="3">
        <v>78</v>
      </c>
      <c r="C264" s="3">
        <v>1</v>
      </c>
      <c r="D264" s="3" t="s">
        <v>65</v>
      </c>
      <c r="E264" s="3">
        <v>1</v>
      </c>
      <c r="F264" s="3">
        <v>1</v>
      </c>
      <c r="G264" s="3">
        <v>0</v>
      </c>
      <c r="H264" s="1" t="s">
        <v>614</v>
      </c>
      <c r="I264" s="1" t="s">
        <v>11</v>
      </c>
      <c r="J264" s="1" t="s">
        <v>229</v>
      </c>
      <c r="K264" s="3">
        <v>1</v>
      </c>
      <c r="L264" s="1" t="s">
        <v>615</v>
      </c>
      <c r="M264" s="1" t="s">
        <v>616</v>
      </c>
      <c r="N264" s="3">
        <v>1</v>
      </c>
      <c r="O264" s="3">
        <v>2</v>
      </c>
      <c r="P264" s="19">
        <f t="shared" si="89"/>
        <v>0.33333333333333331</v>
      </c>
      <c r="Q264" s="3">
        <v>2014</v>
      </c>
      <c r="R264" s="3">
        <v>2011</v>
      </c>
      <c r="S264" s="3">
        <v>2011</v>
      </c>
      <c r="T264" s="3" t="s">
        <v>272</v>
      </c>
      <c r="U264" s="3">
        <v>5.0999999999999997E-2</v>
      </c>
      <c r="V264" s="3">
        <v>0.91700000000000004</v>
      </c>
      <c r="W264" s="3">
        <v>0.89600000000000002</v>
      </c>
      <c r="X264" s="3">
        <v>54230.312902985192</v>
      </c>
      <c r="Y264" s="3">
        <v>7.9000000000000001E-2</v>
      </c>
      <c r="Z264" s="3">
        <v>1</v>
      </c>
      <c r="AA264" s="3">
        <v>0</v>
      </c>
      <c r="AB264" s="3" t="s">
        <v>207</v>
      </c>
      <c r="AC264" s="7" t="s">
        <v>694</v>
      </c>
      <c r="AD264" s="19">
        <v>0.57079999999999997</v>
      </c>
      <c r="AE264" s="19">
        <v>0.42920000000000003</v>
      </c>
      <c r="AF264" s="10">
        <v>2</v>
      </c>
      <c r="AG264" s="3">
        <f t="shared" si="90"/>
        <v>1</v>
      </c>
      <c r="AH264" s="3">
        <f t="shared" si="91"/>
        <v>2</v>
      </c>
      <c r="AI264" s="4">
        <f t="shared" si="92"/>
        <v>1</v>
      </c>
      <c r="AJ264" s="4">
        <f t="shared" si="93"/>
        <v>2</v>
      </c>
      <c r="AK264" s="4">
        <f t="shared" si="94"/>
        <v>1</v>
      </c>
      <c r="AL264" s="4">
        <f t="shared" si="95"/>
        <v>2</v>
      </c>
      <c r="AM264" s="4">
        <f t="shared" si="96"/>
        <v>1</v>
      </c>
      <c r="AN264" s="4">
        <v>0</v>
      </c>
      <c r="AO264" s="4">
        <v>0</v>
      </c>
      <c r="AP264" s="3" t="s">
        <v>61</v>
      </c>
      <c r="AQ264" s="3" t="s">
        <v>97</v>
      </c>
      <c r="AR264" s="3">
        <v>1</v>
      </c>
      <c r="AS264" s="3" t="s">
        <v>62</v>
      </c>
      <c r="AT264" s="16">
        <f t="shared" si="87"/>
        <v>0.51948051948051943</v>
      </c>
      <c r="AU264" s="3">
        <v>308</v>
      </c>
      <c r="AV264" s="16">
        <f t="shared" si="88"/>
        <v>0.68975903614457834</v>
      </c>
      <c r="AW264" s="3">
        <v>332</v>
      </c>
      <c r="AX264" s="8">
        <v>160</v>
      </c>
      <c r="AY264" s="8">
        <f t="shared" si="97"/>
        <v>148</v>
      </c>
      <c r="AZ264" s="8">
        <v>229</v>
      </c>
      <c r="BA264" s="8">
        <f t="shared" si="98"/>
        <v>103</v>
      </c>
      <c r="BB264" s="8">
        <f t="shared" si="99"/>
        <v>640</v>
      </c>
    </row>
    <row r="265" spans="1:54" s="1" customFormat="1" x14ac:dyDescent="0.25">
      <c r="A265" s="9" t="str">
        <f t="shared" si="84"/>
        <v>79A</v>
      </c>
      <c r="B265" s="3">
        <v>79</v>
      </c>
      <c r="C265" s="3">
        <v>1</v>
      </c>
      <c r="D265" s="3" t="s">
        <v>65</v>
      </c>
      <c r="E265" s="3">
        <v>1</v>
      </c>
      <c r="F265" s="3">
        <v>0</v>
      </c>
      <c r="G265" s="3">
        <v>0</v>
      </c>
      <c r="H265" s="1" t="s">
        <v>628</v>
      </c>
      <c r="I265" s="1" t="s">
        <v>364</v>
      </c>
      <c r="J265" s="1" t="s">
        <v>627</v>
      </c>
      <c r="K265" s="3">
        <v>0</v>
      </c>
      <c r="L265" s="1" t="s">
        <v>626</v>
      </c>
      <c r="M265" s="23" t="s">
        <v>555</v>
      </c>
      <c r="N265" s="3">
        <v>2</v>
      </c>
      <c r="O265" s="3">
        <v>1</v>
      </c>
      <c r="P265" s="19">
        <f t="shared" si="89"/>
        <v>0.66666666666666663</v>
      </c>
      <c r="Q265" s="3">
        <v>2020</v>
      </c>
      <c r="R265" s="1" t="s">
        <v>625</v>
      </c>
      <c r="S265" s="3">
        <v>2018</v>
      </c>
      <c r="T265" s="3" t="s">
        <v>624</v>
      </c>
      <c r="U265" s="3">
        <v>3.9E-2</v>
      </c>
      <c r="V265" s="3">
        <v>0.95899999999999996</v>
      </c>
      <c r="W265" s="3">
        <v>0.9</v>
      </c>
      <c r="X265" s="3">
        <v>85217.369151227409</v>
      </c>
      <c r="Y265" s="3">
        <v>6.8000000000000005E-2</v>
      </c>
      <c r="Z265" s="3">
        <v>0</v>
      </c>
      <c r="AA265" s="3">
        <v>0</v>
      </c>
      <c r="AB265" s="3" t="s">
        <v>207</v>
      </c>
      <c r="AC265" s="7" t="s">
        <v>61</v>
      </c>
      <c r="AD265" s="3"/>
      <c r="AE265" s="3"/>
      <c r="AF265" s="10">
        <v>2</v>
      </c>
      <c r="AG265" s="3">
        <f t="shared" si="90"/>
        <v>1</v>
      </c>
      <c r="AH265" s="3">
        <f t="shared" si="91"/>
        <v>2</v>
      </c>
      <c r="AI265" s="4">
        <f t="shared" si="92"/>
        <v>1</v>
      </c>
      <c r="AJ265" s="4">
        <f t="shared" si="93"/>
        <v>2</v>
      </c>
      <c r="AK265" s="4">
        <f t="shared" si="94"/>
        <v>1</v>
      </c>
      <c r="AL265" s="4">
        <f t="shared" si="95"/>
        <v>2</v>
      </c>
      <c r="AM265" s="4">
        <f t="shared" si="96"/>
        <v>1</v>
      </c>
      <c r="AN265" s="4">
        <v>0</v>
      </c>
      <c r="AO265" s="4">
        <v>0</v>
      </c>
      <c r="AP265" s="3" t="s">
        <v>316</v>
      </c>
      <c r="AQ265" s="3" t="s">
        <v>97</v>
      </c>
      <c r="AR265" s="3">
        <v>1</v>
      </c>
      <c r="AS265" s="3" t="s">
        <v>62</v>
      </c>
      <c r="AT265" s="16">
        <f t="shared" si="87"/>
        <v>0.30608240680183124</v>
      </c>
      <c r="AU265" s="3">
        <f>SUM(AU266:AU268)</f>
        <v>1529</v>
      </c>
      <c r="AV265" s="16">
        <f t="shared" si="88"/>
        <v>0.27162258756254465</v>
      </c>
      <c r="AW265" s="3">
        <f>SUM(AW266:AW268)</f>
        <v>1399</v>
      </c>
      <c r="AX265" s="3">
        <f>SUM(AX266:AX268)</f>
        <v>468</v>
      </c>
      <c r="AY265" s="3">
        <f t="shared" si="97"/>
        <v>1061</v>
      </c>
      <c r="AZ265" s="3">
        <f>SUM(AZ266:AZ268)</f>
        <v>380</v>
      </c>
      <c r="BA265" s="3">
        <f t="shared" si="98"/>
        <v>1019</v>
      </c>
      <c r="BB265" s="3">
        <f t="shared" si="99"/>
        <v>2928</v>
      </c>
    </row>
    <row r="266" spans="1:54" x14ac:dyDescent="0.25">
      <c r="A266" s="9" t="str">
        <f t="shared" si="84"/>
        <v>79B</v>
      </c>
      <c r="B266" s="4">
        <v>79</v>
      </c>
      <c r="C266" s="4">
        <v>1</v>
      </c>
      <c r="D266" s="4" t="s">
        <v>66</v>
      </c>
      <c r="E266" s="4">
        <v>0</v>
      </c>
      <c r="F266" s="4">
        <v>1</v>
      </c>
      <c r="G266" s="4">
        <v>0</v>
      </c>
      <c r="H266" s="2" t="s">
        <v>628</v>
      </c>
      <c r="I266" s="2" t="s">
        <v>364</v>
      </c>
      <c r="J266" s="2" t="s">
        <v>627</v>
      </c>
      <c r="K266" s="4">
        <v>0</v>
      </c>
      <c r="L266" s="2" t="s">
        <v>626</v>
      </c>
      <c r="M266" s="1"/>
      <c r="N266" s="4">
        <v>2</v>
      </c>
      <c r="O266" s="4">
        <v>1</v>
      </c>
      <c r="P266" s="20">
        <f t="shared" si="89"/>
        <v>0.66666666666666663</v>
      </c>
      <c r="Q266" s="4">
        <v>2020</v>
      </c>
      <c r="R266" s="2" t="s">
        <v>625</v>
      </c>
      <c r="S266" s="4">
        <v>2018</v>
      </c>
      <c r="T266" s="4" t="s">
        <v>624</v>
      </c>
      <c r="U266" s="4">
        <v>3.9E-2</v>
      </c>
      <c r="V266" s="4">
        <v>0.95899999999999996</v>
      </c>
      <c r="W266" s="4">
        <v>0.9</v>
      </c>
      <c r="X266" s="4">
        <v>85217.369151227409</v>
      </c>
      <c r="Y266" s="4">
        <v>6.8000000000000005E-2</v>
      </c>
      <c r="Z266" s="4">
        <v>0</v>
      </c>
      <c r="AA266" s="4">
        <v>0</v>
      </c>
      <c r="AB266" s="4" t="s">
        <v>207</v>
      </c>
      <c r="AC266" s="17" t="s">
        <v>704</v>
      </c>
      <c r="AD266" s="20">
        <v>0.26783333333333331</v>
      </c>
      <c r="AE266" s="20">
        <v>0.73216666666666663</v>
      </c>
      <c r="AF266" s="10">
        <v>0</v>
      </c>
      <c r="AG266" s="4">
        <f t="shared" si="90"/>
        <v>0</v>
      </c>
      <c r="AH266" s="3">
        <f t="shared" si="91"/>
        <v>0</v>
      </c>
      <c r="AI266" s="4">
        <f t="shared" si="92"/>
        <v>0</v>
      </c>
      <c r="AJ266" s="4">
        <f t="shared" si="93"/>
        <v>0</v>
      </c>
      <c r="AK266" s="4">
        <f t="shared" si="94"/>
        <v>0</v>
      </c>
      <c r="AL266" s="4">
        <f t="shared" si="95"/>
        <v>0</v>
      </c>
      <c r="AM266" s="4">
        <f t="shared" si="96"/>
        <v>0</v>
      </c>
      <c r="AN266" s="4">
        <v>0</v>
      </c>
      <c r="AO266" s="4">
        <v>0</v>
      </c>
      <c r="AP266" s="4" t="s">
        <v>316</v>
      </c>
      <c r="AQ266" s="4" t="s">
        <v>97</v>
      </c>
      <c r="AR266" s="4">
        <v>1</v>
      </c>
      <c r="AS266" s="4" t="s">
        <v>621</v>
      </c>
      <c r="AT266" s="11">
        <f t="shared" si="87"/>
        <v>0.24330900243309003</v>
      </c>
      <c r="AU266" s="4">
        <v>411</v>
      </c>
      <c r="AV266" s="11">
        <f t="shared" si="88"/>
        <v>0.1758957654723127</v>
      </c>
      <c r="AW266" s="4">
        <v>307</v>
      </c>
      <c r="AX266" s="4">
        <v>100</v>
      </c>
      <c r="AY266" s="4">
        <f t="shared" si="97"/>
        <v>311</v>
      </c>
      <c r="AZ266" s="4">
        <v>54</v>
      </c>
      <c r="BA266" s="4">
        <f t="shared" si="98"/>
        <v>253</v>
      </c>
      <c r="BB266" s="4">
        <f t="shared" si="99"/>
        <v>718</v>
      </c>
    </row>
    <row r="267" spans="1:54" x14ac:dyDescent="0.25">
      <c r="A267" s="9" t="str">
        <f t="shared" si="84"/>
        <v>79C</v>
      </c>
      <c r="B267" s="4">
        <v>79</v>
      </c>
      <c r="C267" s="4">
        <v>1</v>
      </c>
      <c r="D267" s="4" t="s">
        <v>67</v>
      </c>
      <c r="E267" s="4">
        <v>0</v>
      </c>
      <c r="F267" s="4">
        <v>1</v>
      </c>
      <c r="G267" s="4">
        <v>0</v>
      </c>
      <c r="H267" s="2" t="s">
        <v>628</v>
      </c>
      <c r="I267" s="2" t="s">
        <v>364</v>
      </c>
      <c r="J267" s="2" t="s">
        <v>627</v>
      </c>
      <c r="K267" s="4">
        <v>0</v>
      </c>
      <c r="L267" s="2" t="s">
        <v>626</v>
      </c>
      <c r="M267" s="1"/>
      <c r="N267" s="4">
        <v>2</v>
      </c>
      <c r="O267" s="4">
        <v>1</v>
      </c>
      <c r="P267" s="20">
        <f t="shared" si="89"/>
        <v>0.66666666666666663</v>
      </c>
      <c r="Q267" s="4">
        <v>2020</v>
      </c>
      <c r="R267" s="2" t="s">
        <v>625</v>
      </c>
      <c r="S267" s="4">
        <v>2018</v>
      </c>
      <c r="T267" s="4" t="s">
        <v>624</v>
      </c>
      <c r="U267" s="4">
        <v>3.9E-2</v>
      </c>
      <c r="V267" s="4">
        <v>0.95899999999999996</v>
      </c>
      <c r="W267" s="4">
        <v>0.9</v>
      </c>
      <c r="X267" s="4">
        <v>85217.369151227409</v>
      </c>
      <c r="Y267" s="4">
        <v>6.8000000000000005E-2</v>
      </c>
      <c r="Z267" s="4">
        <v>0</v>
      </c>
      <c r="AA267" s="4">
        <v>0</v>
      </c>
      <c r="AB267" s="4" t="s">
        <v>207</v>
      </c>
      <c r="AC267" s="17" t="s">
        <v>705</v>
      </c>
      <c r="AD267" s="20">
        <v>0.46928571428571431</v>
      </c>
      <c r="AE267" s="20">
        <v>0.53071428571428569</v>
      </c>
      <c r="AF267" s="10">
        <v>2</v>
      </c>
      <c r="AG267" s="4">
        <f t="shared" si="90"/>
        <v>1</v>
      </c>
      <c r="AH267" s="3">
        <f t="shared" si="91"/>
        <v>2</v>
      </c>
      <c r="AI267" s="4">
        <f t="shared" si="92"/>
        <v>1</v>
      </c>
      <c r="AJ267" s="4">
        <f t="shared" si="93"/>
        <v>2</v>
      </c>
      <c r="AK267" s="4">
        <f t="shared" si="94"/>
        <v>1</v>
      </c>
      <c r="AL267" s="4">
        <f t="shared" si="95"/>
        <v>2</v>
      </c>
      <c r="AM267" s="4">
        <f t="shared" si="96"/>
        <v>1</v>
      </c>
      <c r="AN267" s="4">
        <v>0</v>
      </c>
      <c r="AO267" s="4">
        <v>0</v>
      </c>
      <c r="AP267" s="4" t="s">
        <v>316</v>
      </c>
      <c r="AQ267" s="4" t="s">
        <v>97</v>
      </c>
      <c r="AR267" s="4">
        <v>1</v>
      </c>
      <c r="AS267" s="4" t="s">
        <v>622</v>
      </c>
      <c r="AT267" s="11">
        <f t="shared" ref="AT267:AT274" si="100">AX267/AU267</f>
        <v>0.32459677419354838</v>
      </c>
      <c r="AU267" s="4">
        <v>496</v>
      </c>
      <c r="AV267" s="11">
        <f t="shared" ref="AV267:AV274" si="101">AZ267/AW267</f>
        <v>0.27991452991452992</v>
      </c>
      <c r="AW267" s="4">
        <v>468</v>
      </c>
      <c r="AX267" s="4">
        <v>161</v>
      </c>
      <c r="AY267" s="4">
        <f t="shared" si="97"/>
        <v>335</v>
      </c>
      <c r="AZ267" s="4">
        <v>131</v>
      </c>
      <c r="BA267" s="4">
        <f t="shared" si="98"/>
        <v>337</v>
      </c>
      <c r="BB267" s="4">
        <f t="shared" si="99"/>
        <v>964</v>
      </c>
    </row>
    <row r="268" spans="1:54" x14ac:dyDescent="0.25">
      <c r="A268" s="9" t="str">
        <f t="shared" si="84"/>
        <v>79D</v>
      </c>
      <c r="B268" s="4">
        <v>79</v>
      </c>
      <c r="C268" s="4">
        <v>1</v>
      </c>
      <c r="D268" s="4" t="s">
        <v>68</v>
      </c>
      <c r="E268" s="4">
        <v>0</v>
      </c>
      <c r="F268" s="4">
        <v>1</v>
      </c>
      <c r="G268" s="4">
        <v>0</v>
      </c>
      <c r="H268" s="2" t="s">
        <v>628</v>
      </c>
      <c r="I268" s="2" t="s">
        <v>364</v>
      </c>
      <c r="J268" s="2" t="s">
        <v>627</v>
      </c>
      <c r="K268" s="4">
        <v>0</v>
      </c>
      <c r="L268" s="2" t="s">
        <v>626</v>
      </c>
      <c r="M268" s="1"/>
      <c r="N268" s="4">
        <v>2</v>
      </c>
      <c r="O268" s="4">
        <v>1</v>
      </c>
      <c r="P268" s="20">
        <f t="shared" si="89"/>
        <v>0.66666666666666663</v>
      </c>
      <c r="Q268" s="4">
        <v>2020</v>
      </c>
      <c r="R268" s="2" t="s">
        <v>625</v>
      </c>
      <c r="S268" s="4">
        <v>2018</v>
      </c>
      <c r="T268" s="4" t="s">
        <v>624</v>
      </c>
      <c r="U268" s="4">
        <v>3.9E-2</v>
      </c>
      <c r="V268" s="4">
        <v>0.95899999999999996</v>
      </c>
      <c r="W268" s="4">
        <v>0.9</v>
      </c>
      <c r="X268" s="4">
        <v>85217.369151227409</v>
      </c>
      <c r="Y268" s="4">
        <v>6.8000000000000005E-2</v>
      </c>
      <c r="Z268" s="4">
        <v>0</v>
      </c>
      <c r="AA268" s="4">
        <v>0</v>
      </c>
      <c r="AB268" s="4" t="s">
        <v>207</v>
      </c>
      <c r="AC268" s="17" t="s">
        <v>706</v>
      </c>
      <c r="AD268" s="20">
        <v>0.78729411764705892</v>
      </c>
      <c r="AE268" s="20">
        <v>0.21270588235294108</v>
      </c>
      <c r="AF268" s="10">
        <v>1</v>
      </c>
      <c r="AG268" s="4">
        <f t="shared" si="90"/>
        <v>1</v>
      </c>
      <c r="AH268" s="3">
        <f t="shared" si="91"/>
        <v>1</v>
      </c>
      <c r="AI268" s="4">
        <f t="shared" si="92"/>
        <v>1</v>
      </c>
      <c r="AJ268" s="4">
        <f t="shared" si="93"/>
        <v>1</v>
      </c>
      <c r="AK268" s="4">
        <f t="shared" si="94"/>
        <v>1</v>
      </c>
      <c r="AL268" s="4">
        <f t="shared" si="95"/>
        <v>1</v>
      </c>
      <c r="AM268" s="4">
        <f t="shared" si="96"/>
        <v>1</v>
      </c>
      <c r="AN268" s="4">
        <v>0</v>
      </c>
      <c r="AO268" s="4">
        <v>0</v>
      </c>
      <c r="AP268" s="4" t="s">
        <v>316</v>
      </c>
      <c r="AQ268" s="4" t="s">
        <v>97</v>
      </c>
      <c r="AR268" s="4">
        <v>1</v>
      </c>
      <c r="AS268" s="4" t="s">
        <v>623</v>
      </c>
      <c r="AT268" s="11">
        <f t="shared" si="100"/>
        <v>0.33279742765273312</v>
      </c>
      <c r="AU268" s="4">
        <v>622</v>
      </c>
      <c r="AV268" s="11">
        <f t="shared" si="101"/>
        <v>0.3125</v>
      </c>
      <c r="AW268" s="4">
        <v>624</v>
      </c>
      <c r="AX268" s="4">
        <v>207</v>
      </c>
      <c r="AY268" s="4">
        <f t="shared" si="97"/>
        <v>415</v>
      </c>
      <c r="AZ268" s="4">
        <v>195</v>
      </c>
      <c r="BA268" s="4">
        <f t="shared" si="98"/>
        <v>429</v>
      </c>
      <c r="BB268" s="4">
        <f t="shared" si="99"/>
        <v>1246</v>
      </c>
    </row>
    <row r="269" spans="1:54" x14ac:dyDescent="0.25">
      <c r="A269" s="9" t="str">
        <f t="shared" si="84"/>
        <v>80A</v>
      </c>
      <c r="B269" s="3">
        <v>80</v>
      </c>
      <c r="C269" s="3">
        <v>1</v>
      </c>
      <c r="D269" s="3" t="s">
        <v>65</v>
      </c>
      <c r="E269" s="3">
        <v>1</v>
      </c>
      <c r="F269" s="3">
        <v>1</v>
      </c>
      <c r="G269" s="3">
        <v>0</v>
      </c>
      <c r="H269" s="1" t="s">
        <v>634</v>
      </c>
      <c r="I269" s="1" t="s">
        <v>6</v>
      </c>
      <c r="J269" s="1" t="s">
        <v>203</v>
      </c>
      <c r="K269" s="3">
        <v>1</v>
      </c>
      <c r="L269" s="1" t="s">
        <v>633</v>
      </c>
      <c r="M269" s="1" t="s">
        <v>558</v>
      </c>
      <c r="N269" s="3">
        <v>2</v>
      </c>
      <c r="O269" s="3">
        <v>1</v>
      </c>
      <c r="P269" s="19">
        <f t="shared" si="89"/>
        <v>0.66666666666666663</v>
      </c>
      <c r="Q269" s="3">
        <v>2020</v>
      </c>
      <c r="R269" s="3">
        <v>2016</v>
      </c>
      <c r="S269" s="3">
        <v>2016</v>
      </c>
      <c r="T269" s="3" t="s">
        <v>129</v>
      </c>
      <c r="U269" s="3">
        <v>8.1000000000000003E-2</v>
      </c>
      <c r="V269" s="3">
        <v>0.89200000000000002</v>
      </c>
      <c r="W269" s="3">
        <v>0.80900000000000005</v>
      </c>
      <c r="X269" s="3">
        <v>37062.533572382861</v>
      </c>
      <c r="Y269" s="3">
        <v>7.9000000000000001E-2</v>
      </c>
      <c r="Z269" s="3">
        <v>0</v>
      </c>
      <c r="AA269" s="3">
        <v>0</v>
      </c>
      <c r="AB269" s="3" t="s">
        <v>207</v>
      </c>
      <c r="AC269" s="7" t="s">
        <v>685</v>
      </c>
      <c r="AD269" s="19">
        <v>0.43970851360781571</v>
      </c>
      <c r="AE269" s="19">
        <v>0.56029148639218429</v>
      </c>
      <c r="AF269" s="10">
        <v>2</v>
      </c>
      <c r="AG269" s="4">
        <f t="shared" si="90"/>
        <v>1</v>
      </c>
      <c r="AH269" s="3">
        <f t="shared" si="91"/>
        <v>2</v>
      </c>
      <c r="AI269" s="4">
        <f t="shared" si="92"/>
        <v>1</v>
      </c>
      <c r="AJ269" s="4">
        <f t="shared" si="93"/>
        <v>2</v>
      </c>
      <c r="AK269" s="4">
        <f t="shared" si="94"/>
        <v>1</v>
      </c>
      <c r="AL269" s="4">
        <f t="shared" si="95"/>
        <v>2</v>
      </c>
      <c r="AM269" s="4">
        <f t="shared" si="96"/>
        <v>1</v>
      </c>
      <c r="AN269" s="4">
        <v>0</v>
      </c>
      <c r="AO269" s="4">
        <v>0</v>
      </c>
      <c r="AP269" s="3" t="s">
        <v>61</v>
      </c>
      <c r="AQ269" s="3" t="s">
        <v>97</v>
      </c>
      <c r="AR269" s="3">
        <v>1</v>
      </c>
      <c r="AS269" s="3" t="s">
        <v>62</v>
      </c>
      <c r="AT269" s="16">
        <f t="shared" si="100"/>
        <v>0.42757660167130918</v>
      </c>
      <c r="AU269" s="3">
        <v>1436</v>
      </c>
      <c r="AV269" s="16">
        <f t="shared" si="101"/>
        <v>0.41048951048951049</v>
      </c>
      <c r="AW269" s="3">
        <v>1430</v>
      </c>
      <c r="AX269" s="8">
        <v>614</v>
      </c>
      <c r="AY269" s="8">
        <f t="shared" si="97"/>
        <v>822</v>
      </c>
      <c r="AZ269" s="8">
        <v>587</v>
      </c>
      <c r="BA269" s="8">
        <f t="shared" si="98"/>
        <v>843</v>
      </c>
      <c r="BB269" s="8">
        <f t="shared" si="99"/>
        <v>2866</v>
      </c>
    </row>
    <row r="270" spans="1:54" x14ac:dyDescent="0.25">
      <c r="A270" s="9" t="str">
        <f t="shared" si="84"/>
        <v>81A</v>
      </c>
      <c r="B270" s="3">
        <v>81</v>
      </c>
      <c r="C270" s="3">
        <v>1</v>
      </c>
      <c r="D270" s="3" t="s">
        <v>65</v>
      </c>
      <c r="E270" s="3">
        <v>1</v>
      </c>
      <c r="F270" s="3">
        <v>1</v>
      </c>
      <c r="G270" s="3">
        <v>0</v>
      </c>
      <c r="H270" s="1" t="s">
        <v>646</v>
      </c>
      <c r="I270" s="1" t="s">
        <v>364</v>
      </c>
      <c r="J270" s="1" t="s">
        <v>627</v>
      </c>
      <c r="K270" s="3">
        <v>0</v>
      </c>
      <c r="L270" s="1" t="s">
        <v>392</v>
      </c>
      <c r="M270" s="1" t="s">
        <v>567</v>
      </c>
      <c r="N270" s="3">
        <v>1</v>
      </c>
      <c r="O270" s="3">
        <v>0</v>
      </c>
      <c r="P270" s="19">
        <f t="shared" si="89"/>
        <v>1</v>
      </c>
      <c r="Q270" s="3">
        <v>2021</v>
      </c>
      <c r="R270" s="1" t="s">
        <v>647</v>
      </c>
      <c r="S270" s="3">
        <v>2020</v>
      </c>
      <c r="T270" s="3" t="s">
        <v>101</v>
      </c>
      <c r="U270" s="3">
        <v>0.20399999999999999</v>
      </c>
      <c r="V270" s="3">
        <v>0.92</v>
      </c>
      <c r="W270" s="3">
        <v>0.9</v>
      </c>
      <c r="X270" s="3">
        <v>63530.633483909012</v>
      </c>
      <c r="Y270" s="3">
        <v>0</v>
      </c>
      <c r="Z270" s="3">
        <v>0</v>
      </c>
      <c r="AA270" s="3">
        <v>0</v>
      </c>
      <c r="AB270" s="3" t="s">
        <v>207</v>
      </c>
      <c r="AC270" s="7" t="s">
        <v>648</v>
      </c>
      <c r="AD270" s="19">
        <v>0.35839999999999994</v>
      </c>
      <c r="AE270" s="19">
        <v>0.64160000000000006</v>
      </c>
      <c r="AF270" s="10">
        <v>2</v>
      </c>
      <c r="AG270" s="3">
        <f t="shared" si="90"/>
        <v>1</v>
      </c>
      <c r="AH270" s="3">
        <f t="shared" si="91"/>
        <v>0</v>
      </c>
      <c r="AI270" s="4">
        <f t="shared" si="92"/>
        <v>0</v>
      </c>
      <c r="AJ270" s="4">
        <f t="shared" si="93"/>
        <v>2</v>
      </c>
      <c r="AK270" s="4">
        <f t="shared" si="94"/>
        <v>1</v>
      </c>
      <c r="AL270" s="4">
        <f t="shared" si="95"/>
        <v>2</v>
      </c>
      <c r="AM270" s="4">
        <f t="shared" si="96"/>
        <v>1</v>
      </c>
      <c r="AN270" s="4">
        <v>0</v>
      </c>
      <c r="AO270" s="4">
        <v>0</v>
      </c>
      <c r="AP270" s="3" t="s">
        <v>100</v>
      </c>
      <c r="AQ270" s="3" t="s">
        <v>97</v>
      </c>
      <c r="AR270" s="3">
        <v>1</v>
      </c>
      <c r="AS270" s="3" t="s">
        <v>62</v>
      </c>
      <c r="AT270" s="16">
        <f t="shared" si="100"/>
        <v>6.1759729272419628E-2</v>
      </c>
      <c r="AU270" s="3">
        <f>SUM(AX270:AY270)</f>
        <v>1182</v>
      </c>
      <c r="AV270" s="16">
        <f t="shared" si="101"/>
        <v>4.807692307692308E-2</v>
      </c>
      <c r="AW270" s="3">
        <f>SUM(AZ270:BA270)</f>
        <v>1352</v>
      </c>
      <c r="AX270" s="3">
        <v>73</v>
      </c>
      <c r="AY270" s="3">
        <v>1109</v>
      </c>
      <c r="AZ270" s="3">
        <v>65</v>
      </c>
      <c r="BA270" s="3">
        <v>1287</v>
      </c>
      <c r="BB270" s="8">
        <f t="shared" si="99"/>
        <v>2534</v>
      </c>
    </row>
    <row r="271" spans="1:54" x14ac:dyDescent="0.25">
      <c r="A271" s="9" t="str">
        <f t="shared" si="84"/>
        <v>82A</v>
      </c>
      <c r="B271" s="3">
        <v>82</v>
      </c>
      <c r="C271" s="3">
        <v>2</v>
      </c>
      <c r="D271" s="3" t="s">
        <v>65</v>
      </c>
      <c r="E271" s="3">
        <v>1</v>
      </c>
      <c r="F271" s="3">
        <v>1</v>
      </c>
      <c r="G271" s="3">
        <v>0</v>
      </c>
      <c r="H271" s="1" t="s">
        <v>652</v>
      </c>
      <c r="I271" s="1" t="s">
        <v>364</v>
      </c>
      <c r="J271" s="1" t="s">
        <v>627</v>
      </c>
      <c r="K271" s="3">
        <v>0</v>
      </c>
      <c r="L271" s="1" t="s">
        <v>653</v>
      </c>
      <c r="M271" s="23" t="s">
        <v>654</v>
      </c>
      <c r="N271" s="3">
        <v>1</v>
      </c>
      <c r="O271" s="3">
        <v>1</v>
      </c>
      <c r="P271" s="19">
        <f t="shared" si="89"/>
        <v>0.5</v>
      </c>
      <c r="Q271" s="3">
        <v>2021</v>
      </c>
      <c r="R271" s="3">
        <v>2018</v>
      </c>
      <c r="S271" s="3">
        <v>2018</v>
      </c>
      <c r="T271" s="3" t="s">
        <v>101</v>
      </c>
      <c r="U271" s="3">
        <v>0.21099999999999999</v>
      </c>
      <c r="V271" s="3">
        <v>0.92700000000000005</v>
      </c>
      <c r="W271" s="3">
        <v>0.89900000000000002</v>
      </c>
      <c r="X271" s="3">
        <v>62823.309438196971</v>
      </c>
      <c r="Y271" s="3">
        <v>0</v>
      </c>
      <c r="Z271" s="3">
        <v>0</v>
      </c>
      <c r="AA271" s="3">
        <v>1</v>
      </c>
      <c r="AB271" s="3" t="s">
        <v>207</v>
      </c>
      <c r="AC271" s="7" t="s">
        <v>655</v>
      </c>
      <c r="AD271" s="19">
        <v>0.4405</v>
      </c>
      <c r="AE271" s="19">
        <v>0.5595</v>
      </c>
      <c r="AF271" s="10">
        <v>2</v>
      </c>
      <c r="AG271" s="3">
        <f t="shared" si="90"/>
        <v>1</v>
      </c>
      <c r="AH271" s="3">
        <f t="shared" si="91"/>
        <v>2</v>
      </c>
      <c r="AI271" s="4">
        <f t="shared" si="92"/>
        <v>1</v>
      </c>
      <c r="AJ271" s="4">
        <f t="shared" si="93"/>
        <v>2</v>
      </c>
      <c r="AK271" s="4">
        <f t="shared" si="94"/>
        <v>1</v>
      </c>
      <c r="AL271" s="4">
        <f t="shared" si="95"/>
        <v>2</v>
      </c>
      <c r="AM271" s="4">
        <f t="shared" si="96"/>
        <v>1</v>
      </c>
      <c r="AN271" s="4">
        <v>0</v>
      </c>
      <c r="AO271" s="4">
        <v>0</v>
      </c>
      <c r="AP271" s="3" t="s">
        <v>100</v>
      </c>
      <c r="AQ271" s="3" t="s">
        <v>63</v>
      </c>
      <c r="AR271" s="3">
        <v>1</v>
      </c>
      <c r="AS271" s="3" t="s">
        <v>62</v>
      </c>
      <c r="AT271" s="16">
        <f t="shared" si="100"/>
        <v>0.13752948113207547</v>
      </c>
      <c r="AU271" s="3">
        <f>SUM(AX271:AY271)</f>
        <v>6784</v>
      </c>
      <c r="AV271" s="16">
        <f t="shared" si="101"/>
        <v>0.12727272727272726</v>
      </c>
      <c r="AW271" s="3">
        <f>SUM(AZ271:BA271)</f>
        <v>6050</v>
      </c>
      <c r="AX271" s="3">
        <v>933</v>
      </c>
      <c r="AY271" s="3">
        <v>5851</v>
      </c>
      <c r="AZ271" s="3">
        <v>770</v>
      </c>
      <c r="BA271" s="3">
        <v>5280</v>
      </c>
      <c r="BB271" s="8">
        <f t="shared" si="99"/>
        <v>12834</v>
      </c>
    </row>
    <row r="272" spans="1:54" x14ac:dyDescent="0.25">
      <c r="A272" s="9" t="str">
        <f t="shared" ref="A272:A274" si="102">B272&amp;D272</f>
        <v>83A</v>
      </c>
      <c r="B272" s="3">
        <v>83</v>
      </c>
      <c r="C272" s="3">
        <v>1</v>
      </c>
      <c r="D272" s="3" t="s">
        <v>65</v>
      </c>
      <c r="E272" s="3">
        <v>1</v>
      </c>
      <c r="F272" s="3">
        <v>1</v>
      </c>
      <c r="G272" s="3">
        <v>0</v>
      </c>
      <c r="H272" s="1" t="s">
        <v>660</v>
      </c>
      <c r="I272" s="1" t="s">
        <v>661</v>
      </c>
      <c r="J272" s="1" t="s">
        <v>203</v>
      </c>
      <c r="K272" s="3">
        <v>1</v>
      </c>
      <c r="L272" s="1" t="s">
        <v>409</v>
      </c>
      <c r="M272" s="23" t="s">
        <v>662</v>
      </c>
      <c r="N272" s="3">
        <v>1</v>
      </c>
      <c r="O272" s="3">
        <v>2</v>
      </c>
      <c r="P272" s="19">
        <f t="shared" si="89"/>
        <v>0.33333333333333331</v>
      </c>
      <c r="Q272" s="3">
        <v>2021</v>
      </c>
      <c r="R272" s="3">
        <v>2013</v>
      </c>
      <c r="S272" s="3">
        <v>2013</v>
      </c>
      <c r="T272" s="3" t="s">
        <v>142</v>
      </c>
      <c r="U272" s="3">
        <v>0.09</v>
      </c>
      <c r="V272" s="3">
        <v>0.88200000000000001</v>
      </c>
      <c r="W272" s="3">
        <v>0.78500000000000003</v>
      </c>
      <c r="X272" s="3">
        <v>35560.081406228848</v>
      </c>
      <c r="Y272" s="3">
        <v>6.0999999999999999E-2</v>
      </c>
      <c r="Z272" s="3">
        <v>1</v>
      </c>
      <c r="AA272" s="3">
        <v>0</v>
      </c>
      <c r="AB272" s="3" t="s">
        <v>207</v>
      </c>
      <c r="AC272" s="7" t="s">
        <v>61</v>
      </c>
      <c r="AD272" s="19">
        <v>0.58199999999999996</v>
      </c>
      <c r="AE272" s="19">
        <v>0.41800000000000004</v>
      </c>
      <c r="AF272" s="10">
        <v>2</v>
      </c>
      <c r="AG272" s="3">
        <f t="shared" si="90"/>
        <v>1</v>
      </c>
      <c r="AH272" s="3">
        <f t="shared" si="91"/>
        <v>2</v>
      </c>
      <c r="AI272" s="4">
        <f t="shared" si="92"/>
        <v>1</v>
      </c>
      <c r="AJ272" s="4">
        <f t="shared" si="93"/>
        <v>2</v>
      </c>
      <c r="AK272" s="4">
        <f t="shared" si="94"/>
        <v>1</v>
      </c>
      <c r="AL272" s="4">
        <f t="shared" si="95"/>
        <v>2</v>
      </c>
      <c r="AM272" s="4">
        <f t="shared" si="96"/>
        <v>1</v>
      </c>
      <c r="AN272" s="4">
        <v>0</v>
      </c>
      <c r="AO272" s="4">
        <v>0</v>
      </c>
      <c r="AP272" s="3" t="s">
        <v>61</v>
      </c>
      <c r="AQ272" s="3" t="s">
        <v>97</v>
      </c>
      <c r="AR272" s="3">
        <v>1</v>
      </c>
      <c r="AS272" s="3" t="s">
        <v>62</v>
      </c>
      <c r="AT272" s="16">
        <f t="shared" si="100"/>
        <v>0.39139344262295084</v>
      </c>
      <c r="AU272" s="3">
        <v>976</v>
      </c>
      <c r="AV272" s="16">
        <f t="shared" si="101"/>
        <v>0.46311475409836067</v>
      </c>
      <c r="AW272" s="3">
        <v>976</v>
      </c>
      <c r="AX272" s="3">
        <v>382</v>
      </c>
      <c r="AY272" s="3">
        <f>AU272-AX272</f>
        <v>594</v>
      </c>
      <c r="AZ272" s="3">
        <v>452</v>
      </c>
      <c r="BA272" s="3">
        <f>AW272-AZ272</f>
        <v>524</v>
      </c>
      <c r="BB272" s="8">
        <f>SUM(AU272,AW272)</f>
        <v>1952</v>
      </c>
    </row>
    <row r="273" spans="1:54" x14ac:dyDescent="0.25">
      <c r="A273" s="9" t="str">
        <f t="shared" si="102"/>
        <v>84A</v>
      </c>
      <c r="B273" s="3">
        <v>84</v>
      </c>
      <c r="C273" s="3">
        <v>1</v>
      </c>
      <c r="D273" s="3" t="s">
        <v>65</v>
      </c>
      <c r="E273" s="3">
        <v>1</v>
      </c>
      <c r="F273" s="3">
        <v>1</v>
      </c>
      <c r="G273" s="3">
        <v>0</v>
      </c>
      <c r="H273" s="1" t="s">
        <v>663</v>
      </c>
      <c r="I273" s="1" t="s">
        <v>664</v>
      </c>
      <c r="J273" s="1" t="s">
        <v>222</v>
      </c>
      <c r="K273" s="3">
        <v>1</v>
      </c>
      <c r="L273" s="1" t="s">
        <v>665</v>
      </c>
      <c r="M273" s="23" t="s">
        <v>587</v>
      </c>
      <c r="N273" s="3">
        <v>2</v>
      </c>
      <c r="O273" s="3">
        <v>0</v>
      </c>
      <c r="P273" s="19">
        <f t="shared" si="89"/>
        <v>1</v>
      </c>
      <c r="Q273" s="3">
        <v>2012</v>
      </c>
      <c r="R273" s="3">
        <v>2007</v>
      </c>
      <c r="S273" s="3">
        <v>2007</v>
      </c>
      <c r="T273" s="3" t="s">
        <v>272</v>
      </c>
      <c r="U273" s="3">
        <v>8.3000000000000004E-2</v>
      </c>
      <c r="V273" s="3">
        <v>0.91700000000000004</v>
      </c>
      <c r="W273" s="3">
        <v>0.86199999999999999</v>
      </c>
      <c r="X273" s="3">
        <v>51799.20855210469</v>
      </c>
      <c r="Y273" s="3">
        <v>7.9000000000000001E-2</v>
      </c>
      <c r="Z273" s="3">
        <v>1</v>
      </c>
      <c r="AA273" s="3">
        <v>0</v>
      </c>
      <c r="AB273" s="3" t="s">
        <v>207</v>
      </c>
      <c r="AC273" s="7" t="s">
        <v>666</v>
      </c>
      <c r="AD273" s="19">
        <v>0.43008796011992922</v>
      </c>
      <c r="AE273" s="19">
        <v>0.56991203988007078</v>
      </c>
      <c r="AF273" s="10">
        <v>2</v>
      </c>
      <c r="AG273" s="3">
        <f t="shared" si="90"/>
        <v>1</v>
      </c>
      <c r="AH273" s="3">
        <f t="shared" si="91"/>
        <v>2</v>
      </c>
      <c r="AI273" s="4">
        <f t="shared" si="92"/>
        <v>1</v>
      </c>
      <c r="AJ273" s="4">
        <f t="shared" si="93"/>
        <v>2</v>
      </c>
      <c r="AK273" s="4">
        <f t="shared" si="94"/>
        <v>1</v>
      </c>
      <c r="AL273" s="4">
        <f t="shared" si="95"/>
        <v>2</v>
      </c>
      <c r="AM273" s="4">
        <f t="shared" si="96"/>
        <v>1</v>
      </c>
      <c r="AN273" s="4">
        <v>0</v>
      </c>
      <c r="AO273" s="4">
        <v>0</v>
      </c>
      <c r="AP273" s="3" t="s">
        <v>259</v>
      </c>
      <c r="AQ273" s="3" t="s">
        <v>63</v>
      </c>
      <c r="AR273" s="3">
        <v>1</v>
      </c>
      <c r="AS273" s="3" t="s">
        <v>62</v>
      </c>
      <c r="AT273" s="16">
        <f t="shared" si="100"/>
        <v>0.57075471698113212</v>
      </c>
      <c r="AU273" s="3">
        <v>212</v>
      </c>
      <c r="AV273" s="16">
        <f t="shared" si="101"/>
        <v>0.46276595744680848</v>
      </c>
      <c r="AW273" s="3">
        <v>188</v>
      </c>
      <c r="AX273" s="3">
        <v>121</v>
      </c>
      <c r="AY273" s="3">
        <f>AU273-AX273</f>
        <v>91</v>
      </c>
      <c r="AZ273" s="3">
        <v>87</v>
      </c>
      <c r="BA273" s="3">
        <f>AW273-AZ273</f>
        <v>101</v>
      </c>
      <c r="BB273" s="8">
        <f>SUM(AU273,AW273)</f>
        <v>400</v>
      </c>
    </row>
    <row r="274" spans="1:54" x14ac:dyDescent="0.25">
      <c r="A274" s="9" t="str">
        <f t="shared" si="102"/>
        <v>85A</v>
      </c>
      <c r="B274" s="3">
        <v>85</v>
      </c>
      <c r="C274" s="3">
        <v>1</v>
      </c>
      <c r="D274" s="3" t="s">
        <v>65</v>
      </c>
      <c r="E274" s="3">
        <v>1</v>
      </c>
      <c r="F274" s="3">
        <v>1</v>
      </c>
      <c r="G274" s="3">
        <v>0</v>
      </c>
      <c r="H274" s="1" t="s">
        <v>669</v>
      </c>
      <c r="I274" s="1" t="s">
        <v>667</v>
      </c>
      <c r="J274" s="1" t="s">
        <v>671</v>
      </c>
      <c r="K274" s="3">
        <v>1</v>
      </c>
      <c r="L274" s="1" t="s">
        <v>668</v>
      </c>
      <c r="M274" s="23" t="s">
        <v>672</v>
      </c>
      <c r="N274" s="3">
        <v>0</v>
      </c>
      <c r="O274" s="3">
        <v>3</v>
      </c>
      <c r="P274" s="19">
        <f t="shared" si="89"/>
        <v>0</v>
      </c>
      <c r="Q274" s="3">
        <v>2019</v>
      </c>
      <c r="R274" s="3">
        <v>2017</v>
      </c>
      <c r="S274" s="3">
        <v>2017</v>
      </c>
      <c r="T274" s="3" t="s">
        <v>291</v>
      </c>
      <c r="U274" s="3">
        <v>9.5000000000000001E-2</v>
      </c>
      <c r="V274" s="3">
        <v>0.93300000000000005</v>
      </c>
      <c r="W274" s="3">
        <v>0.88900000000000001</v>
      </c>
      <c r="X274" s="3">
        <v>45129.429298092233</v>
      </c>
      <c r="Y274" s="3">
        <v>2.5999999999999999E-2</v>
      </c>
      <c r="Z274" s="3">
        <v>0</v>
      </c>
      <c r="AA274" s="3">
        <v>0</v>
      </c>
      <c r="AB274" s="3" t="s">
        <v>207</v>
      </c>
      <c r="AC274" s="7" t="s">
        <v>670</v>
      </c>
      <c r="AD274" s="19">
        <v>0.39048751540272419</v>
      </c>
      <c r="AE274" s="19">
        <v>0.60948486319838036</v>
      </c>
      <c r="AF274" s="10">
        <v>2</v>
      </c>
      <c r="AG274" s="3">
        <f t="shared" si="90"/>
        <v>1</v>
      </c>
      <c r="AH274" s="3">
        <f t="shared" si="91"/>
        <v>0</v>
      </c>
      <c r="AI274" s="4">
        <f t="shared" si="92"/>
        <v>0</v>
      </c>
      <c r="AJ274" s="4">
        <f t="shared" si="93"/>
        <v>2</v>
      </c>
      <c r="AK274" s="4">
        <f t="shared" si="94"/>
        <v>1</v>
      </c>
      <c r="AL274" s="4">
        <f t="shared" si="95"/>
        <v>2</v>
      </c>
      <c r="AM274" s="4">
        <f t="shared" si="96"/>
        <v>1</v>
      </c>
      <c r="AN274" s="4">
        <v>0</v>
      </c>
      <c r="AO274" s="4">
        <v>0</v>
      </c>
      <c r="AP274" s="3" t="s">
        <v>100</v>
      </c>
      <c r="AQ274" s="3" t="s">
        <v>97</v>
      </c>
      <c r="AR274" s="3">
        <v>0</v>
      </c>
      <c r="AS274" s="3" t="s">
        <v>62</v>
      </c>
      <c r="AT274" s="16">
        <f t="shared" si="100"/>
        <v>0.15686274509803921</v>
      </c>
      <c r="AU274" s="3">
        <v>102</v>
      </c>
      <c r="AV274" s="16">
        <f t="shared" si="101"/>
        <v>0.12</v>
      </c>
      <c r="AW274" s="3">
        <v>100</v>
      </c>
      <c r="AX274" s="3">
        <f>2+14</f>
        <v>16</v>
      </c>
      <c r="AY274" s="3">
        <f>AU274-AX274</f>
        <v>86</v>
      </c>
      <c r="AZ274" s="3">
        <f>2+10</f>
        <v>12</v>
      </c>
      <c r="BA274" s="3">
        <f>AW274-AZ274</f>
        <v>88</v>
      </c>
      <c r="BB274" s="8">
        <f>SUM(AU274,AW274)</f>
        <v>202</v>
      </c>
    </row>
    <row r="275" spans="1:54" x14ac:dyDescent="0.25">
      <c r="A275" s="2"/>
      <c r="B275" s="2"/>
      <c r="C275" s="2"/>
      <c r="D275" s="2"/>
      <c r="E275" s="2"/>
      <c r="F275" s="2"/>
      <c r="G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54" x14ac:dyDescent="0.25">
      <c r="A276" s="2"/>
      <c r="B276" s="2"/>
      <c r="C276" s="2"/>
      <c r="D276" s="2"/>
      <c r="E276" s="2"/>
      <c r="F276" s="2"/>
      <c r="G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54" x14ac:dyDescent="0.25">
      <c r="A277" s="2"/>
      <c r="B277" s="2"/>
      <c r="C277" s="2"/>
      <c r="D277" s="2"/>
      <c r="E277" s="2"/>
      <c r="F277" s="2"/>
      <c r="G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54" x14ac:dyDescent="0.25">
      <c r="A278" s="2"/>
      <c r="B278" s="2"/>
      <c r="C278" s="2"/>
      <c r="D278" s="2"/>
      <c r="E278" s="2"/>
      <c r="F278" s="2"/>
      <c r="G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54" x14ac:dyDescent="0.25">
      <c r="A279" s="2"/>
      <c r="B279" s="2"/>
      <c r="C279" s="2"/>
      <c r="D279" s="2"/>
      <c r="E279" s="2"/>
      <c r="F279" s="2"/>
      <c r="G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54" x14ac:dyDescent="0.25">
      <c r="A280" s="2"/>
      <c r="B280" s="2"/>
      <c r="C280" s="2"/>
      <c r="D280" s="2"/>
      <c r="E280" s="2"/>
      <c r="F280" s="2"/>
      <c r="G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54" x14ac:dyDescent="0.25">
      <c r="A281" s="2"/>
      <c r="B281" s="2"/>
      <c r="C281" s="2"/>
      <c r="D281" s="2"/>
      <c r="E281" s="2"/>
      <c r="F281" s="2"/>
      <c r="G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54" x14ac:dyDescent="0.25">
      <c r="A282" s="2"/>
      <c r="B282" s="2"/>
      <c r="C282" s="2"/>
      <c r="D282" s="2"/>
      <c r="E282" s="2"/>
      <c r="F282" s="2"/>
      <c r="G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54" x14ac:dyDescent="0.25">
      <c r="A283" s="2"/>
      <c r="B283" s="2"/>
      <c r="C283" s="2"/>
      <c r="D283" s="2"/>
      <c r="E283" s="2"/>
      <c r="F283" s="2"/>
      <c r="G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54" x14ac:dyDescent="0.25">
      <c r="A284" s="2"/>
      <c r="B284" s="2"/>
      <c r="C284" s="2"/>
      <c r="D284" s="2"/>
      <c r="E284" s="2"/>
      <c r="F284" s="2"/>
      <c r="G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54" x14ac:dyDescent="0.25">
      <c r="A285" s="2"/>
      <c r="B285" s="2"/>
      <c r="C285" s="2"/>
      <c r="D285" s="2"/>
      <c r="E285" s="2"/>
      <c r="F285" s="2"/>
      <c r="G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54" x14ac:dyDescent="0.25">
      <c r="A286" s="2"/>
      <c r="B286" s="2"/>
      <c r="C286" s="2"/>
      <c r="D286" s="2"/>
      <c r="E286" s="2"/>
      <c r="F286" s="2"/>
      <c r="G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54" x14ac:dyDescent="0.25">
      <c r="A287" s="2"/>
      <c r="B287" s="2"/>
      <c r="C287" s="2"/>
      <c r="D287" s="2"/>
      <c r="E287" s="2"/>
      <c r="F287" s="2"/>
      <c r="G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54" x14ac:dyDescent="0.25">
      <c r="A288" s="2"/>
      <c r="B288" s="2"/>
      <c r="C288" s="2"/>
      <c r="D288" s="2"/>
      <c r="E288" s="2"/>
      <c r="F288" s="2"/>
      <c r="G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5">
      <c r="A289" s="2"/>
      <c r="B289" s="2"/>
      <c r="C289" s="2"/>
      <c r="D289" s="2"/>
      <c r="E289" s="2"/>
      <c r="F289" s="2"/>
      <c r="G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5">
      <c r="A290" s="2"/>
      <c r="B290" s="2"/>
      <c r="C290" s="2"/>
      <c r="D290" s="2"/>
      <c r="E290" s="2"/>
      <c r="F290" s="2"/>
      <c r="G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5">
      <c r="A291" s="2"/>
      <c r="B291" s="2"/>
      <c r="C291" s="2"/>
      <c r="D291" s="2"/>
      <c r="E291" s="2"/>
      <c r="F291" s="2"/>
      <c r="G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5">
      <c r="A292" s="2"/>
      <c r="B292" s="2"/>
      <c r="C292" s="2"/>
      <c r="D292" s="2"/>
      <c r="E292" s="2"/>
      <c r="F292" s="2"/>
      <c r="G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5">
      <c r="A293" s="2"/>
      <c r="B293" s="2"/>
      <c r="C293" s="2"/>
      <c r="D293" s="2"/>
      <c r="E293" s="2"/>
      <c r="F293" s="2"/>
      <c r="G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5">
      <c r="A294" s="2"/>
      <c r="B294" s="2"/>
      <c r="C294" s="2"/>
      <c r="D294" s="2"/>
      <c r="E294" s="2"/>
      <c r="F294" s="2"/>
      <c r="G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5">
      <c r="A295" s="2"/>
      <c r="B295" s="2"/>
      <c r="C295" s="2"/>
      <c r="D295" s="2"/>
      <c r="E295" s="2"/>
      <c r="F295" s="2"/>
      <c r="G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5">
      <c r="A296" s="2"/>
      <c r="B296" s="2"/>
      <c r="C296" s="2"/>
      <c r="D296" s="2"/>
      <c r="E296" s="2"/>
      <c r="F296" s="2"/>
      <c r="G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5">
      <c r="A297" s="2"/>
      <c r="B297" s="2"/>
      <c r="C297" s="2"/>
      <c r="D297" s="2"/>
      <c r="E297" s="2"/>
      <c r="F297" s="2"/>
      <c r="G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5">
      <c r="A298" s="2"/>
      <c r="B298" s="2"/>
      <c r="C298" s="2"/>
      <c r="D298" s="2"/>
      <c r="E298" s="2"/>
      <c r="F298" s="2"/>
      <c r="G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5">
      <c r="A299" s="2"/>
      <c r="B299" s="2"/>
      <c r="C299" s="2"/>
      <c r="D299" s="2"/>
      <c r="E299" s="2"/>
      <c r="F299" s="2"/>
      <c r="G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5">
      <c r="A300" s="2"/>
      <c r="B300" s="2"/>
      <c r="C300" s="2"/>
      <c r="D300" s="2"/>
      <c r="E300" s="2"/>
      <c r="F300" s="2"/>
      <c r="G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5">
      <c r="A301" s="2"/>
      <c r="B301" s="2"/>
      <c r="C301" s="2"/>
      <c r="D301" s="2"/>
      <c r="E301" s="2"/>
      <c r="F301" s="2"/>
      <c r="G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5">
      <c r="A302" s="2"/>
      <c r="B302" s="2"/>
      <c r="C302" s="2"/>
      <c r="D302" s="2"/>
      <c r="E302" s="2"/>
      <c r="F302" s="2"/>
      <c r="G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25">
      <c r="A303" s="2"/>
      <c r="B303" s="2"/>
      <c r="C303" s="2"/>
      <c r="D303" s="2"/>
      <c r="E303" s="2"/>
      <c r="F303" s="2"/>
      <c r="G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25">
      <c r="A304" s="2"/>
      <c r="B304" s="2"/>
      <c r="C304" s="2"/>
      <c r="D304" s="2"/>
      <c r="E304" s="2"/>
      <c r="F304" s="2"/>
      <c r="G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25">
      <c r="A305" s="2"/>
      <c r="B305" s="2"/>
      <c r="C305" s="2"/>
      <c r="D305" s="2"/>
      <c r="E305" s="2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25">
      <c r="A306" s="2"/>
      <c r="B306" s="2"/>
      <c r="C306" s="2"/>
      <c r="D306" s="2"/>
      <c r="E306" s="2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25">
      <c r="A307" s="2"/>
      <c r="B307" s="2"/>
      <c r="C307" s="2"/>
      <c r="D307" s="2"/>
      <c r="E307" s="2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25">
      <c r="A308" s="2"/>
      <c r="B308" s="2"/>
      <c r="C308" s="2"/>
      <c r="D308" s="2"/>
      <c r="E308" s="2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25">
      <c r="A309" s="2"/>
      <c r="B309" s="2"/>
      <c r="C309" s="2"/>
      <c r="D309" s="2"/>
      <c r="E309" s="2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25">
      <c r="A310" s="2"/>
      <c r="B310" s="2"/>
      <c r="C310" s="2"/>
      <c r="D310" s="2"/>
      <c r="E310" s="2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25">
      <c r="A311" s="2"/>
      <c r="B311" s="2"/>
      <c r="C311" s="2"/>
      <c r="D311" s="2"/>
      <c r="E311" s="2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25">
      <c r="A312" s="2"/>
      <c r="B312" s="2"/>
      <c r="C312" s="2"/>
      <c r="D312" s="2"/>
      <c r="E312" s="2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25">
      <c r="A313" s="2"/>
      <c r="B313" s="2"/>
      <c r="C313" s="2"/>
      <c r="D313" s="2"/>
      <c r="E313" s="2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25">
      <c r="A314" s="2"/>
      <c r="B314" s="2"/>
      <c r="C314" s="2"/>
      <c r="D314" s="2"/>
      <c r="E314" s="2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25">
      <c r="A315" s="2"/>
      <c r="B315" s="2"/>
      <c r="C315" s="2"/>
      <c r="D315" s="2"/>
      <c r="E315" s="2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25">
      <c r="A316" s="2"/>
      <c r="B316" s="2"/>
      <c r="C316" s="2"/>
      <c r="D316" s="2"/>
      <c r="E316" s="2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25">
      <c r="A317" s="2"/>
      <c r="B317" s="2"/>
      <c r="C317" s="2"/>
      <c r="D317" s="2"/>
      <c r="E317" s="2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25">
      <c r="A318" s="2"/>
      <c r="B318" s="2"/>
      <c r="C318" s="2"/>
      <c r="D318" s="2"/>
      <c r="E318" s="2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25">
      <c r="A319" s="2"/>
      <c r="B319" s="2"/>
      <c r="C319" s="2"/>
      <c r="D319" s="2"/>
      <c r="E319" s="2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25">
      <c r="A320" s="2"/>
      <c r="B320" s="2"/>
      <c r="C320" s="2"/>
      <c r="D320" s="2"/>
      <c r="E320" s="2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25">
      <c r="A321" s="2"/>
      <c r="B321" s="2"/>
      <c r="C321" s="2"/>
      <c r="D321" s="2"/>
      <c r="E321" s="2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25">
      <c r="A322" s="2"/>
      <c r="B322" s="2"/>
      <c r="C322" s="2"/>
      <c r="D322" s="2"/>
      <c r="E322" s="2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25">
      <c r="A323" s="2"/>
      <c r="B323" s="2"/>
      <c r="C323" s="2"/>
      <c r="D323" s="2"/>
      <c r="E323" s="2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25">
      <c r="A324" s="2"/>
      <c r="B324" s="2"/>
      <c r="C324" s="2"/>
      <c r="D324" s="2"/>
      <c r="E324" s="2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25">
      <c r="A325" s="2"/>
      <c r="B325" s="2"/>
      <c r="C325" s="2"/>
      <c r="D325" s="2"/>
      <c r="E325" s="2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</sheetData>
  <autoFilter ref="A1:BB274" xr:uid="{7078DEEC-E2D1-4AF1-A0CC-32B5845073BA}">
    <sortState xmlns:xlrd2="http://schemas.microsoft.com/office/spreadsheetml/2017/richdata2" ref="A2:BB274">
      <sortCondition ref="B1"/>
    </sortState>
  </autoFilter>
  <pageMargins left="0.7" right="0.7" top="0.75" bottom="0.75" header="0.3" footer="0.3"/>
  <pageSetup paperSize="9" orientation="portrait" r:id="rId1"/>
  <headerFooter>
    <oddHeader>&amp;C&amp;"Calibri"&amp;8&amp;K000000SMU Classification: Restricted&amp;1#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78DCE0A52F54A80628260E72E8B02" ma:contentTypeVersion="5" ma:contentTypeDescription="Create a new document." ma:contentTypeScope="" ma:versionID="cba2bdbde59f809b6e76b55d4e50bd35">
  <xsd:schema xmlns:xsd="http://www.w3.org/2001/XMLSchema" xmlns:xs="http://www.w3.org/2001/XMLSchema" xmlns:p="http://schemas.microsoft.com/office/2006/metadata/properties" xmlns:ns3="6dee7013-9f52-49b8-8f81-3002456a01c0" xmlns:ns4="9d549a4f-6c25-467a-880b-170d4a114dfa" targetNamespace="http://schemas.microsoft.com/office/2006/metadata/properties" ma:root="true" ma:fieldsID="ef250983a166ce8fcf31913848f3b1fc" ns3:_="" ns4:_="">
    <xsd:import namespace="6dee7013-9f52-49b8-8f81-3002456a01c0"/>
    <xsd:import namespace="9d549a4f-6c25-467a-880b-170d4a114d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e7013-9f52-49b8-8f81-3002456a01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49a4f-6c25-467a-880b-170d4a114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B7B3B-45B2-47BC-A9EF-22B8EA347349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6dee7013-9f52-49b8-8f81-3002456a01c0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9d549a4f-6c25-467a-880b-170d4a114dfa"/>
  </ds:schemaRefs>
</ds:datastoreItem>
</file>

<file path=customXml/itemProps2.xml><?xml version="1.0" encoding="utf-8"?>
<ds:datastoreItem xmlns:ds="http://schemas.openxmlformats.org/officeDocument/2006/customXml" ds:itemID="{D444C557-41C8-47D6-A928-BC51D1164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e7013-9f52-49b8-8f81-3002456a01c0"/>
    <ds:schemaRef ds:uri="9d549a4f-6c25-467a-880b-170d4a114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6A04E7-2BDE-4B63-B922-F41C5912DA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2020-01-31T04:37:41Z</dcterms:created>
  <dcterms:modified xsi:type="dcterms:W3CDTF">2023-07-27T02:29:45Z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0x0101006DF78DCE0A52F54A80628260E72E8B02</vt:lpwstr>
  </property>
  <property fmtid="{D5CDD505-2E9C-101B-9397-08002B2CF9AE}" pid="3" name="MSIP_Label_6951d41b-6b8e-4636-984f-012bff14ba18_Enabled">
    <vt:lpwstr>true</vt:lpwstr>
  </property>
  <property fmtid="{D5CDD505-2E9C-101B-9397-08002B2CF9AE}" pid="4" name="MSIP_Label_6951d41b-6b8e-4636-984f-012bff14ba18_SetDate">
    <vt:lpwstr>2023-07-27T02:29:45Z</vt:lpwstr>
  </property>
  <property fmtid="{D5CDD505-2E9C-101B-9397-08002B2CF9AE}" pid="5" name="MSIP_Label_6951d41b-6b8e-4636-984f-012bff14ba18_Method">
    <vt:lpwstr>Standard</vt:lpwstr>
  </property>
  <property fmtid="{D5CDD505-2E9C-101B-9397-08002B2CF9AE}" pid="6" name="MSIP_Label_6951d41b-6b8e-4636-984f-012bff14ba18_Name">
    <vt:lpwstr>6951d41b-6b8e-4636-984f-012bff14ba18</vt:lpwstr>
  </property>
  <property fmtid="{D5CDD505-2E9C-101B-9397-08002B2CF9AE}" pid="7" name="MSIP_Label_6951d41b-6b8e-4636-984f-012bff14ba18_SiteId">
    <vt:lpwstr>c98a79ca-5a9a-4791-a243-f06afd67464d</vt:lpwstr>
  </property>
  <property fmtid="{D5CDD505-2E9C-101B-9397-08002B2CF9AE}" pid="8" name="MSIP_Label_6951d41b-6b8e-4636-984f-012bff14ba18_ActionId">
    <vt:lpwstr>5dbd83cb-74eb-43f2-8442-7f0f0e039a3e</vt:lpwstr>
  </property>
  <property fmtid="{D5CDD505-2E9C-101B-9397-08002B2CF9AE}" pid="9" name="MSIP_Label_6951d41b-6b8e-4636-984f-012bff14ba18_ContentBits">
    <vt:lpwstr>1</vt:lpwstr>
  </property>
</Properties>
</file>