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21 Budget\Education\"/>
    </mc:Choice>
  </mc:AlternateContent>
  <xr:revisionPtr revIDLastSave="0" documentId="13_ncr:1_{5C4ECA9A-29C9-45A7-BEB5-B10F344CCC04}" xr6:coauthVersionLast="45" xr6:coauthVersionMax="45" xr10:uidLastSave="{00000000-0000-0000-0000-000000000000}"/>
  <bookViews>
    <workbookView xWindow="690" yWindow="2265" windowWidth="21600" windowHeight="11385" xr2:uid="{2B8DE558-69D4-4B5D-B827-BD2474E65D35}"/>
  </bookViews>
  <sheets>
    <sheet name="Enrollment by District" sheetId="1" r:id="rId1"/>
    <sheet name="Units by District" sheetId="2" r:id="rId2"/>
  </sheets>
  <definedNames>
    <definedName name="_xlnm.Print_Area" localSheetId="0">'Enrollment by District'!$A$1:$I$54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6" i="1" l="1"/>
  <c r="G19" i="1"/>
  <c r="F19" i="1"/>
  <c r="F24" i="1"/>
  <c r="G24" i="1"/>
  <c r="B54" i="2"/>
  <c r="G47" i="2"/>
  <c r="G45" i="2"/>
  <c r="G43" i="2"/>
  <c r="G42" i="2"/>
  <c r="G41" i="2"/>
  <c r="G40" i="2"/>
  <c r="G39" i="2"/>
  <c r="G37" i="2"/>
  <c r="G35" i="2"/>
  <c r="G33" i="2"/>
  <c r="G29" i="2"/>
  <c r="G28" i="2"/>
  <c r="G27" i="2"/>
  <c r="G26" i="2"/>
  <c r="G49" i="2" s="1"/>
  <c r="G23" i="2"/>
  <c r="G21" i="2"/>
  <c r="G20" i="2"/>
  <c r="G19" i="2"/>
  <c r="G18" i="2"/>
  <c r="G16" i="2"/>
  <c r="G15" i="2"/>
  <c r="G14" i="2"/>
  <c r="G13" i="2"/>
  <c r="G12" i="2"/>
  <c r="G11" i="2"/>
  <c r="G10" i="2"/>
  <c r="G9" i="2"/>
  <c r="G8" i="2"/>
  <c r="G24" i="2" s="1"/>
  <c r="G7" i="2"/>
  <c r="G6" i="2"/>
  <c r="G5" i="2"/>
  <c r="G4" i="2"/>
  <c r="I49" i="2"/>
  <c r="H49" i="2"/>
  <c r="I24" i="2"/>
  <c r="H24" i="2"/>
  <c r="E52" i="1"/>
  <c r="H52" i="1"/>
  <c r="I52" i="1"/>
  <c r="H50" i="1"/>
  <c r="I50" i="1"/>
  <c r="I24" i="1"/>
  <c r="H24" i="1"/>
  <c r="F49" i="1"/>
  <c r="G49" i="1"/>
  <c r="I49" i="1"/>
  <c r="H49" i="1"/>
  <c r="F6" i="1"/>
  <c r="G7" i="1"/>
  <c r="F7" i="1"/>
  <c r="E49" i="2"/>
  <c r="D49" i="2"/>
  <c r="B48" i="2"/>
  <c r="B47" i="2"/>
  <c r="C46" i="2"/>
  <c r="B46" i="2" s="1"/>
  <c r="B45" i="2"/>
  <c r="C44" i="2"/>
  <c r="B44" i="2" s="1"/>
  <c r="B43" i="2"/>
  <c r="C42" i="2"/>
  <c r="B42" i="2" s="1"/>
  <c r="C41" i="2"/>
  <c r="B41" i="2" s="1"/>
  <c r="B40" i="2"/>
  <c r="B39" i="2"/>
  <c r="B38" i="2"/>
  <c r="B37" i="2"/>
  <c r="B36" i="2"/>
  <c r="C35" i="2"/>
  <c r="B35" i="2" s="1"/>
  <c r="C34" i="2"/>
  <c r="B34" i="2" s="1"/>
  <c r="B33" i="2"/>
  <c r="B32" i="2"/>
  <c r="C31" i="2"/>
  <c r="B31" i="2" s="1"/>
  <c r="C30" i="2"/>
  <c r="B30" i="2" s="1"/>
  <c r="B29" i="2"/>
  <c r="C28" i="2"/>
  <c r="B28" i="2" s="1"/>
  <c r="B27" i="2"/>
  <c r="B26" i="2"/>
  <c r="E24" i="2"/>
  <c r="D24" i="2"/>
  <c r="C23" i="2"/>
  <c r="B23" i="2" s="1"/>
  <c r="C22" i="2"/>
  <c r="B22" i="2" s="1"/>
  <c r="C21" i="2"/>
  <c r="B21" i="2" s="1"/>
  <c r="C20" i="2"/>
  <c r="B20" i="2" s="1"/>
  <c r="C19" i="2"/>
  <c r="B19" i="2" s="1"/>
  <c r="C18" i="2"/>
  <c r="B18" i="2" s="1"/>
  <c r="C17" i="2"/>
  <c r="B17" i="2" s="1"/>
  <c r="C16" i="2"/>
  <c r="B16" i="2" s="1"/>
  <c r="C15" i="2"/>
  <c r="B15" i="2" s="1"/>
  <c r="C14" i="2"/>
  <c r="B14" i="2" s="1"/>
  <c r="C13" i="2"/>
  <c r="B13" i="2" s="1"/>
  <c r="C12" i="2"/>
  <c r="B12" i="2" s="1"/>
  <c r="C11" i="2"/>
  <c r="B11" i="2" s="1"/>
  <c r="C10" i="2"/>
  <c r="B10" i="2" s="1"/>
  <c r="C9" i="2"/>
  <c r="B9" i="2" s="1"/>
  <c r="C8" i="2"/>
  <c r="B8" i="2" s="1"/>
  <c r="C7" i="2"/>
  <c r="B7" i="2" s="1"/>
  <c r="C6" i="2"/>
  <c r="B6" i="2" s="1"/>
  <c r="C5" i="2"/>
  <c r="C4" i="2"/>
  <c r="B4" i="2" s="1"/>
  <c r="D49" i="1"/>
  <c r="C49" i="1"/>
  <c r="B47" i="1"/>
  <c r="B46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D24" i="1"/>
  <c r="C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F50" i="1" l="1"/>
  <c r="F52" i="1" s="1"/>
  <c r="G50" i="1"/>
  <c r="G52" i="1" s="1"/>
  <c r="G50" i="2"/>
  <c r="G52" i="2" s="1"/>
  <c r="D50" i="2"/>
  <c r="D52" i="2" s="1"/>
  <c r="E50" i="2"/>
  <c r="E52" i="2" s="1"/>
  <c r="H50" i="2"/>
  <c r="H52" i="2" s="1"/>
  <c r="I50" i="2"/>
  <c r="I52" i="2" s="1"/>
  <c r="C24" i="2"/>
  <c r="B49" i="2"/>
  <c r="B5" i="2"/>
  <c r="B24" i="2" s="1"/>
  <c r="C49" i="2"/>
  <c r="B24" i="1"/>
  <c r="B49" i="1"/>
  <c r="B50" i="1" s="1"/>
  <c r="D50" i="1"/>
  <c r="D52" i="1" s="1"/>
  <c r="C50" i="1"/>
  <c r="C52" i="1" s="1"/>
  <c r="C50" i="2" l="1"/>
  <c r="C52" i="2" s="1"/>
  <c r="B50" i="2"/>
  <c r="B52" i="2" s="1"/>
  <c r="B52" i="1"/>
</calcChain>
</file>

<file path=xl/sharedStrings.xml><?xml version="1.0" encoding="utf-8"?>
<sst xmlns="http://schemas.openxmlformats.org/spreadsheetml/2006/main" count="118" uniqueCount="68">
  <si>
    <t>2019-2020 School Year Data</t>
  </si>
  <si>
    <t>Division I Units (Funding Units)</t>
  </si>
  <si>
    <t>School Districts/Charters</t>
  </si>
  <si>
    <t>Total</t>
  </si>
  <si>
    <t>Appoquinimink</t>
  </si>
  <si>
    <t>Brandywine</t>
  </si>
  <si>
    <t>Caesar Rodney</t>
  </si>
  <si>
    <t>Dover Air Force Base</t>
  </si>
  <si>
    <t>Cape Henlopen</t>
  </si>
  <si>
    <t>Capital</t>
  </si>
  <si>
    <t>Christina</t>
  </si>
  <si>
    <t>Colonial</t>
  </si>
  <si>
    <t>Delmar</t>
  </si>
  <si>
    <t>Indian River</t>
  </si>
  <si>
    <t>Lake Forest</t>
  </si>
  <si>
    <t>Laurel</t>
  </si>
  <si>
    <t>Milford</t>
  </si>
  <si>
    <t>New Castle County Vo-Tech</t>
  </si>
  <si>
    <t>Polytech</t>
  </si>
  <si>
    <t>Red Clay</t>
  </si>
  <si>
    <t>Seaford</t>
  </si>
  <si>
    <t>Smyrna</t>
  </si>
  <si>
    <t>Sussex Tech</t>
  </si>
  <si>
    <t>Woodbridge</t>
  </si>
  <si>
    <t>Subtotal Districts:</t>
  </si>
  <si>
    <t>Academia Antonia Alonso</t>
  </si>
  <si>
    <t>Academy of Dover</t>
  </si>
  <si>
    <t>Campus Community Charter School</t>
  </si>
  <si>
    <t>Charter School of New Castle</t>
  </si>
  <si>
    <t>Charter School Wilmington</t>
  </si>
  <si>
    <t>Delaware Military Academy</t>
  </si>
  <si>
    <t>Early College HS</t>
  </si>
  <si>
    <t>East Side Charter School</t>
  </si>
  <si>
    <t>First State Military Academy</t>
  </si>
  <si>
    <t>First State Montessori</t>
  </si>
  <si>
    <t>Freire Charter School</t>
  </si>
  <si>
    <t>Gateway Lab School</t>
  </si>
  <si>
    <t xml:space="preserve">Great Oaks Charter School </t>
  </si>
  <si>
    <t>Kuumba</t>
  </si>
  <si>
    <t xml:space="preserve">Las Americas </t>
  </si>
  <si>
    <t>MOT Charter School</t>
  </si>
  <si>
    <t>Newark Charter School</t>
  </si>
  <si>
    <t>Odyssey Charter School</t>
  </si>
  <si>
    <t>Positive Outcomes</t>
  </si>
  <si>
    <t>Providence Creek Academy</t>
  </si>
  <si>
    <t>Sussex Academy</t>
  </si>
  <si>
    <t>Thomas Edison Charter School</t>
  </si>
  <si>
    <t>Design Thinking Academy</t>
  </si>
  <si>
    <t>Subtotal Charters:</t>
  </si>
  <si>
    <t>Totals:</t>
  </si>
  <si>
    <t>Totals Excluding Dover Air Force Base:</t>
  </si>
  <si>
    <t>Regular Education Students</t>
  </si>
  <si>
    <t>Special Education Students</t>
  </si>
  <si>
    <t>Regular Units</t>
  </si>
  <si>
    <t>Special Units</t>
  </si>
  <si>
    <t>Average Students per Unit Statewide:</t>
  </si>
  <si>
    <t>Enrollment - General</t>
  </si>
  <si>
    <t>Enrollment - Sub-groups</t>
  </si>
  <si>
    <t>Intensive Students</t>
  </si>
  <si>
    <t>Complex Students</t>
  </si>
  <si>
    <t>Intensive Units</t>
  </si>
  <si>
    <t>Complex Units</t>
  </si>
  <si>
    <t>Basic Special Units</t>
  </si>
  <si>
    <t>Special Education Units Breakdown</t>
  </si>
  <si>
    <t>CTE / Vocational Units</t>
  </si>
  <si>
    <t>EL Students*</t>
  </si>
  <si>
    <t>Low-Income Students*</t>
  </si>
  <si>
    <t>*EL and Low-income student enrollment data is not provided in annual verified unit count report. Data was collected from enrollment system.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</si>
</sst>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mbria"/>
      <family val="1"/>
    </font>
    <font>
      <sz val="10"/>
      <color theme="1"/>
      <name val="Calibri"/>
      <family val="2"/>
      <scheme val="minor"/>
    </font>
    <font>
      <b/>
      <sz val="10"/>
      <name val="Cambria"/>
      <family val="1"/>
    </font>
    <font>
      <sz val="10"/>
      <color theme="1"/>
      <name val="Cambria"/>
      <family val="1"/>
    </font>
    <font>
      <sz val="10"/>
      <color theme="2" tint="-0.499984740745262"/>
      <name val="Cambria"/>
      <family val="1"/>
    </font>
    <font>
      <i/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lightGray"/>
    </fill>
    <fill>
      <patternFill patternType="solid">
        <fgColor theme="8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lightGray">
        <bgColor theme="1"/>
      </patternFill>
    </fill>
  </fills>
  <borders count="1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8">
    <xf numFmtId="0" fontId="0" fillId="0" borderId="0" xfId="0"/>
    <xf numFmtId="0" fontId="2" fillId="0" borderId="0" xfId="0" applyFont="1" applyAlignment="1">
      <alignment horizontal="center" vertical="top"/>
    </xf>
    <xf numFmtId="0" fontId="3" fillId="0" borderId="0" xfId="0" applyFont="1"/>
    <xf numFmtId="0" fontId="2" fillId="0" borderId="1" xfId="0" applyFont="1" applyBorder="1" applyAlignment="1">
      <alignment horizontal="center" wrapText="1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164" fontId="2" fillId="2" borderId="2" xfId="1" applyNumberFormat="1" applyFont="1" applyFill="1" applyBorder="1" applyAlignment="1">
      <alignment horizontal="center"/>
    </xf>
    <xf numFmtId="164" fontId="2" fillId="2" borderId="3" xfId="1" applyNumberFormat="1" applyFont="1" applyFill="1" applyBorder="1" applyAlignment="1">
      <alignment horizontal="center"/>
    </xf>
    <xf numFmtId="164" fontId="2" fillId="2" borderId="4" xfId="1" applyNumberFormat="1" applyFont="1" applyFill="1" applyBorder="1" applyAlignment="1">
      <alignment horizontal="center"/>
    </xf>
    <xf numFmtId="0" fontId="2" fillId="0" borderId="6" xfId="0" applyFont="1" applyBorder="1" applyAlignment="1">
      <alignment horizontal="left" wrapText="1"/>
    </xf>
    <xf numFmtId="0" fontId="2" fillId="0" borderId="7" xfId="0" applyFont="1" applyBorder="1" applyAlignment="1">
      <alignment horizontal="center" wrapText="1"/>
    </xf>
    <xf numFmtId="164" fontId="2" fillId="0" borderId="7" xfId="1" applyNumberFormat="1" applyFont="1" applyBorder="1" applyAlignment="1">
      <alignment horizontal="center" wrapText="1"/>
    </xf>
    <xf numFmtId="0" fontId="2" fillId="0" borderId="7" xfId="0" applyFont="1" applyBorder="1" applyAlignment="1">
      <alignment horizontal="center"/>
    </xf>
    <xf numFmtId="164" fontId="2" fillId="0" borderId="7" xfId="1" applyNumberFormat="1" applyFont="1" applyBorder="1" applyAlignment="1">
      <alignment horizontal="center"/>
    </xf>
    <xf numFmtId="0" fontId="5" fillId="0" borderId="8" xfId="0" applyFont="1" applyBorder="1" applyAlignment="1">
      <alignment horizontal="left" vertical="top" indent="1"/>
    </xf>
    <xf numFmtId="164" fontId="5" fillId="0" borderId="9" xfId="0" applyNumberFormat="1" applyFont="1" applyBorder="1" applyAlignment="1">
      <alignment horizontal="center" vertical="top"/>
    </xf>
    <xf numFmtId="164" fontId="5" fillId="0" borderId="8" xfId="1" applyNumberFormat="1" applyFont="1" applyBorder="1" applyAlignment="1">
      <alignment horizontal="center" vertical="top"/>
    </xf>
    <xf numFmtId="164" fontId="5" fillId="0" borderId="1" xfId="1" applyNumberFormat="1" applyFont="1" applyBorder="1" applyAlignment="1">
      <alignment horizontal="center" vertical="top"/>
    </xf>
    <xf numFmtId="43" fontId="5" fillId="0" borderId="8" xfId="1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1" xfId="0" applyFont="1" applyBorder="1" applyAlignment="1">
      <alignment horizontal="center" vertical="top"/>
    </xf>
    <xf numFmtId="0" fontId="3" fillId="0" borderId="0" xfId="0" applyFont="1" applyAlignment="1">
      <alignment vertical="top"/>
    </xf>
    <xf numFmtId="0" fontId="5" fillId="0" borderId="5" xfId="0" applyFont="1" applyBorder="1" applyAlignment="1">
      <alignment horizontal="left" vertical="top" indent="1"/>
    </xf>
    <xf numFmtId="164" fontId="5" fillId="0" borderId="5" xfId="1" applyNumberFormat="1" applyFont="1" applyBorder="1" applyAlignment="1">
      <alignment horizontal="center" vertical="top"/>
    </xf>
    <xf numFmtId="43" fontId="5" fillId="0" borderId="5" xfId="1" applyFont="1" applyBorder="1" applyAlignment="1">
      <alignment horizontal="center" vertical="top"/>
    </xf>
    <xf numFmtId="0" fontId="5" fillId="0" borderId="5" xfId="0" applyFont="1" applyBorder="1" applyAlignment="1">
      <alignment horizontal="center" vertical="top"/>
    </xf>
    <xf numFmtId="0" fontId="5" fillId="0" borderId="5" xfId="0" applyFont="1" applyBorder="1" applyAlignment="1">
      <alignment horizontal="left" vertical="top" indent="2"/>
    </xf>
    <xf numFmtId="2" fontId="5" fillId="0" borderId="5" xfId="0" applyNumberFormat="1" applyFont="1" applyBorder="1" applyAlignment="1">
      <alignment horizontal="center" vertical="top"/>
    </xf>
    <xf numFmtId="2" fontId="5" fillId="0" borderId="1" xfId="0" applyNumberFormat="1" applyFont="1" applyBorder="1" applyAlignment="1">
      <alignment horizontal="center" vertical="top"/>
    </xf>
    <xf numFmtId="0" fontId="5" fillId="0" borderId="10" xfId="0" applyFont="1" applyBorder="1" applyAlignment="1">
      <alignment horizontal="left" vertical="top" indent="1"/>
    </xf>
    <xf numFmtId="164" fontId="5" fillId="0" borderId="10" xfId="1" applyNumberFormat="1" applyFont="1" applyBorder="1" applyAlignment="1">
      <alignment horizontal="center" vertical="top"/>
    </xf>
    <xf numFmtId="43" fontId="5" fillId="0" borderId="10" xfId="1" applyFont="1" applyBorder="1" applyAlignment="1">
      <alignment horizontal="center" vertical="top"/>
    </xf>
    <xf numFmtId="0" fontId="5" fillId="0" borderId="5" xfId="0" applyFont="1" applyBorder="1" applyAlignment="1">
      <alignment vertical="top"/>
    </xf>
    <xf numFmtId="164" fontId="5" fillId="0" borderId="7" xfId="1" applyNumberFormat="1" applyFont="1" applyBorder="1" applyAlignment="1">
      <alignment horizontal="center" vertical="top"/>
    </xf>
    <xf numFmtId="164" fontId="5" fillId="0" borderId="8" xfId="0" applyNumberFormat="1" applyFont="1" applyBorder="1" applyAlignment="1">
      <alignment horizontal="center" vertical="top"/>
    </xf>
    <xf numFmtId="4" fontId="5" fillId="0" borderId="8" xfId="1" applyNumberFormat="1" applyFont="1" applyBorder="1" applyAlignment="1">
      <alignment horizontal="center" vertical="top"/>
    </xf>
    <xf numFmtId="4" fontId="5" fillId="0" borderId="8" xfId="1" applyNumberFormat="1" applyFont="1" applyBorder="1" applyAlignment="1">
      <alignment horizontal="right" vertical="top"/>
    </xf>
    <xf numFmtId="0" fontId="5" fillId="3" borderId="2" xfId="0" applyFont="1" applyFill="1" applyBorder="1" applyAlignment="1">
      <alignment horizontal="center" vertical="top"/>
    </xf>
    <xf numFmtId="0" fontId="5" fillId="3" borderId="3" xfId="0" applyFont="1" applyFill="1" applyBorder="1" applyAlignment="1">
      <alignment horizontal="center" vertical="top"/>
    </xf>
    <xf numFmtId="0" fontId="5" fillId="0" borderId="0" xfId="0" applyFont="1" applyAlignment="1">
      <alignment horizontal="center" vertical="top"/>
    </xf>
    <xf numFmtId="0" fontId="5" fillId="3" borderId="4" xfId="0" applyFont="1" applyFill="1" applyBorder="1" applyAlignment="1">
      <alignment horizontal="center" vertical="top"/>
    </xf>
    <xf numFmtId="164" fontId="5" fillId="0" borderId="0" xfId="0" applyNumberFormat="1" applyFont="1" applyAlignment="1">
      <alignment horizontal="center" vertical="top"/>
    </xf>
    <xf numFmtId="2" fontId="5" fillId="0" borderId="8" xfId="0" applyNumberFormat="1" applyFont="1" applyBorder="1" applyAlignment="1">
      <alignment horizontal="center" vertical="top"/>
    </xf>
    <xf numFmtId="2" fontId="5" fillId="0" borderId="11" xfId="0" applyNumberFormat="1" applyFont="1" applyBorder="1" applyAlignment="1">
      <alignment horizontal="center" vertical="top"/>
    </xf>
    <xf numFmtId="0" fontId="6" fillId="0" borderId="10" xfId="0" applyFont="1" applyBorder="1" applyAlignment="1">
      <alignment vertical="top"/>
    </xf>
    <xf numFmtId="164" fontId="6" fillId="0" borderId="0" xfId="0" applyNumberFormat="1" applyFont="1" applyAlignment="1">
      <alignment horizontal="center" vertical="top"/>
    </xf>
    <xf numFmtId="2" fontId="5" fillId="0" borderId="10" xfId="0" applyNumberFormat="1" applyFont="1" applyBorder="1" applyAlignment="1">
      <alignment horizontal="center" vertical="top"/>
    </xf>
    <xf numFmtId="2" fontId="5" fillId="0" borderId="6" xfId="0" applyNumberFormat="1" applyFont="1" applyBorder="1" applyAlignment="1">
      <alignment horizontal="center" vertical="top"/>
    </xf>
    <xf numFmtId="0" fontId="5" fillId="0" borderId="7" xfId="0" applyFont="1" applyBorder="1" applyAlignment="1">
      <alignment vertical="top"/>
    </xf>
    <xf numFmtId="164" fontId="5" fillId="0" borderId="7" xfId="0" applyNumberFormat="1" applyFont="1" applyBorder="1" applyAlignment="1">
      <alignment horizontal="center" vertical="top"/>
    </xf>
    <xf numFmtId="164" fontId="5" fillId="0" borderId="4" xfId="1" applyNumberFormat="1" applyFont="1" applyBorder="1" applyAlignment="1">
      <alignment horizontal="center" vertical="top"/>
    </xf>
    <xf numFmtId="4" fontId="5" fillId="0" borderId="4" xfId="1" applyNumberFormat="1" applyFont="1" applyBorder="1" applyAlignment="1">
      <alignment horizontal="center" vertical="top"/>
    </xf>
    <xf numFmtId="4" fontId="5" fillId="0" borderId="4" xfId="1" applyNumberFormat="1" applyFont="1" applyBorder="1" applyAlignment="1">
      <alignment horizontal="right" vertical="top"/>
    </xf>
    <xf numFmtId="0" fontId="2" fillId="0" borderId="7" xfId="0" applyFont="1" applyBorder="1" applyAlignment="1">
      <alignment vertical="top"/>
    </xf>
    <xf numFmtId="164" fontId="5" fillId="0" borderId="4" xfId="0" applyNumberFormat="1" applyFont="1" applyBorder="1" applyAlignment="1">
      <alignment horizontal="center" vertical="top"/>
    </xf>
    <xf numFmtId="4" fontId="5" fillId="0" borderId="4" xfId="0" applyNumberFormat="1" applyFont="1" applyBorder="1" applyAlignment="1">
      <alignment horizontal="right" vertical="top"/>
    </xf>
    <xf numFmtId="4" fontId="2" fillId="0" borderId="4" xfId="0" applyNumberFormat="1" applyFont="1" applyBorder="1" applyAlignment="1">
      <alignment horizontal="center" vertical="top"/>
    </xf>
    <xf numFmtId="0" fontId="5" fillId="0" borderId="0" xfId="0" applyFont="1" applyAlignment="1">
      <alignment vertical="top"/>
    </xf>
    <xf numFmtId="164" fontId="5" fillId="0" borderId="0" xfId="1" applyNumberFormat="1" applyFont="1" applyAlignment="1">
      <alignment horizontal="center" vertical="top"/>
    </xf>
    <xf numFmtId="164" fontId="5" fillId="0" borderId="0" xfId="1" applyNumberFormat="1" applyFont="1" applyBorder="1" applyAlignment="1">
      <alignment horizontal="center" vertical="top"/>
    </xf>
    <xf numFmtId="4" fontId="5" fillId="0" borderId="0" xfId="1" applyNumberFormat="1" applyFont="1" applyAlignment="1">
      <alignment horizontal="center" vertical="top"/>
    </xf>
    <xf numFmtId="4" fontId="5" fillId="0" borderId="0" xfId="0" applyNumberFormat="1" applyFont="1" applyAlignment="1">
      <alignment horizontal="center" vertical="top"/>
    </xf>
    <xf numFmtId="4" fontId="2" fillId="4" borderId="7" xfId="0" applyNumberFormat="1" applyFont="1" applyFill="1" applyBorder="1" applyAlignment="1">
      <alignment horizontal="center" vertical="top"/>
    </xf>
    <xf numFmtId="0" fontId="3" fillId="0" borderId="0" xfId="0" applyFont="1" applyAlignment="1">
      <alignment horizontal="center"/>
    </xf>
    <xf numFmtId="164" fontId="3" fillId="0" borderId="0" xfId="1" applyNumberFormat="1" applyFont="1" applyAlignment="1">
      <alignment horizontal="center"/>
    </xf>
    <xf numFmtId="164" fontId="3" fillId="0" borderId="0" xfId="1" applyNumberFormat="1" applyFont="1" applyBorder="1" applyAlignment="1">
      <alignment horizontal="center"/>
    </xf>
    <xf numFmtId="0" fontId="5" fillId="6" borderId="3" xfId="0" applyFont="1" applyFill="1" applyBorder="1" applyAlignment="1">
      <alignment horizontal="center" vertical="top"/>
    </xf>
    <xf numFmtId="164" fontId="2" fillId="5" borderId="8" xfId="1" applyNumberFormat="1" applyFont="1" applyFill="1" applyBorder="1" applyAlignment="1">
      <alignment horizontal="center"/>
    </xf>
    <xf numFmtId="164" fontId="5" fillId="5" borderId="5" xfId="1" applyNumberFormat="1" applyFont="1" applyFill="1" applyBorder="1" applyAlignment="1">
      <alignment horizontal="center" vertical="top"/>
    </xf>
    <xf numFmtId="164" fontId="5" fillId="5" borderId="10" xfId="1" applyNumberFormat="1" applyFont="1" applyFill="1" applyBorder="1" applyAlignment="1">
      <alignment horizontal="center" vertical="top"/>
    </xf>
    <xf numFmtId="164" fontId="5" fillId="5" borderId="1" xfId="1" applyNumberFormat="1" applyFont="1" applyFill="1" applyBorder="1" applyAlignment="1">
      <alignment horizontal="center" vertical="top"/>
    </xf>
    <xf numFmtId="164" fontId="5" fillId="5" borderId="4" xfId="1" applyNumberFormat="1" applyFont="1" applyFill="1" applyBorder="1" applyAlignment="1">
      <alignment horizontal="center" vertical="top"/>
    </xf>
    <xf numFmtId="164" fontId="5" fillId="5" borderId="4" xfId="0" applyNumberFormat="1" applyFont="1" applyFill="1" applyBorder="1" applyAlignment="1">
      <alignment horizontal="center" vertical="top"/>
    </xf>
    <xf numFmtId="164" fontId="5" fillId="5" borderId="0" xfId="1" applyNumberFormat="1" applyFont="1" applyFill="1" applyAlignment="1">
      <alignment horizontal="center" vertical="top"/>
    </xf>
    <xf numFmtId="164" fontId="2" fillId="5" borderId="7" xfId="0" applyNumberFormat="1" applyFont="1" applyFill="1" applyBorder="1" applyAlignment="1">
      <alignment horizontal="center" vertical="top"/>
    </xf>
    <xf numFmtId="0" fontId="4" fillId="5" borderId="3" xfId="0" applyFont="1" applyFill="1" applyBorder="1" applyAlignment="1"/>
    <xf numFmtId="4" fontId="5" fillId="0" borderId="7" xfId="1" applyNumberFormat="1" applyFont="1" applyBorder="1" applyAlignment="1">
      <alignment horizontal="center" vertical="top"/>
    </xf>
    <xf numFmtId="4" fontId="2" fillId="0" borderId="7" xfId="0" applyNumberFormat="1" applyFont="1" applyBorder="1" applyAlignment="1">
      <alignment horizontal="center" vertical="top"/>
    </xf>
    <xf numFmtId="0" fontId="3" fillId="5" borderId="0" xfId="0" applyFont="1" applyFill="1"/>
    <xf numFmtId="0" fontId="3" fillId="5" borderId="0" xfId="0" applyFont="1" applyFill="1" applyAlignment="1">
      <alignment vertical="top"/>
    </xf>
    <xf numFmtId="0" fontId="2" fillId="0" borderId="0" xfId="0" applyFont="1" applyBorder="1" applyAlignment="1">
      <alignment horizontal="center" vertical="top"/>
    </xf>
    <xf numFmtId="1" fontId="5" fillId="0" borderId="1" xfId="0" applyNumberFormat="1" applyFont="1" applyBorder="1" applyAlignment="1">
      <alignment horizontal="center" vertical="top"/>
    </xf>
    <xf numFmtId="0" fontId="2" fillId="0" borderId="2" xfId="0" applyFont="1" applyBorder="1" applyAlignment="1">
      <alignment vertical="top"/>
    </xf>
    <xf numFmtId="43" fontId="5" fillId="0" borderId="4" xfId="1" applyNumberFormat="1" applyFont="1" applyBorder="1" applyAlignment="1">
      <alignment horizontal="center" vertical="top"/>
    </xf>
    <xf numFmtId="0" fontId="7" fillId="0" borderId="0" xfId="0" applyFont="1" applyAlignment="1">
      <alignment horizontal="left" wrapText="1"/>
    </xf>
    <xf numFmtId="4" fontId="2" fillId="4" borderId="7" xfId="0" applyNumberFormat="1" applyFont="1" applyFill="1" applyBorder="1" applyAlignment="1">
      <alignment horizontal="right" vertical="top"/>
    </xf>
    <xf numFmtId="164" fontId="2" fillId="4" borderId="7" xfId="0" applyNumberFormat="1" applyFont="1" applyFill="1" applyBorder="1" applyAlignment="1">
      <alignment horizontal="center" vertical="top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C8EEE-FD85-4921-B03D-DA0480CB5739}">
  <sheetPr>
    <pageSetUpPr fitToPage="1"/>
  </sheetPr>
  <dimension ref="A1:R54"/>
  <sheetViews>
    <sheetView showGridLines="0" tabSelected="1" view="pageBreakPreview" zoomScaleNormal="100" zoomScaleSheetLayoutView="100" zoomScalePageLayoutView="110" workbookViewId="0">
      <selection activeCell="A4" sqref="A4"/>
    </sheetView>
  </sheetViews>
  <sheetFormatPr defaultRowHeight="12.75" x14ac:dyDescent="0.2"/>
  <cols>
    <col min="1" max="1" width="34.5703125" style="2" customWidth="1"/>
    <col min="2" max="2" width="9.5703125" style="64" customWidth="1"/>
    <col min="3" max="3" width="9.85546875" style="64" bestFit="1" customWidth="1"/>
    <col min="4" max="4" width="10.140625" style="65" customWidth="1"/>
    <col min="5" max="5" width="0.7109375" style="65" customWidth="1"/>
    <col min="6" max="8" width="9.5703125" style="65" bestFit="1" customWidth="1"/>
    <col min="9" max="9" width="8.85546875" style="65" bestFit="1" customWidth="1"/>
    <col min="10" max="16384" width="9.140625" style="2"/>
  </cols>
  <sheetData>
    <row r="1" spans="1:9" ht="18" customHeight="1" x14ac:dyDescent="0.2">
      <c r="A1" s="1" t="s">
        <v>0</v>
      </c>
      <c r="B1" s="1"/>
      <c r="C1" s="1"/>
      <c r="D1" s="1"/>
      <c r="E1" s="1"/>
      <c r="F1" s="1"/>
      <c r="G1" s="1"/>
      <c r="H1" s="1"/>
      <c r="I1" s="1"/>
    </row>
    <row r="2" spans="1:9" x14ac:dyDescent="0.2">
      <c r="A2" s="3"/>
      <c r="B2" s="4" t="s">
        <v>56</v>
      </c>
      <c r="C2" s="5"/>
      <c r="D2" s="5"/>
      <c r="E2" s="76"/>
      <c r="F2" s="4" t="s">
        <v>57</v>
      </c>
      <c r="G2" s="5"/>
      <c r="H2" s="5"/>
      <c r="I2" s="6"/>
    </row>
    <row r="3" spans="1:9" ht="42" customHeight="1" x14ac:dyDescent="0.2">
      <c r="A3" s="10" t="s">
        <v>2</v>
      </c>
      <c r="B3" s="13" t="s">
        <v>3</v>
      </c>
      <c r="C3" s="12" t="s">
        <v>51</v>
      </c>
      <c r="D3" s="12" t="s">
        <v>52</v>
      </c>
      <c r="E3" s="68"/>
      <c r="F3" s="12" t="s">
        <v>65</v>
      </c>
      <c r="G3" s="12" t="s">
        <v>66</v>
      </c>
      <c r="H3" s="12" t="s">
        <v>58</v>
      </c>
      <c r="I3" s="12" t="s">
        <v>59</v>
      </c>
    </row>
    <row r="4" spans="1:9" s="22" customFormat="1" x14ac:dyDescent="0.25">
      <c r="A4" s="15" t="s">
        <v>4</v>
      </c>
      <c r="B4" s="16">
        <f>SUM(C4:D4)</f>
        <v>11737</v>
      </c>
      <c r="C4" s="17">
        <v>9881</v>
      </c>
      <c r="D4" s="18">
        <v>1856</v>
      </c>
      <c r="E4" s="69"/>
      <c r="F4" s="18">
        <v>358</v>
      </c>
      <c r="G4" s="18">
        <v>1347</v>
      </c>
      <c r="H4" s="18">
        <v>384</v>
      </c>
      <c r="I4" s="18">
        <v>211</v>
      </c>
    </row>
    <row r="5" spans="1:9" s="22" customFormat="1" x14ac:dyDescent="0.25">
      <c r="A5" s="23" t="s">
        <v>5</v>
      </c>
      <c r="B5" s="16">
        <f>SUM(C5:D5)</f>
        <v>10548</v>
      </c>
      <c r="C5" s="24">
        <v>8728</v>
      </c>
      <c r="D5" s="18">
        <v>1820</v>
      </c>
      <c r="E5" s="69"/>
      <c r="F5" s="18">
        <v>536</v>
      </c>
      <c r="G5" s="18">
        <v>3001</v>
      </c>
      <c r="H5" s="18">
        <v>360</v>
      </c>
      <c r="I5" s="18">
        <v>231</v>
      </c>
    </row>
    <row r="6" spans="1:9" s="22" customFormat="1" x14ac:dyDescent="0.25">
      <c r="A6" s="23" t="s">
        <v>6</v>
      </c>
      <c r="B6" s="16">
        <f>SUM(C6:D6)</f>
        <v>7695</v>
      </c>
      <c r="C6" s="24">
        <v>6424</v>
      </c>
      <c r="D6" s="18">
        <v>1271</v>
      </c>
      <c r="E6" s="69"/>
      <c r="F6" s="18">
        <f>327-F7</f>
        <v>311</v>
      </c>
      <c r="G6" s="18">
        <f>2214-G7</f>
        <v>2198</v>
      </c>
      <c r="H6" s="18">
        <v>305</v>
      </c>
      <c r="I6" s="18">
        <v>282</v>
      </c>
    </row>
    <row r="7" spans="1:9" s="22" customFormat="1" x14ac:dyDescent="0.25">
      <c r="A7" s="27" t="s">
        <v>7</v>
      </c>
      <c r="B7" s="16">
        <f>SUM(C7:D7)</f>
        <v>488</v>
      </c>
      <c r="C7" s="24">
        <v>425</v>
      </c>
      <c r="D7" s="18">
        <v>63</v>
      </c>
      <c r="E7" s="69"/>
      <c r="F7" s="18">
        <f>14+2</f>
        <v>16</v>
      </c>
      <c r="G7" s="18">
        <f>11+5</f>
        <v>16</v>
      </c>
      <c r="H7" s="18">
        <v>16</v>
      </c>
      <c r="I7" s="18">
        <v>11</v>
      </c>
    </row>
    <row r="8" spans="1:9" s="22" customFormat="1" x14ac:dyDescent="0.25">
      <c r="A8" s="23" t="s">
        <v>8</v>
      </c>
      <c r="B8" s="16">
        <f>SUM(C8:D8)</f>
        <v>5860</v>
      </c>
      <c r="C8" s="24">
        <v>4832</v>
      </c>
      <c r="D8" s="18">
        <v>1028</v>
      </c>
      <c r="E8" s="69"/>
      <c r="F8" s="18">
        <v>444</v>
      </c>
      <c r="G8" s="18">
        <v>1462</v>
      </c>
      <c r="H8" s="18">
        <v>140</v>
      </c>
      <c r="I8" s="18">
        <v>311</v>
      </c>
    </row>
    <row r="9" spans="1:9" s="22" customFormat="1" x14ac:dyDescent="0.25">
      <c r="A9" s="23" t="s">
        <v>9</v>
      </c>
      <c r="B9" s="16">
        <f>SUM(C9:D9)</f>
        <v>6605</v>
      </c>
      <c r="C9" s="24">
        <v>5181</v>
      </c>
      <c r="D9" s="18">
        <v>1424</v>
      </c>
      <c r="E9" s="69"/>
      <c r="F9" s="18">
        <v>447</v>
      </c>
      <c r="G9" s="18">
        <v>3074</v>
      </c>
      <c r="H9" s="18">
        <v>329</v>
      </c>
      <c r="I9" s="18">
        <v>422</v>
      </c>
    </row>
    <row r="10" spans="1:9" s="22" customFormat="1" x14ac:dyDescent="0.25">
      <c r="A10" s="23" t="s">
        <v>10</v>
      </c>
      <c r="B10" s="16">
        <f>SUM(C10:D10)</f>
        <v>14003</v>
      </c>
      <c r="C10" s="24">
        <v>10805</v>
      </c>
      <c r="D10" s="18">
        <v>3198</v>
      </c>
      <c r="E10" s="69"/>
      <c r="F10" s="18">
        <v>1955</v>
      </c>
      <c r="G10" s="18">
        <v>5840</v>
      </c>
      <c r="H10" s="18">
        <v>817</v>
      </c>
      <c r="I10" s="18">
        <v>923</v>
      </c>
    </row>
    <row r="11" spans="1:9" s="22" customFormat="1" x14ac:dyDescent="0.25">
      <c r="A11" s="23" t="s">
        <v>11</v>
      </c>
      <c r="B11" s="16">
        <f>SUM(C11:D11)</f>
        <v>9921</v>
      </c>
      <c r="C11" s="24">
        <v>7938</v>
      </c>
      <c r="D11" s="18">
        <v>1983</v>
      </c>
      <c r="E11" s="69"/>
      <c r="F11" s="18">
        <v>1255</v>
      </c>
      <c r="G11" s="18">
        <v>3709</v>
      </c>
      <c r="H11" s="18">
        <v>847</v>
      </c>
      <c r="I11" s="18">
        <v>312</v>
      </c>
    </row>
    <row r="12" spans="1:9" s="22" customFormat="1" x14ac:dyDescent="0.25">
      <c r="A12" s="23" t="s">
        <v>12</v>
      </c>
      <c r="B12" s="16">
        <f>SUM(C12:D12)</f>
        <v>1405</v>
      </c>
      <c r="C12" s="24">
        <v>1266</v>
      </c>
      <c r="D12" s="18">
        <v>139</v>
      </c>
      <c r="E12" s="69"/>
      <c r="F12" s="18">
        <v>50</v>
      </c>
      <c r="G12" s="18">
        <v>189</v>
      </c>
      <c r="H12" s="18">
        <v>21</v>
      </c>
      <c r="I12" s="18">
        <v>12</v>
      </c>
    </row>
    <row r="13" spans="1:9" s="22" customFormat="1" x14ac:dyDescent="0.25">
      <c r="A13" s="23" t="s">
        <v>13</v>
      </c>
      <c r="B13" s="16">
        <f>SUM(C13:D13)</f>
        <v>10942</v>
      </c>
      <c r="C13" s="24">
        <v>9097</v>
      </c>
      <c r="D13" s="18">
        <v>1845</v>
      </c>
      <c r="E13" s="69"/>
      <c r="F13" s="18">
        <v>2174</v>
      </c>
      <c r="G13" s="18">
        <v>3434</v>
      </c>
      <c r="H13" s="18">
        <v>616</v>
      </c>
      <c r="I13" s="18">
        <v>408</v>
      </c>
    </row>
    <row r="14" spans="1:9" s="22" customFormat="1" x14ac:dyDescent="0.25">
      <c r="A14" s="23" t="s">
        <v>14</v>
      </c>
      <c r="B14" s="16">
        <f>SUM(C14:D14)</f>
        <v>3721</v>
      </c>
      <c r="C14" s="24">
        <v>3004</v>
      </c>
      <c r="D14" s="18">
        <v>717</v>
      </c>
      <c r="E14" s="69"/>
      <c r="F14" s="18">
        <v>96</v>
      </c>
      <c r="G14" s="18">
        <v>1462</v>
      </c>
      <c r="H14" s="18">
        <v>137</v>
      </c>
      <c r="I14" s="18">
        <v>38</v>
      </c>
    </row>
    <row r="15" spans="1:9" s="22" customFormat="1" x14ac:dyDescent="0.25">
      <c r="A15" s="23" t="s">
        <v>15</v>
      </c>
      <c r="B15" s="16">
        <f>SUM(C15:D15)</f>
        <v>2645</v>
      </c>
      <c r="C15" s="24">
        <v>2230</v>
      </c>
      <c r="D15" s="18">
        <v>415</v>
      </c>
      <c r="E15" s="69"/>
      <c r="F15" s="18">
        <v>320</v>
      </c>
      <c r="G15" s="18">
        <v>1074</v>
      </c>
      <c r="H15" s="18">
        <v>54</v>
      </c>
      <c r="I15" s="18">
        <v>41</v>
      </c>
    </row>
    <row r="16" spans="1:9" s="22" customFormat="1" x14ac:dyDescent="0.25">
      <c r="A16" s="23" t="s">
        <v>16</v>
      </c>
      <c r="B16" s="16">
        <f>SUM(C16:D16)</f>
        <v>4301</v>
      </c>
      <c r="C16" s="24">
        <v>3670</v>
      </c>
      <c r="D16" s="18">
        <v>631</v>
      </c>
      <c r="E16" s="69"/>
      <c r="F16" s="18">
        <v>701</v>
      </c>
      <c r="G16" s="18">
        <v>1736</v>
      </c>
      <c r="H16" s="18">
        <v>134</v>
      </c>
      <c r="I16" s="18">
        <v>74</v>
      </c>
    </row>
    <row r="17" spans="1:9" s="22" customFormat="1" x14ac:dyDescent="0.25">
      <c r="A17" s="23" t="s">
        <v>17</v>
      </c>
      <c r="B17" s="16">
        <f>SUM(C17:D17)</f>
        <v>4669</v>
      </c>
      <c r="C17" s="24">
        <v>4060</v>
      </c>
      <c r="D17" s="18">
        <v>609</v>
      </c>
      <c r="E17" s="69"/>
      <c r="F17" s="18">
        <v>137</v>
      </c>
      <c r="G17" s="18">
        <v>1257</v>
      </c>
      <c r="H17" s="18">
        <v>195</v>
      </c>
      <c r="I17" s="18">
        <v>25</v>
      </c>
    </row>
    <row r="18" spans="1:9" s="22" customFormat="1" x14ac:dyDescent="0.25">
      <c r="A18" s="23" t="s">
        <v>18</v>
      </c>
      <c r="B18" s="16">
        <f>SUM(C18:D18)</f>
        <v>1192</v>
      </c>
      <c r="C18" s="24">
        <v>1076</v>
      </c>
      <c r="D18" s="18">
        <v>116</v>
      </c>
      <c r="E18" s="69"/>
      <c r="F18" s="18">
        <v>3</v>
      </c>
      <c r="G18" s="18">
        <v>206</v>
      </c>
      <c r="H18" s="18">
        <v>16</v>
      </c>
      <c r="I18" s="18">
        <v>5</v>
      </c>
    </row>
    <row r="19" spans="1:9" s="22" customFormat="1" x14ac:dyDescent="0.25">
      <c r="A19" s="23" t="s">
        <v>19</v>
      </c>
      <c r="B19" s="16">
        <f>SUM(C19:D19)</f>
        <v>15520</v>
      </c>
      <c r="C19" s="24">
        <v>12785</v>
      </c>
      <c r="D19" s="18">
        <v>2735</v>
      </c>
      <c r="E19" s="69"/>
      <c r="F19" s="18">
        <f>2480-F31-F30</f>
        <v>2476</v>
      </c>
      <c r="G19" s="18">
        <f>5413-G30-G31</f>
        <v>5333</v>
      </c>
      <c r="H19" s="18">
        <v>637</v>
      </c>
      <c r="I19" s="18">
        <v>517</v>
      </c>
    </row>
    <row r="20" spans="1:9" s="22" customFormat="1" x14ac:dyDescent="0.25">
      <c r="A20" s="23" t="s">
        <v>20</v>
      </c>
      <c r="B20" s="16">
        <f>SUM(C20:D20)</f>
        <v>3516</v>
      </c>
      <c r="C20" s="24">
        <v>2887</v>
      </c>
      <c r="D20" s="18">
        <v>629</v>
      </c>
      <c r="E20" s="69"/>
      <c r="F20" s="18">
        <v>635</v>
      </c>
      <c r="G20" s="18">
        <v>1584</v>
      </c>
      <c r="H20" s="18">
        <v>156</v>
      </c>
      <c r="I20" s="18">
        <v>94</v>
      </c>
    </row>
    <row r="21" spans="1:9" s="22" customFormat="1" x14ac:dyDescent="0.25">
      <c r="A21" s="23" t="s">
        <v>21</v>
      </c>
      <c r="B21" s="16">
        <f>SUM(C21:D21)</f>
        <v>5882</v>
      </c>
      <c r="C21" s="24">
        <v>4867</v>
      </c>
      <c r="D21" s="18">
        <v>1015</v>
      </c>
      <c r="E21" s="69"/>
      <c r="F21" s="18">
        <v>107</v>
      </c>
      <c r="G21" s="18">
        <v>1388</v>
      </c>
      <c r="H21" s="18">
        <v>348</v>
      </c>
      <c r="I21" s="18">
        <v>165</v>
      </c>
    </row>
    <row r="22" spans="1:9" s="22" customFormat="1" x14ac:dyDescent="0.25">
      <c r="A22" s="23" t="s">
        <v>22</v>
      </c>
      <c r="B22" s="16">
        <f>SUM(C22:D22)</f>
        <v>1241</v>
      </c>
      <c r="C22" s="24">
        <v>1131</v>
      </c>
      <c r="D22" s="18">
        <v>110</v>
      </c>
      <c r="E22" s="69"/>
      <c r="F22" s="18">
        <v>8</v>
      </c>
      <c r="G22" s="18">
        <v>206</v>
      </c>
      <c r="H22" s="18">
        <v>26</v>
      </c>
      <c r="I22" s="18">
        <v>8</v>
      </c>
    </row>
    <row r="23" spans="1:9" s="22" customFormat="1" x14ac:dyDescent="0.25">
      <c r="A23" s="30" t="s">
        <v>23</v>
      </c>
      <c r="B23" s="16">
        <f>SUM(C23:D23)</f>
        <v>2594</v>
      </c>
      <c r="C23" s="31">
        <v>2170</v>
      </c>
      <c r="D23" s="18">
        <v>424</v>
      </c>
      <c r="E23" s="69"/>
      <c r="F23" s="18">
        <v>327</v>
      </c>
      <c r="G23" s="18">
        <v>1064</v>
      </c>
      <c r="H23" s="18">
        <v>152</v>
      </c>
      <c r="I23" s="18">
        <v>55</v>
      </c>
    </row>
    <row r="24" spans="1:9" s="22" customFormat="1" x14ac:dyDescent="0.25">
      <c r="A24" s="33" t="s">
        <v>24</v>
      </c>
      <c r="B24" s="35">
        <f>SUM(C24:D24)</f>
        <v>124485</v>
      </c>
      <c r="C24" s="17">
        <f>SUM(C4:C23)</f>
        <v>102457</v>
      </c>
      <c r="D24" s="17">
        <f>SUM(D4:D23)</f>
        <v>22028</v>
      </c>
      <c r="E24" s="70"/>
      <c r="F24" s="17">
        <f t="shared" ref="F24:G24" si="0">SUM(F4:F23)</f>
        <v>12356</v>
      </c>
      <c r="G24" s="17">
        <f t="shared" si="0"/>
        <v>39580</v>
      </c>
      <c r="H24" s="17">
        <f>SUM(H4:H23)</f>
        <v>5690</v>
      </c>
      <c r="I24" s="17">
        <f>SUM(I4:I23)</f>
        <v>4145</v>
      </c>
    </row>
    <row r="25" spans="1:9" s="22" customFormat="1" ht="4.5" customHeight="1" x14ac:dyDescent="0.25">
      <c r="A25" s="38"/>
      <c r="B25" s="39"/>
      <c r="C25" s="39"/>
      <c r="D25" s="39"/>
      <c r="E25" s="67"/>
      <c r="F25" s="39"/>
      <c r="G25" s="39"/>
      <c r="H25" s="39"/>
      <c r="I25" s="39"/>
    </row>
    <row r="26" spans="1:9" s="22" customFormat="1" x14ac:dyDescent="0.25">
      <c r="A26" s="15" t="s">
        <v>25</v>
      </c>
      <c r="B26" s="42">
        <f>C26+D26</f>
        <v>595</v>
      </c>
      <c r="C26" s="24">
        <v>547</v>
      </c>
      <c r="D26" s="18">
        <v>48</v>
      </c>
      <c r="E26" s="71"/>
      <c r="F26" s="18">
        <v>324</v>
      </c>
      <c r="G26" s="18">
        <v>313</v>
      </c>
      <c r="H26" s="18">
        <v>9</v>
      </c>
      <c r="I26" s="18">
        <v>5</v>
      </c>
    </row>
    <row r="27" spans="1:9" s="22" customFormat="1" x14ac:dyDescent="0.25">
      <c r="A27" s="23" t="s">
        <v>26</v>
      </c>
      <c r="B27" s="42">
        <f>C27+D27</f>
        <v>266</v>
      </c>
      <c r="C27" s="24">
        <v>239</v>
      </c>
      <c r="D27" s="18">
        <v>27</v>
      </c>
      <c r="E27" s="71"/>
      <c r="F27" s="18">
        <v>31</v>
      </c>
      <c r="G27" s="18">
        <v>171</v>
      </c>
      <c r="H27" s="18">
        <v>9</v>
      </c>
      <c r="I27" s="18">
        <v>4</v>
      </c>
    </row>
    <row r="28" spans="1:9" s="22" customFormat="1" x14ac:dyDescent="0.25">
      <c r="A28" s="23" t="s">
        <v>27</v>
      </c>
      <c r="B28" s="42">
        <f>C28+D28</f>
        <v>420</v>
      </c>
      <c r="C28" s="24">
        <v>376</v>
      </c>
      <c r="D28" s="18">
        <v>44</v>
      </c>
      <c r="E28" s="71"/>
      <c r="F28" s="18">
        <v>8</v>
      </c>
      <c r="G28" s="18">
        <v>153</v>
      </c>
      <c r="H28" s="18">
        <v>13</v>
      </c>
      <c r="I28" s="18">
        <v>0</v>
      </c>
    </row>
    <row r="29" spans="1:9" s="22" customFormat="1" x14ac:dyDescent="0.25">
      <c r="A29" s="23" t="s">
        <v>28</v>
      </c>
      <c r="B29" s="42">
        <f>C29+D29</f>
        <v>766</v>
      </c>
      <c r="C29" s="24">
        <v>686</v>
      </c>
      <c r="D29" s="18">
        <v>80</v>
      </c>
      <c r="E29" s="71"/>
      <c r="F29" s="18">
        <v>23</v>
      </c>
      <c r="G29" s="18">
        <v>352</v>
      </c>
      <c r="H29" s="18">
        <v>9</v>
      </c>
      <c r="I29" s="18">
        <v>0</v>
      </c>
    </row>
    <row r="30" spans="1:9" s="22" customFormat="1" x14ac:dyDescent="0.25">
      <c r="A30" s="23" t="s">
        <v>29</v>
      </c>
      <c r="B30" s="42">
        <f>C30+D30</f>
        <v>971</v>
      </c>
      <c r="C30" s="24">
        <v>965</v>
      </c>
      <c r="D30" s="18">
        <v>6</v>
      </c>
      <c r="E30" s="71"/>
      <c r="F30" s="18">
        <v>1</v>
      </c>
      <c r="G30" s="18">
        <v>38</v>
      </c>
      <c r="H30" s="18">
        <v>5</v>
      </c>
      <c r="I30" s="18">
        <v>0</v>
      </c>
    </row>
    <row r="31" spans="1:9" s="22" customFormat="1" x14ac:dyDescent="0.25">
      <c r="A31" s="23" t="s">
        <v>30</v>
      </c>
      <c r="B31" s="42">
        <f>C31+D31</f>
        <v>578</v>
      </c>
      <c r="C31" s="24">
        <v>566</v>
      </c>
      <c r="D31" s="18">
        <v>12</v>
      </c>
      <c r="E31" s="71"/>
      <c r="F31" s="18">
        <v>3</v>
      </c>
      <c r="G31" s="18">
        <v>42</v>
      </c>
      <c r="H31" s="18">
        <v>0</v>
      </c>
      <c r="I31" s="18">
        <v>0</v>
      </c>
    </row>
    <row r="32" spans="1:9" s="22" customFormat="1" x14ac:dyDescent="0.25">
      <c r="A32" s="23" t="s">
        <v>31</v>
      </c>
      <c r="B32" s="42">
        <f>C32+D32</f>
        <v>421</v>
      </c>
      <c r="C32" s="24">
        <v>394</v>
      </c>
      <c r="D32" s="18">
        <v>27</v>
      </c>
      <c r="E32" s="71"/>
      <c r="F32" s="18">
        <v>3</v>
      </c>
      <c r="G32" s="18">
        <v>128</v>
      </c>
      <c r="H32" s="18">
        <v>2</v>
      </c>
      <c r="I32" s="18">
        <v>1</v>
      </c>
    </row>
    <row r="33" spans="1:9" s="22" customFormat="1" x14ac:dyDescent="0.25">
      <c r="A33" s="23" t="s">
        <v>32</v>
      </c>
      <c r="B33" s="42">
        <f>C33+D33</f>
        <v>426</v>
      </c>
      <c r="C33" s="24">
        <v>368</v>
      </c>
      <c r="D33" s="18">
        <v>58</v>
      </c>
      <c r="E33" s="71"/>
      <c r="F33" s="18">
        <v>2</v>
      </c>
      <c r="G33" s="18">
        <v>335</v>
      </c>
      <c r="H33" s="18">
        <v>16</v>
      </c>
      <c r="I33" s="18">
        <v>9</v>
      </c>
    </row>
    <row r="34" spans="1:9" s="22" customFormat="1" x14ac:dyDescent="0.25">
      <c r="A34" s="23" t="s">
        <v>33</v>
      </c>
      <c r="B34" s="42">
        <f>C34+D34</f>
        <v>452</v>
      </c>
      <c r="C34" s="24">
        <v>381</v>
      </c>
      <c r="D34" s="18">
        <v>71</v>
      </c>
      <c r="E34" s="71"/>
      <c r="F34" s="18">
        <v>6</v>
      </c>
      <c r="G34" s="18">
        <v>92</v>
      </c>
      <c r="H34" s="18">
        <v>16</v>
      </c>
      <c r="I34" s="18">
        <v>18</v>
      </c>
    </row>
    <row r="35" spans="1:9" s="22" customFormat="1" x14ac:dyDescent="0.25">
      <c r="A35" s="23" t="s">
        <v>34</v>
      </c>
      <c r="B35" s="42">
        <f>C35+D35</f>
        <v>599</v>
      </c>
      <c r="C35" s="24">
        <v>534</v>
      </c>
      <c r="D35" s="18">
        <v>65</v>
      </c>
      <c r="E35" s="71"/>
      <c r="F35" s="18">
        <v>11</v>
      </c>
      <c r="G35" s="18">
        <v>58</v>
      </c>
      <c r="H35" s="18">
        <v>15</v>
      </c>
      <c r="I35" s="18">
        <v>1</v>
      </c>
    </row>
    <row r="36" spans="1:9" s="22" customFormat="1" x14ac:dyDescent="0.25">
      <c r="A36" s="23" t="s">
        <v>35</v>
      </c>
      <c r="B36" s="42">
        <f>C36+D36</f>
        <v>487</v>
      </c>
      <c r="C36" s="24">
        <v>386</v>
      </c>
      <c r="D36" s="18">
        <v>101</v>
      </c>
      <c r="E36" s="71"/>
      <c r="F36" s="18">
        <v>9</v>
      </c>
      <c r="G36" s="18">
        <v>208</v>
      </c>
      <c r="H36" s="18">
        <v>30</v>
      </c>
      <c r="I36" s="18">
        <v>8</v>
      </c>
    </row>
    <row r="37" spans="1:9" s="22" customFormat="1" x14ac:dyDescent="0.25">
      <c r="A37" s="23" t="s">
        <v>36</v>
      </c>
      <c r="B37" s="42">
        <f>C37+D37</f>
        <v>177</v>
      </c>
      <c r="C37" s="24">
        <v>86</v>
      </c>
      <c r="D37" s="18">
        <v>91</v>
      </c>
      <c r="E37" s="71"/>
      <c r="F37" s="18">
        <v>9</v>
      </c>
      <c r="G37" s="18">
        <v>65</v>
      </c>
      <c r="H37" s="18">
        <v>34</v>
      </c>
      <c r="I37" s="18">
        <v>20</v>
      </c>
    </row>
    <row r="38" spans="1:9" s="22" customFormat="1" x14ac:dyDescent="0.25">
      <c r="A38" s="23" t="s">
        <v>37</v>
      </c>
      <c r="B38" s="42">
        <f>C38+D38</f>
        <v>481</v>
      </c>
      <c r="C38" s="24">
        <v>387</v>
      </c>
      <c r="D38" s="18">
        <v>94</v>
      </c>
      <c r="E38" s="71"/>
      <c r="F38" s="18">
        <v>25</v>
      </c>
      <c r="G38" s="18">
        <v>263</v>
      </c>
      <c r="H38" s="18">
        <v>21</v>
      </c>
      <c r="I38" s="18">
        <v>8</v>
      </c>
    </row>
    <row r="39" spans="1:9" s="22" customFormat="1" x14ac:dyDescent="0.25">
      <c r="A39" s="23" t="s">
        <v>38</v>
      </c>
      <c r="B39" s="42">
        <f>C39+D39</f>
        <v>668</v>
      </c>
      <c r="C39" s="24">
        <v>569</v>
      </c>
      <c r="D39" s="18">
        <v>99</v>
      </c>
      <c r="E39" s="71"/>
      <c r="F39" s="18">
        <v>3</v>
      </c>
      <c r="G39" s="18">
        <v>413</v>
      </c>
      <c r="H39" s="18">
        <v>8</v>
      </c>
      <c r="I39" s="18">
        <v>1</v>
      </c>
    </row>
    <row r="40" spans="1:9" s="22" customFormat="1" x14ac:dyDescent="0.25">
      <c r="A40" s="23" t="s">
        <v>39</v>
      </c>
      <c r="B40" s="42">
        <f>C40+D40</f>
        <v>946</v>
      </c>
      <c r="C40" s="24">
        <v>845</v>
      </c>
      <c r="D40" s="18">
        <v>101</v>
      </c>
      <c r="E40" s="71"/>
      <c r="F40" s="18">
        <v>298</v>
      </c>
      <c r="G40" s="18">
        <v>209</v>
      </c>
      <c r="H40" s="18">
        <v>35</v>
      </c>
      <c r="I40" s="18">
        <v>9</v>
      </c>
    </row>
    <row r="41" spans="1:9" s="22" customFormat="1" x14ac:dyDescent="0.25">
      <c r="A41" s="23" t="s">
        <v>40</v>
      </c>
      <c r="B41" s="42">
        <f>C41+D41</f>
        <v>1375</v>
      </c>
      <c r="C41" s="24">
        <v>1290</v>
      </c>
      <c r="D41" s="18">
        <v>85</v>
      </c>
      <c r="E41" s="71"/>
      <c r="F41" s="18">
        <v>25</v>
      </c>
      <c r="G41" s="18">
        <v>70</v>
      </c>
      <c r="H41" s="18">
        <v>22</v>
      </c>
      <c r="I41" s="18">
        <v>8</v>
      </c>
    </row>
    <row r="42" spans="1:9" s="22" customFormat="1" x14ac:dyDescent="0.25">
      <c r="A42" s="23" t="s">
        <v>41</v>
      </c>
      <c r="B42" s="42">
        <f>C42+D42</f>
        <v>2412</v>
      </c>
      <c r="C42" s="24">
        <v>2241</v>
      </c>
      <c r="D42" s="18">
        <v>171</v>
      </c>
      <c r="E42" s="71"/>
      <c r="F42" s="18">
        <v>90</v>
      </c>
      <c r="G42" s="18">
        <v>196</v>
      </c>
      <c r="H42" s="18">
        <v>35</v>
      </c>
      <c r="I42" s="18">
        <v>27</v>
      </c>
    </row>
    <row r="43" spans="1:9" s="22" customFormat="1" x14ac:dyDescent="0.25">
      <c r="A43" s="23" t="s">
        <v>42</v>
      </c>
      <c r="B43" s="42">
        <f>C43+D43</f>
        <v>1916</v>
      </c>
      <c r="C43" s="24">
        <v>1783</v>
      </c>
      <c r="D43" s="18">
        <v>133</v>
      </c>
      <c r="E43" s="71"/>
      <c r="F43" s="18">
        <v>76</v>
      </c>
      <c r="G43" s="18">
        <v>239</v>
      </c>
      <c r="H43" s="18">
        <v>10</v>
      </c>
      <c r="I43" s="18">
        <v>6</v>
      </c>
    </row>
    <row r="44" spans="1:9" s="22" customFormat="1" x14ac:dyDescent="0.25">
      <c r="A44" s="23" t="s">
        <v>43</v>
      </c>
      <c r="B44" s="42">
        <f>C44+D44</f>
        <v>121</v>
      </c>
      <c r="C44" s="24">
        <v>43</v>
      </c>
      <c r="D44" s="18">
        <v>78</v>
      </c>
      <c r="E44" s="71"/>
      <c r="F44" s="18">
        <v>0</v>
      </c>
      <c r="G44" s="18">
        <v>38</v>
      </c>
      <c r="H44" s="18">
        <v>31</v>
      </c>
      <c r="I44" s="18">
        <v>34</v>
      </c>
    </row>
    <row r="45" spans="1:9" s="22" customFormat="1" x14ac:dyDescent="0.25">
      <c r="A45" s="23" t="s">
        <v>44</v>
      </c>
      <c r="B45" s="42">
        <v>703</v>
      </c>
      <c r="C45" s="24">
        <v>649</v>
      </c>
      <c r="D45" s="18">
        <v>54</v>
      </c>
      <c r="E45" s="71"/>
      <c r="F45" s="18">
        <v>12</v>
      </c>
      <c r="G45" s="18">
        <v>113</v>
      </c>
      <c r="H45" s="18">
        <v>11</v>
      </c>
      <c r="I45" s="18">
        <v>1</v>
      </c>
    </row>
    <row r="46" spans="1:9" s="22" customFormat="1" x14ac:dyDescent="0.25">
      <c r="A46" s="23" t="s">
        <v>45</v>
      </c>
      <c r="B46" s="42">
        <f>C46+D46</f>
        <v>858</v>
      </c>
      <c r="C46" s="24">
        <v>828</v>
      </c>
      <c r="D46" s="18">
        <v>30</v>
      </c>
      <c r="E46" s="71"/>
      <c r="F46" s="18">
        <v>15</v>
      </c>
      <c r="G46" s="18">
        <v>70</v>
      </c>
      <c r="H46" s="18">
        <v>6</v>
      </c>
      <c r="I46" s="18">
        <v>4</v>
      </c>
    </row>
    <row r="47" spans="1:9" s="22" customFormat="1" x14ac:dyDescent="0.25">
      <c r="A47" s="23" t="s">
        <v>46</v>
      </c>
      <c r="B47" s="42">
        <f>C47+D47</f>
        <v>728</v>
      </c>
      <c r="C47" s="24">
        <v>676</v>
      </c>
      <c r="D47" s="18">
        <v>52</v>
      </c>
      <c r="E47" s="71"/>
      <c r="F47" s="18">
        <v>4</v>
      </c>
      <c r="G47" s="18">
        <v>550</v>
      </c>
      <c r="H47" s="18">
        <v>0</v>
      </c>
      <c r="I47" s="18">
        <v>0</v>
      </c>
    </row>
    <row r="48" spans="1:9" s="22" customFormat="1" hidden="1" x14ac:dyDescent="0.25">
      <c r="A48" s="45" t="s">
        <v>47</v>
      </c>
      <c r="B48" s="46">
        <v>0</v>
      </c>
      <c r="C48" s="24"/>
      <c r="D48" s="18"/>
      <c r="E48" s="71"/>
      <c r="F48" s="18"/>
      <c r="G48" s="18"/>
      <c r="H48" s="18"/>
      <c r="I48" s="18"/>
    </row>
    <row r="49" spans="1:9" s="22" customFormat="1" x14ac:dyDescent="0.25">
      <c r="A49" s="49" t="s">
        <v>48</v>
      </c>
      <c r="B49" s="50">
        <f>C49+D49</f>
        <v>16366</v>
      </c>
      <c r="C49" s="34">
        <f>SUM(C26:C47)</f>
        <v>14839</v>
      </c>
      <c r="D49" s="51">
        <f>SUM(D26:D47)</f>
        <v>1527</v>
      </c>
      <c r="E49" s="72"/>
      <c r="F49" s="51">
        <f t="shared" ref="F49:G49" si="1">SUM(F26:F47)</f>
        <v>978</v>
      </c>
      <c r="G49" s="51">
        <f t="shared" si="1"/>
        <v>4116</v>
      </c>
      <c r="H49" s="51">
        <f>SUM(H26:H47)</f>
        <v>337</v>
      </c>
      <c r="I49" s="51">
        <f>SUM(I26:I47)</f>
        <v>164</v>
      </c>
    </row>
    <row r="50" spans="1:9" s="22" customFormat="1" x14ac:dyDescent="0.25">
      <c r="A50" s="54" t="s">
        <v>49</v>
      </c>
      <c r="B50" s="50">
        <f>B49+B24</f>
        <v>140851</v>
      </c>
      <c r="C50" s="50">
        <f t="shared" ref="C50:I50" si="2">C49+C24</f>
        <v>117296</v>
      </c>
      <c r="D50" s="55">
        <f t="shared" si="2"/>
        <v>23555</v>
      </c>
      <c r="E50" s="73"/>
      <c r="F50" s="55">
        <f t="shared" si="2"/>
        <v>13334</v>
      </c>
      <c r="G50" s="55">
        <f t="shared" si="2"/>
        <v>43696</v>
      </c>
      <c r="H50" s="55">
        <f t="shared" si="2"/>
        <v>6027</v>
      </c>
      <c r="I50" s="55">
        <f t="shared" si="2"/>
        <v>4309</v>
      </c>
    </row>
    <row r="51" spans="1:9" s="22" customFormat="1" ht="5.25" customHeight="1" x14ac:dyDescent="0.25">
      <c r="A51" s="58"/>
      <c r="B51" s="40"/>
      <c r="C51" s="59"/>
      <c r="D51" s="59"/>
      <c r="E51" s="74"/>
      <c r="F51" s="59"/>
      <c r="G51" s="59"/>
      <c r="H51" s="59"/>
      <c r="I51" s="59"/>
    </row>
    <row r="52" spans="1:9" s="22" customFormat="1" x14ac:dyDescent="0.25">
      <c r="A52" s="54" t="s">
        <v>50</v>
      </c>
      <c r="B52" s="87">
        <f>B50-B7</f>
        <v>140363</v>
      </c>
      <c r="C52" s="87">
        <f t="shared" ref="C52:I52" si="3">C50-C7</f>
        <v>116871</v>
      </c>
      <c r="D52" s="87">
        <f t="shared" si="3"/>
        <v>23492</v>
      </c>
      <c r="E52" s="75">
        <f t="shared" si="3"/>
        <v>0</v>
      </c>
      <c r="F52" s="87">
        <f t="shared" si="3"/>
        <v>13318</v>
      </c>
      <c r="G52" s="87">
        <f t="shared" si="3"/>
        <v>43680</v>
      </c>
      <c r="H52" s="87">
        <f t="shared" si="3"/>
        <v>6011</v>
      </c>
      <c r="I52" s="87">
        <f t="shared" si="3"/>
        <v>4298</v>
      </c>
    </row>
    <row r="53" spans="1:9" s="22" customFormat="1" ht="11.25" customHeight="1" x14ac:dyDescent="0.25">
      <c r="A53" s="58"/>
      <c r="B53" s="40"/>
      <c r="C53" s="40"/>
      <c r="D53" s="59"/>
      <c r="E53" s="59"/>
      <c r="F53" s="59"/>
      <c r="G53" s="59"/>
      <c r="H53" s="59"/>
      <c r="I53" s="59"/>
    </row>
    <row r="54" spans="1:9" ht="23.25" customHeight="1" x14ac:dyDescent="0.2">
      <c r="A54" s="85" t="s">
        <v>67</v>
      </c>
      <c r="B54" s="85"/>
      <c r="C54" s="85"/>
      <c r="D54" s="85"/>
      <c r="E54" s="85"/>
      <c r="F54" s="85"/>
      <c r="G54" s="85"/>
      <c r="H54" s="85"/>
      <c r="I54" s="85"/>
    </row>
  </sheetData>
  <mergeCells count="4">
    <mergeCell ref="B2:D2"/>
    <mergeCell ref="F2:I2"/>
    <mergeCell ref="A54:I54"/>
    <mergeCell ref="A1:I1"/>
  </mergeCells>
  <pageMargins left="0.25" right="0.25" top="0.75" bottom="0.75" header="0.3" footer="0.3"/>
  <pageSetup scale="99" fitToHeight="0" orientation="portrait" r:id="rId1"/>
  <headerFooter>
    <oddHeader>&amp;L&amp;"Cambria,Regular"&amp;10State of Delaware
Office of the Controller General&amp;R&amp;8&amp;G</oddHead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5F4A4-7389-473A-AF10-FE9C432086F0}">
  <sheetPr>
    <pageSetUpPr fitToPage="1"/>
  </sheetPr>
  <dimension ref="A1:S54"/>
  <sheetViews>
    <sheetView showGridLines="0" view="pageLayout" zoomScaleNormal="100" zoomScaleSheetLayoutView="100" workbookViewId="0">
      <selection activeCell="G55" sqref="G55"/>
    </sheetView>
  </sheetViews>
  <sheetFormatPr defaultRowHeight="12.75" x14ac:dyDescent="0.2"/>
  <cols>
    <col min="1" max="1" width="33.140625" style="2" customWidth="1"/>
    <col min="2" max="2" width="9.5703125" style="66" customWidth="1"/>
    <col min="3" max="3" width="10.5703125" style="66" customWidth="1"/>
    <col min="4" max="4" width="10.28515625" style="65" customWidth="1"/>
    <col min="5" max="5" width="10.5703125" style="65" bestFit="1" customWidth="1"/>
    <col min="6" max="6" width="0.7109375" style="2" customWidth="1"/>
    <col min="7" max="8" width="10.28515625" style="65" customWidth="1"/>
    <col min="9" max="9" width="10.5703125" style="65" bestFit="1" customWidth="1"/>
    <col min="10" max="16384" width="9.140625" style="2"/>
  </cols>
  <sheetData>
    <row r="1" spans="1:9" ht="18" customHeight="1" x14ac:dyDescent="0.2">
      <c r="A1" s="81" t="s">
        <v>0</v>
      </c>
      <c r="B1" s="81"/>
      <c r="C1" s="81"/>
      <c r="D1" s="81"/>
      <c r="E1" s="81"/>
      <c r="F1" s="81"/>
      <c r="G1" s="81"/>
      <c r="H1" s="81"/>
      <c r="I1" s="81"/>
    </row>
    <row r="2" spans="1:9" x14ac:dyDescent="0.2">
      <c r="A2" s="3"/>
      <c r="B2" s="7" t="s">
        <v>1</v>
      </c>
      <c r="C2" s="8"/>
      <c r="D2" s="8"/>
      <c r="E2" s="9"/>
      <c r="G2" s="7" t="s">
        <v>63</v>
      </c>
      <c r="H2" s="8"/>
      <c r="I2" s="9"/>
    </row>
    <row r="3" spans="1:9" ht="42" customHeight="1" x14ac:dyDescent="0.2">
      <c r="A3" s="10" t="s">
        <v>2</v>
      </c>
      <c r="B3" s="14" t="s">
        <v>3</v>
      </c>
      <c r="C3" s="12" t="s">
        <v>64</v>
      </c>
      <c r="D3" s="11" t="s">
        <v>53</v>
      </c>
      <c r="E3" s="11" t="s">
        <v>54</v>
      </c>
      <c r="F3" s="79"/>
      <c r="G3" s="11" t="s">
        <v>62</v>
      </c>
      <c r="H3" s="11" t="s">
        <v>60</v>
      </c>
      <c r="I3" s="11" t="s">
        <v>61</v>
      </c>
    </row>
    <row r="4" spans="1:9" s="22" customFormat="1" x14ac:dyDescent="0.25">
      <c r="A4" s="15" t="s">
        <v>4</v>
      </c>
      <c r="B4" s="19">
        <f>C4+D4+E4</f>
        <v>834.02</v>
      </c>
      <c r="C4" s="19">
        <f>52.71-26.35</f>
        <v>26.36</v>
      </c>
      <c r="D4" s="20">
        <v>528.91</v>
      </c>
      <c r="E4" s="21">
        <v>278.75</v>
      </c>
      <c r="F4" s="80"/>
      <c r="G4" s="20">
        <f>4.06+15.49+114.05</f>
        <v>133.6</v>
      </c>
      <c r="H4" s="20">
        <v>64</v>
      </c>
      <c r="I4" s="21">
        <v>81.150000000000006</v>
      </c>
    </row>
    <row r="5" spans="1:9" s="22" customFormat="1" x14ac:dyDescent="0.25">
      <c r="A5" s="23" t="s">
        <v>5</v>
      </c>
      <c r="B5" s="25">
        <f t="shared" ref="B5:B23" si="0">C5+D5+E5</f>
        <v>762.02</v>
      </c>
      <c r="C5" s="25">
        <f>36.1-18.05</f>
        <v>18.05</v>
      </c>
      <c r="D5" s="26">
        <v>468.58</v>
      </c>
      <c r="E5" s="21">
        <v>275.39</v>
      </c>
      <c r="F5" s="80"/>
      <c r="G5" s="26">
        <f>11.48+14.82+100.24</f>
        <v>126.53999999999999</v>
      </c>
      <c r="H5" s="26">
        <v>60</v>
      </c>
      <c r="I5" s="21">
        <v>88.85</v>
      </c>
    </row>
    <row r="6" spans="1:9" s="22" customFormat="1" x14ac:dyDescent="0.25">
      <c r="A6" s="23" t="s">
        <v>6</v>
      </c>
      <c r="B6" s="25">
        <f t="shared" si="0"/>
        <v>588.21</v>
      </c>
      <c r="C6" s="25">
        <f>25.12-12.56</f>
        <v>12.56</v>
      </c>
      <c r="D6" s="26">
        <v>344.68</v>
      </c>
      <c r="E6" s="21">
        <v>230.97</v>
      </c>
      <c r="F6" s="80"/>
      <c r="G6" s="26">
        <f>4.61+7.9+59.17</f>
        <v>71.680000000000007</v>
      </c>
      <c r="H6" s="26">
        <v>50.83</v>
      </c>
      <c r="I6" s="21">
        <v>108.46</v>
      </c>
    </row>
    <row r="7" spans="1:9" s="22" customFormat="1" x14ac:dyDescent="0.25">
      <c r="A7" s="27" t="s">
        <v>7</v>
      </c>
      <c r="B7" s="25">
        <f t="shared" si="0"/>
        <v>34.200000000000003</v>
      </c>
      <c r="C7" s="25">
        <f>1.02-0.51</f>
        <v>0.51</v>
      </c>
      <c r="D7" s="26">
        <v>23.34</v>
      </c>
      <c r="E7" s="21">
        <v>10.35</v>
      </c>
      <c r="F7" s="80"/>
      <c r="G7" s="26">
        <f>0.39+0.68+2.38</f>
        <v>3.45</v>
      </c>
      <c r="H7" s="26">
        <v>2.67</v>
      </c>
      <c r="I7" s="21">
        <v>4.2300000000000004</v>
      </c>
    </row>
    <row r="8" spans="1:9" s="22" customFormat="1" x14ac:dyDescent="0.25">
      <c r="A8" s="23" t="s">
        <v>8</v>
      </c>
      <c r="B8" s="25">
        <f t="shared" si="0"/>
        <v>473.46999999999997</v>
      </c>
      <c r="C8" s="25">
        <f>20.01-10</f>
        <v>10.010000000000002</v>
      </c>
      <c r="D8" s="26">
        <v>260.45999999999998</v>
      </c>
      <c r="E8" s="21">
        <v>203</v>
      </c>
      <c r="F8" s="80"/>
      <c r="G8" s="26">
        <f>6.09+5.86+48.1</f>
        <v>60.05</v>
      </c>
      <c r="H8" s="26">
        <v>23.33</v>
      </c>
      <c r="I8" s="21">
        <v>119.62</v>
      </c>
    </row>
    <row r="9" spans="1:9" s="22" customFormat="1" x14ac:dyDescent="0.25">
      <c r="A9" s="23" t="s">
        <v>9</v>
      </c>
      <c r="B9" s="25">
        <f t="shared" si="0"/>
        <v>582.21</v>
      </c>
      <c r="C9" s="25">
        <f>27.66-13.83</f>
        <v>13.83</v>
      </c>
      <c r="D9" s="26">
        <v>279.35000000000002</v>
      </c>
      <c r="E9" s="21">
        <v>289.02999999999997</v>
      </c>
      <c r="F9" s="80"/>
      <c r="G9" s="26">
        <f>5.31+5.87+60.71</f>
        <v>71.89</v>
      </c>
      <c r="H9" s="26">
        <v>54.83</v>
      </c>
      <c r="I9" s="21">
        <v>162.31</v>
      </c>
    </row>
    <row r="10" spans="1:9" s="22" customFormat="1" x14ac:dyDescent="0.25">
      <c r="A10" s="23" t="s">
        <v>10</v>
      </c>
      <c r="B10" s="25">
        <f t="shared" si="0"/>
        <v>1247.9000000000001</v>
      </c>
      <c r="C10" s="25">
        <f>48.48-24.24</f>
        <v>24.24</v>
      </c>
      <c r="D10" s="26">
        <v>587.34</v>
      </c>
      <c r="E10" s="21">
        <v>636.32000000000005</v>
      </c>
      <c r="F10" s="80"/>
      <c r="G10" s="26">
        <f>16.72+21.17+107.26</f>
        <v>145.15</v>
      </c>
      <c r="H10" s="26">
        <v>136.16999999999999</v>
      </c>
      <c r="I10" s="82">
        <v>355</v>
      </c>
    </row>
    <row r="11" spans="1:9" s="22" customFormat="1" x14ac:dyDescent="0.25">
      <c r="A11" s="23" t="s">
        <v>11</v>
      </c>
      <c r="B11" s="25">
        <f t="shared" si="0"/>
        <v>795.87</v>
      </c>
      <c r="C11" s="25">
        <f>37.11-18.55</f>
        <v>18.559999999999999</v>
      </c>
      <c r="D11" s="26">
        <v>427.98</v>
      </c>
      <c r="E11" s="21">
        <v>349.33</v>
      </c>
      <c r="F11" s="80"/>
      <c r="G11" s="26">
        <f>1.02+10.12+77.02</f>
        <v>88.16</v>
      </c>
      <c r="H11" s="26">
        <v>141.16999999999999</v>
      </c>
      <c r="I11" s="21">
        <v>120</v>
      </c>
    </row>
    <row r="12" spans="1:9" s="22" customFormat="1" x14ac:dyDescent="0.25">
      <c r="A12" s="23" t="s">
        <v>12</v>
      </c>
      <c r="B12" s="25">
        <f t="shared" si="0"/>
        <v>89.49</v>
      </c>
      <c r="C12" s="25">
        <f>11.06-5.53</f>
        <v>5.53</v>
      </c>
      <c r="D12" s="26">
        <v>63.3</v>
      </c>
      <c r="E12" s="21">
        <v>20.66</v>
      </c>
      <c r="F12" s="80"/>
      <c r="G12" s="26">
        <f>0.16+12.38</f>
        <v>12.540000000000001</v>
      </c>
      <c r="H12" s="26">
        <v>3.5</v>
      </c>
      <c r="I12" s="21">
        <v>4.62</v>
      </c>
    </row>
    <row r="13" spans="1:9" s="22" customFormat="1" x14ac:dyDescent="0.25">
      <c r="A13" s="23" t="s">
        <v>13</v>
      </c>
      <c r="B13" s="25">
        <f t="shared" si="0"/>
        <v>850.59999999999991</v>
      </c>
      <c r="C13" s="25">
        <f>44.76-22.38</f>
        <v>22.38</v>
      </c>
      <c r="D13" s="26">
        <v>490.15</v>
      </c>
      <c r="E13" s="21">
        <v>338.07</v>
      </c>
      <c r="F13" s="80"/>
      <c r="G13" s="26">
        <f>12.58+13.64+52.26</f>
        <v>78.47999999999999</v>
      </c>
      <c r="H13" s="26">
        <v>102.67</v>
      </c>
      <c r="I13" s="21">
        <v>156.91999999999999</v>
      </c>
    </row>
    <row r="14" spans="1:9" s="22" customFormat="1" x14ac:dyDescent="0.25">
      <c r="A14" s="23" t="s">
        <v>14</v>
      </c>
      <c r="B14" s="25">
        <f t="shared" si="0"/>
        <v>260.87</v>
      </c>
      <c r="C14" s="25">
        <f>11.72-5.86</f>
        <v>5.86</v>
      </c>
      <c r="D14" s="26">
        <v>162.63</v>
      </c>
      <c r="E14" s="21">
        <v>92.38</v>
      </c>
      <c r="F14" s="80"/>
      <c r="G14" s="26">
        <f>4.84+7.59+42.5</f>
        <v>54.93</v>
      </c>
      <c r="H14" s="26">
        <v>22.83</v>
      </c>
      <c r="I14" s="21">
        <v>14.62</v>
      </c>
    </row>
    <row r="15" spans="1:9" s="22" customFormat="1" x14ac:dyDescent="0.25">
      <c r="A15" s="23" t="s">
        <v>15</v>
      </c>
      <c r="B15" s="25">
        <f t="shared" si="0"/>
        <v>183.07999999999998</v>
      </c>
      <c r="C15" s="25">
        <f>9.23-4.61</f>
        <v>4.62</v>
      </c>
      <c r="D15" s="28">
        <v>120.1</v>
      </c>
      <c r="E15" s="21">
        <v>58.36</v>
      </c>
      <c r="F15" s="80"/>
      <c r="G15" s="28">
        <f>2.58+3.39+27.62</f>
        <v>33.590000000000003</v>
      </c>
      <c r="H15" s="28">
        <v>9</v>
      </c>
      <c r="I15" s="21">
        <v>15.77</v>
      </c>
    </row>
    <row r="16" spans="1:9" s="22" customFormat="1" x14ac:dyDescent="0.25">
      <c r="A16" s="23" t="s">
        <v>16</v>
      </c>
      <c r="B16" s="25">
        <f t="shared" si="0"/>
        <v>302.41999999999996</v>
      </c>
      <c r="C16" s="25">
        <f>17.2-8.6</f>
        <v>8.6</v>
      </c>
      <c r="D16" s="26">
        <v>197.98</v>
      </c>
      <c r="E16" s="21">
        <v>95.84</v>
      </c>
      <c r="F16" s="80"/>
      <c r="G16" s="26">
        <f>2.81+4.14+38.1</f>
        <v>45.05</v>
      </c>
      <c r="H16" s="26">
        <v>22.33</v>
      </c>
      <c r="I16" s="21">
        <v>28.46</v>
      </c>
    </row>
    <row r="17" spans="1:9" s="22" customFormat="1" x14ac:dyDescent="0.25">
      <c r="A17" s="23" t="s">
        <v>17</v>
      </c>
      <c r="B17" s="25">
        <f t="shared" si="0"/>
        <v>370.3</v>
      </c>
      <c r="C17" s="25">
        <f>157.73-78.86</f>
        <v>78.86999999999999</v>
      </c>
      <c r="D17" s="26">
        <v>203</v>
      </c>
      <c r="E17" s="21">
        <v>88.43</v>
      </c>
      <c r="F17" s="80"/>
      <c r="G17" s="26">
        <v>46.31</v>
      </c>
      <c r="H17" s="26">
        <v>32.5</v>
      </c>
      <c r="I17" s="21">
        <v>9.6199999999999992</v>
      </c>
    </row>
    <row r="18" spans="1:9" s="22" customFormat="1" x14ac:dyDescent="0.25">
      <c r="A18" s="23" t="s">
        <v>18</v>
      </c>
      <c r="B18" s="25">
        <f t="shared" si="0"/>
        <v>89.57</v>
      </c>
      <c r="C18" s="25">
        <f>39.73-19.86</f>
        <v>19.869999999999997</v>
      </c>
      <c r="D18" s="28">
        <v>53.8</v>
      </c>
      <c r="E18" s="29">
        <v>15.9</v>
      </c>
      <c r="F18" s="80"/>
      <c r="G18" s="28">
        <f>11.31</f>
        <v>11.31</v>
      </c>
      <c r="H18" s="28">
        <v>2.67</v>
      </c>
      <c r="I18" s="29">
        <v>1.92</v>
      </c>
    </row>
    <row r="19" spans="1:9" s="22" customFormat="1" x14ac:dyDescent="0.25">
      <c r="A19" s="23" t="s">
        <v>19</v>
      </c>
      <c r="B19" s="25">
        <f>C19+D19+E19</f>
        <v>1183.4299999999998</v>
      </c>
      <c r="C19" s="25">
        <f>51.36-25.68</f>
        <v>25.68</v>
      </c>
      <c r="D19" s="26">
        <v>689.26</v>
      </c>
      <c r="E19" s="21">
        <v>468.49</v>
      </c>
      <c r="F19" s="80"/>
      <c r="G19" s="26">
        <f>8.52+21.85+133.1</f>
        <v>163.47</v>
      </c>
      <c r="H19" s="26">
        <v>106.17</v>
      </c>
      <c r="I19" s="21">
        <v>198.85</v>
      </c>
    </row>
    <row r="20" spans="1:9" s="22" customFormat="1" x14ac:dyDescent="0.25">
      <c r="A20" s="23" t="s">
        <v>20</v>
      </c>
      <c r="B20" s="25">
        <f t="shared" si="0"/>
        <v>266</v>
      </c>
      <c r="C20" s="25">
        <f>11.72-5.86</f>
        <v>5.86</v>
      </c>
      <c r="D20" s="26">
        <v>156.61000000000001</v>
      </c>
      <c r="E20" s="21">
        <v>103.53</v>
      </c>
      <c r="F20" s="80"/>
      <c r="G20" s="26">
        <f>2.11+2.84+36.43</f>
        <v>41.379999999999995</v>
      </c>
      <c r="H20" s="26">
        <v>26</v>
      </c>
      <c r="I20" s="21">
        <v>36.15</v>
      </c>
    </row>
    <row r="21" spans="1:9" s="22" customFormat="1" x14ac:dyDescent="0.25">
      <c r="A21" s="23" t="s">
        <v>21</v>
      </c>
      <c r="B21" s="25">
        <f t="shared" si="0"/>
        <v>455.1</v>
      </c>
      <c r="C21" s="25">
        <f>35.3-17.64</f>
        <v>17.659999999999997</v>
      </c>
      <c r="D21" s="26">
        <v>261.35000000000002</v>
      </c>
      <c r="E21" s="21">
        <v>176.09</v>
      </c>
      <c r="F21" s="80"/>
      <c r="G21" s="26">
        <f>2.03+4.39+48.21</f>
        <v>54.63</v>
      </c>
      <c r="H21" s="26">
        <v>58</v>
      </c>
      <c r="I21" s="21">
        <v>63.46</v>
      </c>
    </row>
    <row r="22" spans="1:9" s="22" customFormat="1" x14ac:dyDescent="0.25">
      <c r="A22" s="23" t="s">
        <v>22</v>
      </c>
      <c r="B22" s="25">
        <f t="shared" si="0"/>
        <v>93.699999999999989</v>
      </c>
      <c r="C22" s="25">
        <f>41.37-20.68</f>
        <v>20.689999999999998</v>
      </c>
      <c r="D22" s="26">
        <v>56.55</v>
      </c>
      <c r="E22" s="21">
        <v>16.46</v>
      </c>
      <c r="F22" s="80"/>
      <c r="G22" s="26">
        <v>9.0500000000000007</v>
      </c>
      <c r="H22" s="26">
        <v>4.33</v>
      </c>
      <c r="I22" s="21">
        <v>3.08</v>
      </c>
    </row>
    <row r="23" spans="1:9" s="22" customFormat="1" x14ac:dyDescent="0.25">
      <c r="A23" s="30" t="s">
        <v>23</v>
      </c>
      <c r="B23" s="32">
        <f t="shared" si="0"/>
        <v>193.42000000000002</v>
      </c>
      <c r="C23" s="25">
        <f>12.29-6.14</f>
        <v>6.1499999999999995</v>
      </c>
      <c r="D23" s="26">
        <v>117.17</v>
      </c>
      <c r="E23" s="21">
        <v>70.099999999999994</v>
      </c>
      <c r="F23" s="80"/>
      <c r="G23" s="26">
        <f>1.25+1.66+20.71</f>
        <v>23.62</v>
      </c>
      <c r="H23" s="26">
        <v>25.33</v>
      </c>
      <c r="I23" s="21">
        <v>21.15</v>
      </c>
    </row>
    <row r="24" spans="1:9" s="22" customFormat="1" x14ac:dyDescent="0.25">
      <c r="A24" s="33" t="s">
        <v>24</v>
      </c>
      <c r="B24" s="37">
        <f t="shared" ref="B24:E24" si="1">SUM(B4:B23)</f>
        <v>9655.880000000001</v>
      </c>
      <c r="C24" s="36">
        <f>SUM(C4:C23)</f>
        <v>345.88999999999993</v>
      </c>
      <c r="D24" s="36">
        <f t="shared" si="1"/>
        <v>5492.5400000000018</v>
      </c>
      <c r="E24" s="36">
        <f t="shared" si="1"/>
        <v>3817.4500000000007</v>
      </c>
      <c r="F24" s="80"/>
      <c r="G24" s="36">
        <f t="shared" ref="G24:I24" si="2">SUM(G4:G23)</f>
        <v>1274.8799999999999</v>
      </c>
      <c r="H24" s="36">
        <f t="shared" si="2"/>
        <v>948.32999999999993</v>
      </c>
      <c r="I24" s="36">
        <f t="shared" si="2"/>
        <v>1594.2399999999998</v>
      </c>
    </row>
    <row r="25" spans="1:9" s="22" customFormat="1" ht="4.5" customHeight="1" x14ac:dyDescent="0.25">
      <c r="A25" s="38"/>
      <c r="B25" s="39"/>
      <c r="C25" s="39"/>
      <c r="D25" s="39"/>
      <c r="E25" s="41"/>
      <c r="F25" s="80"/>
      <c r="G25" s="39"/>
      <c r="H25" s="39"/>
      <c r="I25" s="41"/>
    </row>
    <row r="26" spans="1:9" s="22" customFormat="1" x14ac:dyDescent="0.25">
      <c r="A26" s="15" t="s">
        <v>25</v>
      </c>
      <c r="B26" s="19">
        <f>C26+D26+E26</f>
        <v>38.450000000000003</v>
      </c>
      <c r="C26" s="19">
        <v>0</v>
      </c>
      <c r="D26" s="43">
        <v>32.06</v>
      </c>
      <c r="E26" s="44">
        <v>6.39</v>
      </c>
      <c r="F26" s="80"/>
      <c r="G26" s="43">
        <f>1.18+1.79</f>
        <v>2.9699999999999998</v>
      </c>
      <c r="H26" s="43">
        <v>1.5</v>
      </c>
      <c r="I26" s="44">
        <v>1.92</v>
      </c>
    </row>
    <row r="27" spans="1:9" s="22" customFormat="1" x14ac:dyDescent="0.25">
      <c r="A27" s="23" t="s">
        <v>26</v>
      </c>
      <c r="B27" s="25">
        <f t="shared" ref="B27:B48" si="3">C27+D27+E27</f>
        <v>18.14</v>
      </c>
      <c r="C27" s="25">
        <v>0</v>
      </c>
      <c r="D27" s="28">
        <v>13.84</v>
      </c>
      <c r="E27" s="29">
        <v>4.3</v>
      </c>
      <c r="F27" s="80"/>
      <c r="G27" s="28">
        <f>0.43+0.83</f>
        <v>1.26</v>
      </c>
      <c r="H27" s="28">
        <v>1.5</v>
      </c>
      <c r="I27" s="29">
        <v>1.54</v>
      </c>
    </row>
    <row r="28" spans="1:9" s="22" customFormat="1" x14ac:dyDescent="0.25">
      <c r="A28" s="23" t="s">
        <v>27</v>
      </c>
      <c r="B28" s="25">
        <f t="shared" si="3"/>
        <v>26.82</v>
      </c>
      <c r="C28" s="25">
        <f>1.01-0.5</f>
        <v>0.51</v>
      </c>
      <c r="D28" s="28">
        <v>20.74</v>
      </c>
      <c r="E28" s="29">
        <v>5.57</v>
      </c>
      <c r="F28" s="80"/>
      <c r="G28" s="28">
        <f>0.3+3.1</f>
        <v>3.4</v>
      </c>
      <c r="H28" s="28">
        <v>2.17</v>
      </c>
      <c r="I28" s="25">
        <v>0</v>
      </c>
    </row>
    <row r="29" spans="1:9" s="22" customFormat="1" x14ac:dyDescent="0.25">
      <c r="A29" s="23" t="s">
        <v>28</v>
      </c>
      <c r="B29" s="25">
        <f t="shared" si="3"/>
        <v>47.06</v>
      </c>
      <c r="C29" s="25">
        <v>0</v>
      </c>
      <c r="D29" s="28">
        <v>38.14</v>
      </c>
      <c r="E29" s="29">
        <v>8.92</v>
      </c>
      <c r="F29" s="80"/>
      <c r="G29" s="28">
        <f>1.11+6.31</f>
        <v>7.42</v>
      </c>
      <c r="H29" s="28">
        <v>1.5</v>
      </c>
      <c r="I29" s="25">
        <v>0</v>
      </c>
    </row>
    <row r="30" spans="1:9" s="22" customFormat="1" x14ac:dyDescent="0.25">
      <c r="A30" s="23" t="s">
        <v>29</v>
      </c>
      <c r="B30" s="25">
        <f t="shared" si="3"/>
        <v>49.39</v>
      </c>
      <c r="C30" s="25">
        <f>0.37-0.18</f>
        <v>0.19</v>
      </c>
      <c r="D30" s="28">
        <v>48.25</v>
      </c>
      <c r="E30" s="29">
        <v>0.95</v>
      </c>
      <c r="F30" s="80"/>
      <c r="G30" s="28">
        <v>0.12</v>
      </c>
      <c r="H30" s="28">
        <v>0.83</v>
      </c>
      <c r="I30" s="25">
        <v>0</v>
      </c>
    </row>
    <row r="31" spans="1:9" s="22" customFormat="1" x14ac:dyDescent="0.25">
      <c r="A31" s="23" t="s">
        <v>30</v>
      </c>
      <c r="B31" s="25">
        <f t="shared" si="3"/>
        <v>30.79</v>
      </c>
      <c r="C31" s="25">
        <f>2.11-1.05</f>
        <v>1.0599999999999998</v>
      </c>
      <c r="D31" s="28">
        <v>28.3</v>
      </c>
      <c r="E31" s="29">
        <v>1.43</v>
      </c>
      <c r="F31" s="80"/>
      <c r="G31" s="28">
        <v>1.43</v>
      </c>
      <c r="H31" s="25">
        <v>0</v>
      </c>
      <c r="I31" s="25">
        <v>0</v>
      </c>
    </row>
    <row r="32" spans="1:9" s="22" customFormat="1" x14ac:dyDescent="0.25">
      <c r="A32" s="23" t="s">
        <v>31</v>
      </c>
      <c r="B32" s="25">
        <f t="shared" si="3"/>
        <v>23.27</v>
      </c>
      <c r="C32" s="25">
        <v>0</v>
      </c>
      <c r="D32" s="28">
        <v>19.7</v>
      </c>
      <c r="E32" s="29">
        <v>3.57</v>
      </c>
      <c r="F32" s="80"/>
      <c r="G32" s="28">
        <v>2.86</v>
      </c>
      <c r="H32" s="28">
        <v>0.33</v>
      </c>
      <c r="I32" s="29">
        <v>0.38</v>
      </c>
    </row>
    <row r="33" spans="1:9" s="22" customFormat="1" x14ac:dyDescent="0.25">
      <c r="A33" s="23" t="s">
        <v>32</v>
      </c>
      <c r="B33" s="25">
        <f t="shared" si="3"/>
        <v>29.949999999999996</v>
      </c>
      <c r="C33" s="25">
        <v>0</v>
      </c>
      <c r="D33" s="28">
        <v>20.58</v>
      </c>
      <c r="E33" s="29">
        <v>9.3699999999999992</v>
      </c>
      <c r="F33" s="80"/>
      <c r="G33" s="28">
        <f>0.74+2.5</f>
        <v>3.24</v>
      </c>
      <c r="H33" s="28">
        <v>2.67</v>
      </c>
      <c r="I33" s="29">
        <v>3.46</v>
      </c>
    </row>
    <row r="34" spans="1:9" s="22" customFormat="1" x14ac:dyDescent="0.25">
      <c r="A34" s="23" t="s">
        <v>33</v>
      </c>
      <c r="B34" s="25">
        <f t="shared" si="3"/>
        <v>33.090000000000003</v>
      </c>
      <c r="C34" s="25">
        <f>0.1-0.05</f>
        <v>0.05</v>
      </c>
      <c r="D34" s="28">
        <v>19.05</v>
      </c>
      <c r="E34" s="29">
        <v>13.99</v>
      </c>
      <c r="F34" s="80"/>
      <c r="G34" s="28">
        <v>4.4000000000000004</v>
      </c>
      <c r="H34" s="28">
        <v>2.67</v>
      </c>
      <c r="I34" s="29">
        <v>6.92</v>
      </c>
    </row>
    <row r="35" spans="1:9" s="22" customFormat="1" x14ac:dyDescent="0.25">
      <c r="A35" s="23" t="s">
        <v>34</v>
      </c>
      <c r="B35" s="25">
        <f t="shared" si="3"/>
        <v>37.989999999999995</v>
      </c>
      <c r="C35" s="25">
        <f>0</f>
        <v>0</v>
      </c>
      <c r="D35" s="28">
        <v>30.08</v>
      </c>
      <c r="E35" s="29">
        <v>7.91</v>
      </c>
      <c r="F35" s="80"/>
      <c r="G35" s="28">
        <f>0.86+4.17</f>
        <v>5.03</v>
      </c>
      <c r="H35" s="28">
        <v>2.5</v>
      </c>
      <c r="I35" s="29">
        <v>0.38</v>
      </c>
    </row>
    <row r="36" spans="1:9" s="22" customFormat="1" x14ac:dyDescent="0.25">
      <c r="A36" s="23" t="s">
        <v>35</v>
      </c>
      <c r="B36" s="25">
        <f t="shared" si="3"/>
        <v>34.880000000000003</v>
      </c>
      <c r="C36" s="25">
        <v>0</v>
      </c>
      <c r="D36" s="28">
        <v>19.3</v>
      </c>
      <c r="E36" s="29">
        <v>15.58</v>
      </c>
      <c r="F36" s="80"/>
      <c r="G36" s="28">
        <v>7.5</v>
      </c>
      <c r="H36" s="28">
        <v>5</v>
      </c>
      <c r="I36" s="29">
        <v>3.08</v>
      </c>
    </row>
    <row r="37" spans="1:9" s="22" customFormat="1" x14ac:dyDescent="0.25">
      <c r="A37" s="23" t="s">
        <v>36</v>
      </c>
      <c r="B37" s="25">
        <f t="shared" si="3"/>
        <v>22.150000000000002</v>
      </c>
      <c r="C37" s="25">
        <v>0</v>
      </c>
      <c r="D37" s="28">
        <v>4.4400000000000004</v>
      </c>
      <c r="E37" s="29">
        <v>17.71</v>
      </c>
      <c r="F37" s="80"/>
      <c r="G37" s="28">
        <f>0.06+4.29</f>
        <v>4.3499999999999996</v>
      </c>
      <c r="H37" s="28">
        <v>5.67</v>
      </c>
      <c r="I37" s="29">
        <v>7.69</v>
      </c>
    </row>
    <row r="38" spans="1:9" s="22" customFormat="1" x14ac:dyDescent="0.25">
      <c r="A38" s="23" t="s">
        <v>37</v>
      </c>
      <c r="B38" s="25">
        <f t="shared" si="3"/>
        <v>33.67</v>
      </c>
      <c r="C38" s="25">
        <v>0</v>
      </c>
      <c r="D38" s="28">
        <v>19.350000000000001</v>
      </c>
      <c r="E38" s="29">
        <v>14.32</v>
      </c>
      <c r="F38" s="80"/>
      <c r="G38" s="28">
        <v>7.74</v>
      </c>
      <c r="H38" s="28">
        <v>3.5</v>
      </c>
      <c r="I38" s="29">
        <v>3.08</v>
      </c>
    </row>
    <row r="39" spans="1:9" s="22" customFormat="1" x14ac:dyDescent="0.25">
      <c r="A39" s="23" t="s">
        <v>38</v>
      </c>
      <c r="B39" s="25">
        <f t="shared" si="3"/>
        <v>42.54</v>
      </c>
      <c r="C39" s="25">
        <v>0</v>
      </c>
      <c r="D39" s="28">
        <v>32</v>
      </c>
      <c r="E39" s="29">
        <v>10.54</v>
      </c>
      <c r="F39" s="80"/>
      <c r="G39" s="28">
        <f>2.04+6.79</f>
        <v>8.83</v>
      </c>
      <c r="H39" s="28">
        <v>1.33</v>
      </c>
      <c r="I39" s="29">
        <v>0.38</v>
      </c>
    </row>
    <row r="40" spans="1:9" s="22" customFormat="1" x14ac:dyDescent="0.25">
      <c r="A40" s="23" t="s">
        <v>39</v>
      </c>
      <c r="B40" s="25">
        <f t="shared" si="3"/>
        <v>61.85</v>
      </c>
      <c r="C40" s="25">
        <v>0</v>
      </c>
      <c r="D40" s="28">
        <v>46.75</v>
      </c>
      <c r="E40" s="29">
        <v>15.1</v>
      </c>
      <c r="F40" s="80"/>
      <c r="G40" s="28">
        <f>1.05+4.76</f>
        <v>5.81</v>
      </c>
      <c r="H40" s="28">
        <v>5.83</v>
      </c>
      <c r="I40" s="29">
        <v>3.46</v>
      </c>
    </row>
    <row r="41" spans="1:9" s="22" customFormat="1" x14ac:dyDescent="0.25">
      <c r="A41" s="23" t="s">
        <v>40</v>
      </c>
      <c r="B41" s="25">
        <f t="shared" si="3"/>
        <v>85.580000000000013</v>
      </c>
      <c r="C41" s="25">
        <f>11.21-5.6</f>
        <v>5.6100000000000012</v>
      </c>
      <c r="D41" s="28">
        <v>67.760000000000005</v>
      </c>
      <c r="E41" s="29">
        <v>12.21</v>
      </c>
      <c r="F41" s="80"/>
      <c r="G41" s="28">
        <f>1.17+4.29</f>
        <v>5.46</v>
      </c>
      <c r="H41" s="28">
        <v>3.67</v>
      </c>
      <c r="I41" s="29">
        <v>3.08</v>
      </c>
    </row>
    <row r="42" spans="1:9" s="22" customFormat="1" x14ac:dyDescent="0.25">
      <c r="A42" s="23" t="s">
        <v>41</v>
      </c>
      <c r="B42" s="25">
        <f t="shared" si="3"/>
        <v>151.85</v>
      </c>
      <c r="C42" s="25">
        <f>6.77-3.38</f>
        <v>3.3899999999999997</v>
      </c>
      <c r="D42" s="28">
        <v>120.41</v>
      </c>
      <c r="E42" s="29">
        <v>28.05</v>
      </c>
      <c r="F42" s="80"/>
      <c r="G42" s="28">
        <f>1.24+10.6</f>
        <v>11.84</v>
      </c>
      <c r="H42" s="28">
        <v>5.83</v>
      </c>
      <c r="I42" s="29">
        <v>10.38</v>
      </c>
    </row>
    <row r="43" spans="1:9" s="22" customFormat="1" x14ac:dyDescent="0.25">
      <c r="A43" s="23" t="s">
        <v>42</v>
      </c>
      <c r="B43" s="25">
        <f t="shared" si="3"/>
        <v>112.78</v>
      </c>
      <c r="C43" s="25">
        <v>0</v>
      </c>
      <c r="D43" s="28">
        <v>97.28</v>
      </c>
      <c r="E43" s="29">
        <v>15.5</v>
      </c>
      <c r="F43" s="80"/>
      <c r="G43" s="28">
        <f>2.59+8.93</f>
        <v>11.52</v>
      </c>
      <c r="H43" s="28">
        <v>1.67</v>
      </c>
      <c r="I43" s="29">
        <v>2.31</v>
      </c>
    </row>
    <row r="44" spans="1:9" s="22" customFormat="1" x14ac:dyDescent="0.25">
      <c r="A44" s="23" t="s">
        <v>43</v>
      </c>
      <c r="B44" s="25">
        <f t="shared" si="3"/>
        <v>22.28</v>
      </c>
      <c r="C44" s="25">
        <f>0.65-0.32</f>
        <v>0.33</v>
      </c>
      <c r="D44" s="28">
        <v>2.15</v>
      </c>
      <c r="E44" s="29">
        <v>19.8</v>
      </c>
      <c r="F44" s="80"/>
      <c r="G44" s="28">
        <v>1.55</v>
      </c>
      <c r="H44" s="28">
        <v>5.17</v>
      </c>
      <c r="I44" s="29">
        <v>13.08</v>
      </c>
    </row>
    <row r="45" spans="1:9" s="22" customFormat="1" x14ac:dyDescent="0.25">
      <c r="A45" s="23" t="s">
        <v>44</v>
      </c>
      <c r="B45" s="25">
        <f t="shared" si="3"/>
        <v>42.04</v>
      </c>
      <c r="C45" s="25">
        <v>0</v>
      </c>
      <c r="D45" s="28">
        <v>35.86</v>
      </c>
      <c r="E45" s="29">
        <v>6.18</v>
      </c>
      <c r="F45" s="80"/>
      <c r="G45" s="28">
        <f>1.11+2.86</f>
        <v>3.9699999999999998</v>
      </c>
      <c r="H45" s="28">
        <v>1.83</v>
      </c>
      <c r="I45" s="29">
        <v>0.38</v>
      </c>
    </row>
    <row r="46" spans="1:9" s="22" customFormat="1" x14ac:dyDescent="0.25">
      <c r="A46" s="23" t="s">
        <v>45</v>
      </c>
      <c r="B46" s="25">
        <f t="shared" si="3"/>
        <v>47.4</v>
      </c>
      <c r="C46" s="25">
        <f>2.15-1.07</f>
        <v>1.0799999999999998</v>
      </c>
      <c r="D46" s="28">
        <v>41.4</v>
      </c>
      <c r="E46" s="29">
        <v>4.92</v>
      </c>
      <c r="F46" s="80"/>
      <c r="G46" s="28">
        <v>2.38</v>
      </c>
      <c r="H46" s="28">
        <v>1</v>
      </c>
      <c r="I46" s="29">
        <v>1.54</v>
      </c>
    </row>
    <row r="47" spans="1:9" s="22" customFormat="1" x14ac:dyDescent="0.25">
      <c r="A47" s="23" t="s">
        <v>46</v>
      </c>
      <c r="B47" s="25">
        <f t="shared" si="3"/>
        <v>43.15</v>
      </c>
      <c r="C47" s="25">
        <v>0</v>
      </c>
      <c r="D47" s="28">
        <v>37.93</v>
      </c>
      <c r="E47" s="29">
        <v>5.22</v>
      </c>
      <c r="F47" s="80"/>
      <c r="G47" s="28">
        <f>1.05+4.17</f>
        <v>5.22</v>
      </c>
      <c r="H47" s="25">
        <v>0</v>
      </c>
      <c r="I47" s="25">
        <v>0</v>
      </c>
    </row>
    <row r="48" spans="1:9" s="22" customFormat="1" hidden="1" x14ac:dyDescent="0.25">
      <c r="A48" s="45" t="s">
        <v>47</v>
      </c>
      <c r="B48" s="32">
        <f t="shared" si="3"/>
        <v>0</v>
      </c>
      <c r="C48" s="32"/>
      <c r="D48" s="47"/>
      <c r="E48" s="48"/>
      <c r="F48" s="80"/>
      <c r="G48" s="47"/>
      <c r="H48" s="47"/>
      <c r="I48" s="48"/>
    </row>
    <row r="49" spans="1:9" s="22" customFormat="1" x14ac:dyDescent="0.25">
      <c r="A49" s="49" t="s">
        <v>48</v>
      </c>
      <c r="B49" s="53">
        <f t="shared" ref="B49:E49" si="4">SUM(B26:B47)</f>
        <v>1035.1200000000001</v>
      </c>
      <c r="C49" s="52">
        <f t="shared" si="4"/>
        <v>12.22</v>
      </c>
      <c r="D49" s="52">
        <f t="shared" si="4"/>
        <v>795.36999999999989</v>
      </c>
      <c r="E49" s="52">
        <f t="shared" si="4"/>
        <v>227.53</v>
      </c>
      <c r="F49" s="80"/>
      <c r="G49" s="77">
        <f t="shared" ref="G49" si="5">SUM(G26:G47)</f>
        <v>108.29999999999998</v>
      </c>
      <c r="H49" s="77">
        <f t="shared" ref="H49:I49" si="6">SUM(H26:H47)</f>
        <v>56.17</v>
      </c>
      <c r="I49" s="52">
        <f t="shared" si="6"/>
        <v>63.06</v>
      </c>
    </row>
    <row r="50" spans="1:9" s="22" customFormat="1" x14ac:dyDescent="0.25">
      <c r="A50" s="54" t="s">
        <v>49</v>
      </c>
      <c r="B50" s="56">
        <f t="shared" ref="B50:E50" si="7">B49+B24</f>
        <v>10691.000000000002</v>
      </c>
      <c r="C50" s="57">
        <f t="shared" si="7"/>
        <v>358.10999999999996</v>
      </c>
      <c r="D50" s="57">
        <f t="shared" si="7"/>
        <v>6287.9100000000017</v>
      </c>
      <c r="E50" s="57">
        <f t="shared" si="7"/>
        <v>4044.9800000000009</v>
      </c>
      <c r="F50" s="80"/>
      <c r="G50" s="78">
        <f t="shared" ref="G50" si="8">G49+G24</f>
        <v>1383.1799999999998</v>
      </c>
      <c r="H50" s="78">
        <f t="shared" ref="H50:I50" si="9">H49+H24</f>
        <v>1004.4999999999999</v>
      </c>
      <c r="I50" s="57">
        <f t="shared" si="9"/>
        <v>1657.2999999999997</v>
      </c>
    </row>
    <row r="51" spans="1:9" s="22" customFormat="1" ht="5.25" customHeight="1" x14ac:dyDescent="0.25">
      <c r="A51" s="58"/>
      <c r="B51" s="61"/>
      <c r="C51" s="61"/>
      <c r="D51" s="62"/>
      <c r="E51" s="62"/>
      <c r="F51" s="80"/>
      <c r="G51" s="62"/>
      <c r="H51" s="62"/>
      <c r="I51" s="62"/>
    </row>
    <row r="52" spans="1:9" s="22" customFormat="1" x14ac:dyDescent="0.25">
      <c r="A52" s="54" t="s">
        <v>50</v>
      </c>
      <c r="B52" s="86">
        <f t="shared" ref="B52:E52" si="10">B50-B7</f>
        <v>10656.800000000001</v>
      </c>
      <c r="C52" s="63">
        <f t="shared" si="10"/>
        <v>357.59999999999997</v>
      </c>
      <c r="D52" s="63">
        <f t="shared" si="10"/>
        <v>6264.5700000000015</v>
      </c>
      <c r="E52" s="63">
        <f t="shared" si="10"/>
        <v>4034.630000000001</v>
      </c>
      <c r="F52" s="80"/>
      <c r="G52" s="63">
        <f t="shared" ref="G52:I52" si="11">G50-G7</f>
        <v>1379.7299999999998</v>
      </c>
      <c r="H52" s="63">
        <f t="shared" si="11"/>
        <v>1001.8299999999999</v>
      </c>
      <c r="I52" s="63">
        <f t="shared" si="11"/>
        <v>1653.0699999999997</v>
      </c>
    </row>
    <row r="53" spans="1:9" s="22" customFormat="1" ht="11.25" customHeight="1" x14ac:dyDescent="0.25">
      <c r="A53" s="58"/>
      <c r="B53" s="60"/>
      <c r="C53" s="60"/>
      <c r="D53" s="59"/>
      <c r="E53" s="59"/>
      <c r="G53" s="59"/>
      <c r="H53" s="59"/>
      <c r="I53" s="59"/>
    </row>
    <row r="54" spans="1:9" s="22" customFormat="1" x14ac:dyDescent="0.25">
      <c r="A54" s="83" t="s">
        <v>55</v>
      </c>
      <c r="B54" s="84">
        <f>'Enrollment by District'!B52/'Units by District'!B52</f>
        <v>13.171214623526762</v>
      </c>
      <c r="C54" s="60"/>
      <c r="D54" s="59"/>
      <c r="E54" s="59"/>
      <c r="G54" s="59"/>
      <c r="H54" s="59"/>
      <c r="I54" s="59"/>
    </row>
  </sheetData>
  <mergeCells count="3">
    <mergeCell ref="B2:E2"/>
    <mergeCell ref="G2:I2"/>
    <mergeCell ref="A1:I1"/>
  </mergeCells>
  <pageMargins left="0.25" right="0.25" top="0.75" bottom="0.75" header="0.3" footer="0.3"/>
  <pageSetup scale="96" fitToHeight="0" orientation="portrait" r:id="rId1"/>
  <headerFooter>
    <oddHeader>&amp;L&amp;"Cambria,Regular"&amp;10State of Delaware
Office of the Controller General&amp;R&amp;8&amp;G</oddHead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Enrollment by District</vt:lpstr>
      <vt:lpstr>Units by District</vt:lpstr>
      <vt:lpstr>'Enrollment by District'!Print_Area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Jones, Ruth A (LegHall)</dc:creator>
  <cp:lastModifiedBy>Jones, Ruth A (LegHall)</cp:lastModifiedBy>
  <cp:lastPrinted>2020-10-26T16:55:36Z</cp:lastPrinted>
  <dcterms:created xsi:type="dcterms:W3CDTF">2020-10-26T15:22:45Z</dcterms:created>
  <dcterms:modified xsi:type="dcterms:W3CDTF">2020-10-26T16:56:59Z</dcterms:modified>
</cp:coreProperties>
</file>